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Osobní náklady" sheetId="419" r:id="rId13"/>
    <sheet name="ON Data" sheetId="418" state="hidden" r:id="rId14"/>
    <sheet name="ZV Vykáz.-H" sheetId="410" r:id="rId15"/>
    <sheet name="ZV Vykáz.-H Detail" sheetId="377" r:id="rId16"/>
    <sheet name="CaseMix" sheetId="370" r:id="rId17"/>
    <sheet name="ALOS" sheetId="374" r:id="rId18"/>
    <sheet name="Total" sheetId="371" r:id="rId19"/>
    <sheet name="ZV Vyžád." sheetId="342" r:id="rId20"/>
    <sheet name="ZV Vyžád. Detail" sheetId="343" r:id="rId21"/>
    <sheet name="OD TISS" sheetId="372" r:id="rId22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21" hidden="1">'OD TISS'!$A$5:$N$5</definedName>
    <definedName name="_xlnm._FilterDatabase" localSheetId="18" hidden="1">Total!$A$4:$W$4</definedName>
    <definedName name="_xlnm._FilterDatabase" localSheetId="15" hidden="1">'ZV Vykáz.-H Detail'!$A$5:$Q$5</definedName>
    <definedName name="_xlnm._FilterDatabase" localSheetId="19" hidden="1">'ZV Vyžád.'!$A$5:$M$5</definedName>
    <definedName name="_xlnm._FilterDatabase" localSheetId="20" hidden="1">'ZV Vyžád. Detail'!$A$5:$Q$5</definedName>
    <definedName name="doměsíce">'HI Graf'!$C$11</definedName>
    <definedName name="_xlnm.Print_Area" localSheetId="17">ALOS!$A$1:$M$45</definedName>
    <definedName name="_xlnm.Print_Area" localSheetId="16">CaseMix!$A$1:$M$39</definedName>
  </definedNames>
  <calcPr calcId="145621"/>
</workbook>
</file>

<file path=xl/calcChain.xml><?xml version="1.0" encoding="utf-8"?>
<calcChain xmlns="http://schemas.openxmlformats.org/spreadsheetml/2006/main">
  <c r="V35" i="371" l="1"/>
  <c r="U35" i="371"/>
  <c r="T35" i="371"/>
  <c r="S35" i="371"/>
  <c r="R35" i="371"/>
  <c r="Q35" i="371"/>
  <c r="V34" i="371"/>
  <c r="U34" i="371"/>
  <c r="T34" i="371"/>
  <c r="S34" i="371"/>
  <c r="R34" i="371"/>
  <c r="Q34" i="371"/>
  <c r="T33" i="371"/>
  <c r="S33" i="371"/>
  <c r="V33" i="371" s="1"/>
  <c r="R33" i="371"/>
  <c r="Q33" i="371"/>
  <c r="U32" i="371"/>
  <c r="T32" i="371"/>
  <c r="V32" i="371" s="1"/>
  <c r="S32" i="371"/>
  <c r="R32" i="371"/>
  <c r="Q32" i="371"/>
  <c r="T31" i="371"/>
  <c r="S31" i="371"/>
  <c r="V31" i="371" s="1"/>
  <c r="R31" i="371"/>
  <c r="Q31" i="371"/>
  <c r="U30" i="371"/>
  <c r="T30" i="371"/>
  <c r="V30" i="371" s="1"/>
  <c r="S30" i="371"/>
  <c r="R30" i="371"/>
  <c r="Q30" i="371"/>
  <c r="V29" i="371"/>
  <c r="U29" i="371"/>
  <c r="T29" i="371"/>
  <c r="S29" i="371"/>
  <c r="R29" i="371"/>
  <c r="Q29" i="371"/>
  <c r="U28" i="371"/>
  <c r="T28" i="371"/>
  <c r="V28" i="371" s="1"/>
  <c r="S28" i="371"/>
  <c r="R28" i="371"/>
  <c r="Q28" i="371"/>
  <c r="V27" i="371"/>
  <c r="U27" i="371"/>
  <c r="T27" i="371"/>
  <c r="S27" i="371"/>
  <c r="R27" i="371"/>
  <c r="Q27" i="371"/>
  <c r="U26" i="371"/>
  <c r="T26" i="371"/>
  <c r="V26" i="371" s="1"/>
  <c r="S26" i="371"/>
  <c r="R26" i="371"/>
  <c r="Q26" i="371"/>
  <c r="T25" i="371"/>
  <c r="S25" i="371"/>
  <c r="V25" i="371" s="1"/>
  <c r="R25" i="371"/>
  <c r="Q25" i="371"/>
  <c r="V24" i="371"/>
  <c r="U24" i="371"/>
  <c r="T24" i="371"/>
  <c r="S24" i="371"/>
  <c r="R24" i="371"/>
  <c r="Q24" i="371"/>
  <c r="T23" i="371"/>
  <c r="S23" i="371"/>
  <c r="V23" i="371" s="1"/>
  <c r="R23" i="371"/>
  <c r="Q23" i="371"/>
  <c r="V22" i="371"/>
  <c r="U22" i="371"/>
  <c r="T22" i="371"/>
  <c r="S22" i="371"/>
  <c r="R22" i="371"/>
  <c r="Q22" i="371"/>
  <c r="T21" i="371"/>
  <c r="S21" i="371"/>
  <c r="V21" i="371" s="1"/>
  <c r="R21" i="371"/>
  <c r="Q21" i="371"/>
  <c r="U20" i="371"/>
  <c r="T20" i="371"/>
  <c r="V20" i="371" s="1"/>
  <c r="S20" i="371"/>
  <c r="R20" i="371"/>
  <c r="Q20" i="371"/>
  <c r="T19" i="371"/>
  <c r="S19" i="371"/>
  <c r="V19" i="371" s="1"/>
  <c r="R19" i="371"/>
  <c r="Q19" i="371"/>
  <c r="U18" i="371"/>
  <c r="T18" i="371"/>
  <c r="V18" i="371" s="1"/>
  <c r="S18" i="371"/>
  <c r="R18" i="371"/>
  <c r="Q18" i="371"/>
  <c r="T17" i="371"/>
  <c r="S17" i="371"/>
  <c r="V17" i="371" s="1"/>
  <c r="R17" i="371"/>
  <c r="Q17" i="371"/>
  <c r="U16" i="371"/>
  <c r="T16" i="371"/>
  <c r="V16" i="371" s="1"/>
  <c r="S16" i="371"/>
  <c r="R16" i="371"/>
  <c r="Q16" i="371"/>
  <c r="T15" i="371"/>
  <c r="S15" i="371"/>
  <c r="V15" i="371" s="1"/>
  <c r="R15" i="371"/>
  <c r="Q15" i="371"/>
  <c r="U14" i="371"/>
  <c r="T14" i="371"/>
  <c r="V14" i="371" s="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S11" i="371"/>
  <c r="V11" i="371" s="1"/>
  <c r="R11" i="371"/>
  <c r="Q11" i="371"/>
  <c r="V10" i="371"/>
  <c r="U10" i="371"/>
  <c r="T10" i="371"/>
  <c r="S10" i="371"/>
  <c r="R10" i="371"/>
  <c r="Q10" i="371"/>
  <c r="T9" i="371"/>
  <c r="S9" i="371"/>
  <c r="V9" i="371" s="1"/>
  <c r="R9" i="371"/>
  <c r="Q9" i="371"/>
  <c r="U8" i="371"/>
  <c r="T8" i="371"/>
  <c r="V8" i="371" s="1"/>
  <c r="S8" i="371"/>
  <c r="R8" i="371"/>
  <c r="Q8" i="371"/>
  <c r="T7" i="371"/>
  <c r="S7" i="371"/>
  <c r="V7" i="371" s="1"/>
  <c r="R7" i="371"/>
  <c r="Q7" i="371"/>
  <c r="U6" i="371"/>
  <c r="T6" i="371"/>
  <c r="V6" i="371" s="1"/>
  <c r="S6" i="371"/>
  <c r="R6" i="371"/>
  <c r="Q6" i="371"/>
  <c r="T5" i="371"/>
  <c r="S5" i="371"/>
  <c r="V5" i="371" s="1"/>
  <c r="R5" i="371"/>
  <c r="Q5" i="371"/>
  <c r="U5" i="371" l="1"/>
  <c r="U7" i="371"/>
  <c r="U9" i="371"/>
  <c r="U11" i="371"/>
  <c r="U15" i="371"/>
  <c r="U17" i="371"/>
  <c r="U19" i="371"/>
  <c r="U21" i="371"/>
  <c r="U23" i="371"/>
  <c r="U25" i="371"/>
  <c r="U31" i="371"/>
  <c r="U33" i="371"/>
  <c r="A7" i="339"/>
  <c r="B3" i="418" l="1"/>
  <c r="L6" i="419" l="1"/>
  <c r="H6" i="419"/>
  <c r="B6" i="419"/>
  <c r="K6" i="419"/>
  <c r="G6" i="419"/>
  <c r="D6" i="419"/>
  <c r="I6" i="419"/>
  <c r="J6" i="419"/>
  <c r="F6" i="419"/>
  <c r="C6" i="419"/>
  <c r="E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J24" i="370" l="1"/>
  <c r="J23" i="370"/>
  <c r="J22" i="370"/>
  <c r="J21" i="370"/>
  <c r="J20" i="370"/>
  <c r="J19" i="370"/>
  <c r="J18" i="370"/>
  <c r="A24" i="414" l="1"/>
  <c r="A15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21" i="414"/>
  <c r="A20" i="414"/>
  <c r="A19" i="414" l="1"/>
  <c r="A18" i="414"/>
  <c r="A16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4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E11" i="339" l="1"/>
  <c r="B11" i="339"/>
  <c r="F11" i="339" l="1"/>
  <c r="C11" i="339"/>
  <c r="H11" i="339" l="1"/>
  <c r="G11" i="339"/>
  <c r="A23" i="414"/>
  <c r="A17" i="414"/>
  <c r="A12" i="414"/>
  <c r="A8" i="414"/>
  <c r="A7" i="414"/>
  <c r="A13" i="414"/>
  <c r="A4" i="414"/>
  <c r="A6" i="339" l="1"/>
  <c r="A5" i="339"/>
  <c r="D16" i="414"/>
  <c r="D13" i="414"/>
  <c r="C16" i="414"/>
  <c r="D4" i="414"/>
  <c r="D8" i="414" l="1"/>
  <c r="C12" i="414" l="1"/>
  <c r="C7" i="414"/>
  <c r="E17" i="414" l="1"/>
  <c r="E12" i="414"/>
  <c r="E7" i="414"/>
  <c r="E8" i="414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1" i="414" s="1"/>
  <c r="E21" i="414" s="1"/>
  <c r="I39" i="370"/>
  <c r="I26" i="370"/>
  <c r="E12" i="339"/>
  <c r="M39" i="370"/>
  <c r="E26" i="370"/>
  <c r="D20" i="414" s="1"/>
  <c r="E20" i="414" s="1"/>
  <c r="L39" i="370"/>
  <c r="C12" i="339"/>
  <c r="E13" i="370"/>
  <c r="D19" i="414" s="1"/>
  <c r="E19" i="414" s="1"/>
  <c r="L13" i="370"/>
  <c r="B12" i="339"/>
  <c r="F12" i="339" s="1"/>
  <c r="I13" i="370"/>
  <c r="D22" i="414" s="1"/>
  <c r="E22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D18" i="414"/>
  <c r="C18" i="414"/>
  <c r="F3" i="372" l="1"/>
  <c r="N3" i="372"/>
  <c r="C24" i="414"/>
  <c r="E24" i="414" s="1"/>
  <c r="F13" i="339"/>
  <c r="E13" i="339"/>
  <c r="E15" i="339" s="1"/>
  <c r="J3" i="372"/>
  <c r="H12" i="339"/>
  <c r="G12" i="339"/>
  <c r="A11" i="383"/>
  <c r="A4" i="383"/>
  <c r="A27" i="383"/>
  <c r="A26" i="383"/>
  <c r="A25" i="383"/>
  <c r="A24" i="383"/>
  <c r="A23" i="383"/>
  <c r="A22" i="383"/>
  <c r="A21" i="383"/>
  <c r="A20" i="383"/>
  <c r="A17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13" i="414"/>
  <c r="C4" i="414"/>
  <c r="D15" i="414"/>
  <c r="H13" i="339" l="1"/>
  <c r="F15" i="339"/>
  <c r="D23" i="414"/>
  <c r="E23" i="414" s="1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8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<sst xmlns="http://schemas.openxmlformats.org/spreadsheetml/2006/main" count="5890" uniqueCount="1777">
  <si>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</si>
  <si>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</si>
  <si>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</si>
  <si>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</si>
  <si>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</si>
  <si>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</si>
  <si>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</si>
  <si>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</si>
  <si>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</si>
  <si>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</si>
  <si>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</si>
  <si>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</si>
  <si>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</si>
  <si>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</si>
  <si>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</si>
  <si>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</si>
  <si>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</si>
  <si>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</si>
  <si>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</si>
  <si>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</si>
  <si>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</si>
  <si>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</si>
  <si>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</si>
  <si>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</si>
  <si>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</si>
  <si>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</si>
  <si>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</si>
  <si>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</si>
  <si>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</si>
  <si>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</si>
  <si>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</si>
  <si>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</si>
  <si>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</si>
  <si>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</si>
  <si>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</si>
  <si>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</si>
  <si>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</si>
  <si>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</si>
  <si>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</si>
  <si>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</si>
  <si>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</si>
  <si>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</si>
  <si>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</si>
  <si>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</si>
  <si>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</si>
  <si>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</si>
  <si>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</si>
  <si>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</si>
  <si>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</si>
  <si>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</si>
  <si>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</si>
  <si>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</si>
  <si>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</si>
  <si>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</si>
  <si>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</si>
  <si>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</si>
  <si>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</si>
  <si>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</si>
  <si>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</si>
  <si>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</si>
  <si>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</si>
  <si>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</si>
  <si>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</si>
  <si>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</si>
  <si>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</si>
  <si>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</si>
  <si>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</si>
  <si>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</si>
  <si>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</si>
  <si>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</si>
  <si>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</si>
  <si>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</si>
  <si>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</si>
  <si>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</si>
  <si>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</si>
  <si>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</si>
  <si>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</si>
  <si>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</si>
  <si>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</si>
  <si>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</si>
  <si>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</si>
  <si>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</si>
  <si>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</si>
  <si>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</si>
  <si>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</si>
  <si>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</si>
  <si>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</si>
  <si>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</si>
  <si>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</si>
  <si>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</si>
  <si>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</si>
  <si>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</si>
  <si>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</si>
  <si>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</si>
  <si>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</si>
  <si>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</si>
  <si>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</si>
  <si>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</si>
  <si>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</si>
  <si>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</si>
  <si>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</si>
  <si>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</si>
  <si>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</si>
  <si>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</si>
  <si>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</si>
  <si>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</si>
  <si>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</si>
  <si>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</si>
  <si>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</si>
  <si>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</si>
  <si>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</si>
  <si>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</si>
  <si>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</si>
  <si>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</si>
  <si>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</si>
  <si>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</si>
  <si>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</si>
  <si>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</si>
  <si>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</si>
  <si>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</si>
  <si>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</si>
  <si>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</si>
  <si>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</si>
  <si>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</si>
  <si>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</si>
  <si>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</si>
  <si>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</si>
  <si>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</si>
  <si>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</si>
  <si>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</si>
  <si>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</si>
  <si>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</si>
  <si>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</si>
  <si>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</si>
  <si>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</si>
  <si>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</si>
  <si>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</si>
  <si>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</si>
  <si>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</si>
  <si>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</si>
  <si>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</si>
  <si>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</si>
  <si>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</si>
  <si>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</si>
  <si>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</si>
  <si>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</si>
  <si>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</si>
  <si>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</si>
  <si>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</si>
  <si>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</si>
  <si>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</si>
  <si>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</si>
  <si>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</si>
  <si>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</si>
  <si>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</si>
  <si>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</si>
  <si>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</si>
  <si>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</si>
  <si>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</si>
  <si>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</si>
  <si>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</si>
  <si>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</si>
  <si>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</si>
  <si>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</si>
  <si>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</si>
  <si>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</si>
  <si>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</si>
  <si>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</si>
  <si>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</si>
  <si>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</si>
  <si>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</si>
  <si>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</si>
  <si>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</si>
  <si>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</si>
  <si>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</si>
  <si>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</si>
  <si>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</si>
  <si>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</si>
  <si>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</si>
  <si>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</si>
  <si>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</si>
  <si>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</si>
  <si>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</si>
  <si>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</si>
  <si>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</si>
  <si>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</si>
  <si>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</si>
  <si>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</si>
  <si>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</si>
  <si>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</si>
  <si>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</si>
  <si>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</si>
  <si>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</si>
  <si>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</si>
  <si>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</si>
  <si>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</si>
  <si>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</si>
  <si>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</si>
  <si>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</si>
  <si>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</si>
  <si>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</si>
  <si>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</si>
  <si>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</si>
  <si>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</si>
  <si>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</si>
  <si>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</si>
  <si>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</si>
  <si>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</si>
  <si>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</si>
  <si>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</si>
  <si>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</si>
  <si>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</si>
  <si>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</si>
  <si>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* Legenda</t>
  </si>
  <si>
    <t>Dle vyhlášky optimum casemixu 97%, hospitalizace 93%</t>
  </si>
  <si>
    <t>333 - Cizinci</t>
  </si>
  <si>
    <t>Počet hospitalizací - případů DRG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</si>
  <si>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</si>
  <si>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</si>
  <si>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</si>
  <si>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</si>
  <si>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</si>
  <si>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</si>
  <si>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</si>
  <si>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</si>
  <si>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</si>
  <si>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</si>
  <si>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</si>
  <si>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</si>
  <si>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</si>
  <si>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</si>
  <si>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</si>
  <si>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</si>
  <si>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</si>
  <si>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</si>
  <si>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</si>
  <si>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</si>
  <si>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</si>
  <si>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</si>
  <si>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</si>
  <si>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</si>
  <si>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</si>
  <si>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</si>
  <si>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</si>
  <si>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</si>
  <si>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</si>
  <si>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</si>
  <si>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</si>
  <si>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</si>
  <si>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</si>
  <si>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</si>
  <si>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</si>
  <si>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</si>
  <si>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</si>
  <si>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</si>
  <si>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</si>
  <si>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</si>
  <si>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</si>
  <si>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</si>
  <si>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</si>
  <si>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</si>
  <si>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</si>
  <si>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</si>
  <si>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</si>
  <si>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</si>
  <si>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</si>
  <si>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</si>
  <si>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</si>
  <si>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</si>
  <si>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</si>
  <si>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</si>
  <si>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</si>
  <si>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</si>
  <si>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</si>
  <si>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</si>
  <si>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</si>
  <si>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</si>
  <si>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</si>
  <si>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</si>
  <si>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</si>
  <si>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</si>
  <si>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</si>
  <si>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</si>
  <si>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</si>
  <si>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</si>
  <si>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</si>
  <si>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50113016     léky - spotřeba v centrech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</si>
  <si>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</si>
  <si>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</si>
  <si>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</si>
  <si>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</si>
  <si>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</si>
  <si>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</si>
  <si>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</si>
  <si>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</si>
  <si>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</si>
  <si>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</si>
  <si>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</si>
  <si>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</si>
  <si>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</si>
  <si>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</si>
  <si>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</si>
  <si>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</si>
  <si>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</si>
  <si>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</si>
  <si>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</si>
  <si>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50116004     výživa kojenců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</si>
  <si>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</si>
  <si>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</si>
  <si>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</si>
  <si>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</si>
  <si>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</si>
  <si>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</si>
  <si>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</si>
  <si>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</si>
  <si>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</si>
  <si>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</si>
  <si>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</si>
  <si>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</si>
  <si>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</si>
  <si>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</si>
  <si>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</si>
  <si>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</si>
  <si>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</si>
  <si>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</si>
  <si>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</si>
  <si>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</si>
  <si>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</si>
  <si>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</si>
  <si>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</si>
  <si>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</si>
  <si>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</si>
  <si>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</si>
  <si>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</si>
  <si>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</si>
  <si>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</si>
  <si>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</si>
  <si>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</si>
  <si>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</si>
  <si>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</si>
  <si>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</si>
  <si>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</si>
  <si>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</si>
  <si>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novorozenecké odd. - pomůcky pro rodičky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</si>
  <si>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</si>
  <si>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</si>
  <si>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</si>
  <si>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</si>
  <si>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</si>
  <si>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</si>
  <si>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</si>
  <si>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</si>
  <si>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</si>
  <si>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</si>
  <si>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</si>
  <si>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</si>
  <si>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</si>
  <si>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</si>
  <si>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</si>
  <si>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</si>
  <si>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</si>
  <si>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</si>
  <si>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</si>
  <si>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</si>
  <si>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</si>
  <si>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</si>
  <si>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</si>
  <si>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</si>
  <si>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</si>
  <si>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</si>
  <si>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</si>
  <si>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</si>
  <si>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</si>
  <si>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</si>
  <si>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</si>
  <si>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</si>
  <si>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</si>
  <si>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</si>
  <si>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</si>
  <si>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</si>
  <si>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</si>
  <si>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</si>
  <si>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</si>
  <si>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</si>
  <si>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</si>
  <si>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</si>
  <si>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</si>
  <si>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</si>
  <si>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</si>
  <si>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</si>
  <si>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</si>
  <si>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</si>
  <si>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</si>
  <si>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</si>
  <si>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</si>
  <si>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</si>
  <si>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</si>
  <si>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</si>
  <si>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</si>
  <si>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</si>
  <si>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</si>
  <si>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</si>
  <si>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</si>
  <si>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</si>
  <si>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</si>
  <si>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</si>
  <si>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</si>
  <si>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</si>
  <si>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</si>
  <si>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</si>
  <si>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</si>
  <si>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</si>
  <si>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</si>
  <si>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</si>
  <si>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</si>
  <si>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</si>
  <si>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55801081     DDHM - zdravotnický a laboratorní (finanční dary)</t>
  </si>
  <si>
    <t>55802     DDHM - provozní</t>
  </si>
  <si>
    <t>55802002     DDHM - ostatní provozní technika (sk.V_35)</t>
  </si>
  <si>
    <t>55802003     DDHM - kacelářská technika (sk.V_37)</t>
  </si>
  <si>
    <t>55802080     DDHM - provozní (věcné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</si>
  <si>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</si>
  <si>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</si>
  <si>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</si>
  <si>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</si>
  <si>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</si>
  <si>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</si>
  <si>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</si>
  <si>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</si>
  <si>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</si>
  <si>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</si>
  <si>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</si>
  <si>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</si>
  <si>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</si>
  <si>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</si>
  <si>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</si>
  <si>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</si>
  <si>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</si>
  <si>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</si>
  <si>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</si>
  <si>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</si>
  <si>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</si>
  <si>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</si>
  <si>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</si>
  <si>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</si>
  <si>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</si>
  <si>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</si>
  <si>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</si>
  <si>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</si>
  <si>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novorozenecké odd.- pomůcky pro rodičky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</si>
  <si>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</si>
  <si>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</si>
  <si>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</si>
  <si>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</si>
  <si>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</si>
  <si>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</si>
  <si>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</si>
  <si>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</si>
  <si>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</si>
  <si>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</si>
  <si>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</si>
  <si>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</si>
  <si>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</si>
  <si>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</si>
  <si>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</si>
  <si>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</si>
  <si>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</si>
  <si>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</si>
  <si>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</si>
  <si>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</si>
  <si>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</si>
  <si>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</si>
  <si>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</si>
  <si>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</si>
  <si>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</si>
  <si>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</si>
  <si>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</si>
  <si>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</si>
  <si>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</si>
  <si>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</si>
  <si>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</si>
  <si>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</si>
  <si>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</si>
  <si>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</si>
  <si>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</si>
  <si>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</si>
  <si>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</si>
  <si>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</si>
  <si>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</si>
  <si>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</si>
  <si>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</si>
  <si>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</si>
  <si>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</si>
  <si>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</si>
  <si>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</si>
  <si>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</si>
  <si>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09</t>
  </si>
  <si>
    <t/>
  </si>
  <si>
    <t>Novorozenecké oddělení</t>
  </si>
  <si>
    <t>50113001</t>
  </si>
  <si>
    <t>Lékárna - léčiva</t>
  </si>
  <si>
    <t>50113006</t>
  </si>
  <si>
    <t>Lékárna - enterární výživa</t>
  </si>
  <si>
    <t>50113008</t>
  </si>
  <si>
    <t>393 TO krevní deriváty IVLP (112 01 003)</t>
  </si>
  <si>
    <t>50113013</t>
  </si>
  <si>
    <t>Lékárna - antibiotika</t>
  </si>
  <si>
    <t>50113014</t>
  </si>
  <si>
    <t>Lékárna - antimykotika</t>
  </si>
  <si>
    <t>SumaKL</t>
  </si>
  <si>
    <t>0911</t>
  </si>
  <si>
    <t>Novorozenecké oddělení, lůžkové oddělení 16C</t>
  </si>
  <si>
    <t>SumaNS</t>
  </si>
  <si>
    <t>mezeraNS</t>
  </si>
  <si>
    <t>0912</t>
  </si>
  <si>
    <t>Novorozenecké oddělení, lůžkové oddělení 16B + 16D</t>
  </si>
  <si>
    <t>0931</t>
  </si>
  <si>
    <t>Novorozenecké oddělení, JIP 16A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</si>
  <si>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</si>
  <si>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</si>
  <si>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</si>
  <si>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</si>
  <si>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</si>
  <si>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</si>
  <si>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</si>
  <si>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</si>
  <si>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</si>
  <si>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</si>
  <si>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</si>
  <si>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</si>
  <si>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</si>
  <si>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</si>
  <si>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</si>
  <si>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</si>
  <si>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</si>
  <si>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</si>
  <si>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</si>
  <si>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</si>
  <si>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152266</t>
  </si>
  <si>
    <t>52266</t>
  </si>
  <si>
    <t>INFADOLAN</t>
  </si>
  <si>
    <t>DRM UNG 1X30GM</t>
  </si>
  <si>
    <t>395997</t>
  </si>
  <si>
    <t>DZ SOFTASEPT N BEZBARVÝ 250 ml</t>
  </si>
  <si>
    <t>847974</t>
  </si>
  <si>
    <t>125525</t>
  </si>
  <si>
    <t>APO-IBUPROFEN 400 MG</t>
  </si>
  <si>
    <t>POR TBL FLM 30X400MG</t>
  </si>
  <si>
    <t>930444</t>
  </si>
  <si>
    <t>KL AQUA PURIF. KULICH 1 kg</t>
  </si>
  <si>
    <t>100489</t>
  </si>
  <si>
    <t>489</t>
  </si>
  <si>
    <t>INJ 5X1ML/10MG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</si>
  <si>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</si>
  <si>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</si>
  <si>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</si>
  <si>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</si>
  <si>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</si>
  <si>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</si>
  <si>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</si>
  <si>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500701</t>
  </si>
  <si>
    <t>IR  AQUA STERILE OPLACH 1000 ml Pour Bottle Prom.</t>
  </si>
  <si>
    <t>196886</t>
  </si>
  <si>
    <t>96886</t>
  </si>
  <si>
    <t>0.9% W/V SODIUM CHLORIDE I.V.</t>
  </si>
  <si>
    <t>INJ 20X10ML</t>
  </si>
  <si>
    <t>189996</t>
  </si>
  <si>
    <t>89996</t>
  </si>
  <si>
    <t>LINOLA-FETT OLBAD</t>
  </si>
  <si>
    <t>OLE 1X200ML</t>
  </si>
  <si>
    <t>394627</t>
  </si>
  <si>
    <t>KL BARVA NA  DETI 20 g</t>
  </si>
  <si>
    <t>844879</t>
  </si>
  <si>
    <t>KL HELIANTHI OLEUM 45g</t>
  </si>
  <si>
    <t>920352</t>
  </si>
  <si>
    <t>KL HELIANTHI OLEUM 180G</t>
  </si>
  <si>
    <t>921326</t>
  </si>
  <si>
    <t>KL SOL.NOVIKOV SINE V.N. 20G</t>
  </si>
  <si>
    <t>921412</t>
  </si>
  <si>
    <t>KL UNG.LENIENS, 30G</t>
  </si>
  <si>
    <t>930332</t>
  </si>
  <si>
    <t>KL BENZINUM 20g</t>
  </si>
  <si>
    <t>930676</t>
  </si>
  <si>
    <t>KL SACCHAROSUM  24 %  65 g</t>
  </si>
  <si>
    <t>200863</t>
  </si>
  <si>
    <t>OPH GTT SOL 1X10ML PLAST</t>
  </si>
  <si>
    <t>101066</t>
  </si>
  <si>
    <t>1066</t>
  </si>
  <si>
    <t>FRAMYKOIN</t>
  </si>
  <si>
    <t>UNG 1X10GM</t>
  </si>
  <si>
    <t>190778</t>
  </si>
  <si>
    <t>90778</t>
  </si>
  <si>
    <t>BACTROBAN</t>
  </si>
  <si>
    <t>DRM UNG 1X15GM</t>
  </si>
  <si>
    <t>168999</t>
  </si>
  <si>
    <t>68999</t>
  </si>
  <si>
    <t>AMPICILIN BIOTIKA</t>
  </si>
  <si>
    <t>INJ 10X500MG</t>
  </si>
  <si>
    <t>196413</t>
  </si>
  <si>
    <t>96413</t>
  </si>
  <si>
    <t>GENTAMICIN 40MG LEK</t>
  </si>
  <si>
    <t>INJ 10X2ML/40MG</t>
  </si>
  <si>
    <t>155759</t>
  </si>
  <si>
    <t>55759</t>
  </si>
  <si>
    <t>PAMYCON NA PRIPRAVU KAPEK</t>
  </si>
  <si>
    <t>PLV 1X1LAHV</t>
  </si>
  <si>
    <t>166366</t>
  </si>
  <si>
    <t>66366</t>
  </si>
  <si>
    <t>OSPAMOX 250MG/5ML</t>
  </si>
  <si>
    <t>GRA SUS 1X60ML</t>
  </si>
  <si>
    <t>186264</t>
  </si>
  <si>
    <t>86264</t>
  </si>
  <si>
    <t>TOBREX</t>
  </si>
  <si>
    <t>GTT OPH 5ML 3MG/1ML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</si>
  <si>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</si>
  <si>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</si>
  <si>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</si>
  <si>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</si>
  <si>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</si>
  <si>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</si>
  <si>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</si>
  <si>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</si>
  <si>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47256</t>
  </si>
  <si>
    <t>GLUKÓZA 5 BRAUN</t>
  </si>
  <si>
    <t>INF SOL 20X100ML-PE</t>
  </si>
  <si>
    <t>103575</t>
  </si>
  <si>
    <t>3575</t>
  </si>
  <si>
    <t>HEPAROID LECIVA</t>
  </si>
  <si>
    <t>102684</t>
  </si>
  <si>
    <t>2684</t>
  </si>
  <si>
    <t>MESOCAIN</t>
  </si>
  <si>
    <t>GEL 1X20GM</t>
  </si>
  <si>
    <t>47247</t>
  </si>
  <si>
    <t>INF SOL 10X1000ML-PE</t>
  </si>
  <si>
    <t>122629</t>
  </si>
  <si>
    <t>SAB SIMPLEX</t>
  </si>
  <si>
    <t>POR SUS 1X30ML</t>
  </si>
  <si>
    <t>199138</t>
  </si>
  <si>
    <t>99138</t>
  </si>
  <si>
    <t>AKTIFERRIN</t>
  </si>
  <si>
    <t>GTT 1X30ML</t>
  </si>
  <si>
    <t>112023</t>
  </si>
  <si>
    <t>12023</t>
  </si>
  <si>
    <t>VIGANTOL</t>
  </si>
  <si>
    <t>POR GTT SOL 1x10ML</t>
  </si>
  <si>
    <t>189997</t>
  </si>
  <si>
    <t>89997</t>
  </si>
  <si>
    <t>OLE 1X400ML</t>
  </si>
  <si>
    <t>394072</t>
  </si>
  <si>
    <t>1000</t>
  </si>
  <si>
    <t>KL KAPSLE</t>
  </si>
  <si>
    <t>900071</t>
  </si>
  <si>
    <t>KL TBL MAGN.LACT 0,5G+B6 0,02G, 100TBL</t>
  </si>
  <si>
    <t>848783</t>
  </si>
  <si>
    <t>115400</t>
  </si>
  <si>
    <t>CLEXANE</t>
  </si>
  <si>
    <t>INJ SOL 10X0.2ML/2KU</t>
  </si>
  <si>
    <t>162189</t>
  </si>
  <si>
    <t>62189</t>
  </si>
  <si>
    <t>NASIVIN</t>
  </si>
  <si>
    <t>GTT NAS 1X5ML 0.01%</t>
  </si>
  <si>
    <t>501097</t>
  </si>
  <si>
    <t>KL CR.NEOAQUASORBI, 30G</t>
  </si>
  <si>
    <t>120053</t>
  </si>
  <si>
    <t>20053</t>
  </si>
  <si>
    <t>BENOXI 0.4 % UNIMED PHARMA</t>
  </si>
  <si>
    <t>OPH GTT SOL 1X10ML</t>
  </si>
  <si>
    <t>156675</t>
  </si>
  <si>
    <t>56675</t>
  </si>
  <si>
    <t>FLOXAL</t>
  </si>
  <si>
    <t>GTT OPH 1X5ML</t>
  </si>
  <si>
    <t>845628</t>
  </si>
  <si>
    <t>KL COLL.PHENYLEPHRINI 10g</t>
  </si>
  <si>
    <t>846941</t>
  </si>
  <si>
    <t>Swiss Laktobacilky baby 30 cps</t>
  </si>
  <si>
    <t>920020</t>
  </si>
  <si>
    <t>KL COLL.HOMAT.HYDROBROM.1%10G</t>
  </si>
  <si>
    <t>920367</t>
  </si>
  <si>
    <t>KL EREVIT GTT. 18G</t>
  </si>
  <si>
    <t>921342</t>
  </si>
  <si>
    <t>KL SOL.COFFEINI 1% 50G</t>
  </si>
  <si>
    <t>191249</t>
  </si>
  <si>
    <t>91249</t>
  </si>
  <si>
    <t>PARALEN PRO INFANTIBUS</t>
  </si>
  <si>
    <t>SUP 5X100MG</t>
  </si>
  <si>
    <t>849449</t>
  </si>
  <si>
    <t>GASTROTUSS Baby sirup 200ml</t>
  </si>
  <si>
    <t>P</t>
  </si>
  <si>
    <t>195604</t>
  </si>
  <si>
    <t>95604</t>
  </si>
  <si>
    <t>FLIXOTIDE 50 INHALER N</t>
  </si>
  <si>
    <t>INH SUS PSS120X50RG</t>
  </si>
  <si>
    <t>72973</t>
  </si>
  <si>
    <t>AMOKSIKLAV 600 MG</t>
  </si>
  <si>
    <t>INJ PLV SOL 5X600MG</t>
  </si>
  <si>
    <t>131739</t>
  </si>
  <si>
    <t>31739</t>
  </si>
  <si>
    <t>HELICID « 40 INF. LYOF.1X40MG</t>
  </si>
  <si>
    <t>31915</t>
  </si>
  <si>
    <t>GLUKÓZA 10 BRAUN</t>
  </si>
  <si>
    <t>INF SOL 10X500ML-PE</t>
  </si>
  <si>
    <t>47249</t>
  </si>
  <si>
    <t>INF SOL 10X250ML-PE</t>
  </si>
  <si>
    <t>51367</t>
  </si>
  <si>
    <t>INF SOL 10X250MLPELAH</t>
  </si>
  <si>
    <t>100498</t>
  </si>
  <si>
    <t>498</t>
  </si>
  <si>
    <t>MAGNESIUM SULFURICUM BIOTIKA</t>
  </si>
  <si>
    <t>INJ 5X10ML 10%</t>
  </si>
  <si>
    <t>100889</t>
  </si>
  <si>
    <t>889</t>
  </si>
  <si>
    <t>PITYOL</t>
  </si>
  <si>
    <t>102133</t>
  </si>
  <si>
    <t>2133</t>
  </si>
  <si>
    <t>FUROSEMID BIOTIKA</t>
  </si>
  <si>
    <t>INJ 5X2ML/20MG</t>
  </si>
  <si>
    <t>102486</t>
  </si>
  <si>
    <t>2486</t>
  </si>
  <si>
    <t>KALIUM CHLORATUM LECIVA 7.5%</t>
  </si>
  <si>
    <t>INJ 5X10ML 7.5%</t>
  </si>
  <si>
    <t>124067</t>
  </si>
  <si>
    <t>HYDROCORTISON VUAB 100 MG</t>
  </si>
  <si>
    <t>INJ PLV SOL 1X100MG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</si>
  <si>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</si>
  <si>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</si>
  <si>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</si>
  <si>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</si>
  <si>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</si>
  <si>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</si>
  <si>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</si>
  <si>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</si>
  <si>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193746</t>
  </si>
  <si>
    <t>93746</t>
  </si>
  <si>
    <t>HEPARIN LECIVA</t>
  </si>
  <si>
    <t>INJ 1X10ML/50KU</t>
  </si>
  <si>
    <t>846599</t>
  </si>
  <si>
    <t>107754</t>
  </si>
  <si>
    <t>Dobutamin Admeda 250 inf.sol50ml</t>
  </si>
  <si>
    <t>847713</t>
  </si>
  <si>
    <t>125526</t>
  </si>
  <si>
    <t>POR TBL FLM 100X400MG</t>
  </si>
  <si>
    <t>905097</t>
  </si>
  <si>
    <t>23987</t>
  </si>
  <si>
    <t>DZ OCTENISEPT 250 ml</t>
  </si>
  <si>
    <t>DPH 15%</t>
  </si>
  <si>
    <t>100536</t>
  </si>
  <si>
    <t>536</t>
  </si>
  <si>
    <t>NORADRENALIN LECIVA</t>
  </si>
  <si>
    <t>104380</t>
  </si>
  <si>
    <t>4380</t>
  </si>
  <si>
    <t>TENSAMIN</t>
  </si>
  <si>
    <t>INJ 10X5ML</t>
  </si>
  <si>
    <t>100874</t>
  </si>
  <si>
    <t>874</t>
  </si>
  <si>
    <t>OPHTHALMO-AZULEN</t>
  </si>
  <si>
    <t>UNG OPH 1X5GM</t>
  </si>
  <si>
    <t>159398</t>
  </si>
  <si>
    <t>59398</t>
  </si>
  <si>
    <t>TRACUTIL</t>
  </si>
  <si>
    <t>INF 5X10ML</t>
  </si>
  <si>
    <t>194852</t>
  </si>
  <si>
    <t>94852</t>
  </si>
  <si>
    <t>SOLUVIT N PRO INFUS.</t>
  </si>
  <si>
    <t>INJ SIC 10</t>
  </si>
  <si>
    <t>100392</t>
  </si>
  <si>
    <t>392</t>
  </si>
  <si>
    <t>ATROPIN BIOTIKA 0.5MG</t>
  </si>
  <si>
    <t>INJ 10X1ML/0.5MG</t>
  </si>
  <si>
    <t>100512</t>
  </si>
  <si>
    <t>512</t>
  </si>
  <si>
    <t>NATRIUM CHLORATUM BIOTIKA 10%</t>
  </si>
  <si>
    <t>INJ 10X5ML 10%</t>
  </si>
  <si>
    <t>169724</t>
  </si>
  <si>
    <t>69724</t>
  </si>
  <si>
    <t>ARDEAELYTOSOL NA.HYDR.CARB.4.2%</t>
  </si>
  <si>
    <t>INF 1X80ML</t>
  </si>
  <si>
    <t>186970</t>
  </si>
  <si>
    <t>86970</t>
  </si>
  <si>
    <t>ARDEANUTRISOL G 20</t>
  </si>
  <si>
    <t>INF SOL 1X250ML</t>
  </si>
  <si>
    <t>185256</t>
  </si>
  <si>
    <t>85256</t>
  </si>
  <si>
    <t>RIVOTRIL 2.5MG/ML</t>
  </si>
  <si>
    <t>186968</t>
  </si>
  <si>
    <t>86968</t>
  </si>
  <si>
    <t>ARDEANUTRISOL G 10</t>
  </si>
  <si>
    <t>INF 1X250ML</t>
  </si>
  <si>
    <t>921416</t>
  </si>
  <si>
    <t>KL CPS CALC.GLUC.+KAL.DIH. 100CPS</t>
  </si>
  <si>
    <t>930224</t>
  </si>
  <si>
    <t>KL BENZINUM 900 ml</t>
  </si>
  <si>
    <t>UN 3295</t>
  </si>
  <si>
    <t>142495</t>
  </si>
  <si>
    <t>42495</t>
  </si>
  <si>
    <t>GLUCOSE-1-PHOSPH.FRESENIUS 1MO</t>
  </si>
  <si>
    <t>INF CNC SOL 5X10ML</t>
  </si>
  <si>
    <t>142594</t>
  </si>
  <si>
    <t>42594</t>
  </si>
  <si>
    <t>VITALIPID N INFANT</t>
  </si>
  <si>
    <t>INF CNC SOL 10X10ML</t>
  </si>
  <si>
    <t>167679</t>
  </si>
  <si>
    <t>PEYONA 20 MG/ML</t>
  </si>
  <si>
    <t>IVN+POR SOL 10X1ML</t>
  </si>
  <si>
    <t>169747</t>
  </si>
  <si>
    <t>69747</t>
  </si>
  <si>
    <t>169751</t>
  </si>
  <si>
    <t>69751</t>
  </si>
  <si>
    <t>INF SOL 1X80ML</t>
  </si>
  <si>
    <t>187226</t>
  </si>
  <si>
    <t>87226</t>
  </si>
  <si>
    <t>CUROSURF</t>
  </si>
  <si>
    <t>SUS 2X1.5ML/120MG</t>
  </si>
  <si>
    <t>196023</t>
  </si>
  <si>
    <t>2693</t>
  </si>
  <si>
    <t>PENTAGLOBIN</t>
  </si>
  <si>
    <t>INJ 1X10ML</t>
  </si>
  <si>
    <t>199814</t>
  </si>
  <si>
    <t>99814</t>
  </si>
  <si>
    <t>VODA NA INJEKCI VIAFLO</t>
  </si>
  <si>
    <t>PAR LQF 20X500ML</t>
  </si>
  <si>
    <t>501062</t>
  </si>
  <si>
    <t>KL MORPHINI HYDROCHL. 0,008 AQ.P. AD 20G</t>
  </si>
  <si>
    <t>Novoroz. odd.</t>
  </si>
  <si>
    <t>844978</t>
  </si>
  <si>
    <t>107475</t>
  </si>
  <si>
    <t>PRIMENE 10%</t>
  </si>
  <si>
    <t>INF SOL 10X250ML 10%</t>
  </si>
  <si>
    <t>920368</t>
  </si>
  <si>
    <t>KL EREVIT GTT. 30G</t>
  </si>
  <si>
    <t>921296</t>
  </si>
  <si>
    <t>KL SUPP.GLYCEROLI  30KS, pro novorozence</t>
  </si>
  <si>
    <t>921573</t>
  </si>
  <si>
    <t>KL SUPP.PARACETAMOLI 0,02G  30KS</t>
  </si>
  <si>
    <t>930608</t>
  </si>
  <si>
    <t>KL CHLORAL.HYDRATUM 50 g</t>
  </si>
  <si>
    <t>157871</t>
  </si>
  <si>
    <t>PARACETAMOL KABI 10 MG/ML</t>
  </si>
  <si>
    <t>INF SOL 10X50ML/500MG</t>
  </si>
  <si>
    <t>395180</t>
  </si>
  <si>
    <t>Arfen 400mg/3ml inj. 6 amp.</t>
  </si>
  <si>
    <t>107678</t>
  </si>
  <si>
    <t>KALIUMCHLORID 7.45% BRAUN</t>
  </si>
  <si>
    <t>INF CNC SOL 20X20ML</t>
  </si>
  <si>
    <t>988073</t>
  </si>
  <si>
    <t>NESTLÉ Beba H.A.1 800g NEW</t>
  </si>
  <si>
    <t>125034</t>
  </si>
  <si>
    <t>25034</t>
  </si>
  <si>
    <t>DORMICUM</t>
  </si>
  <si>
    <t>INJ SOL 10X1ML/5MG</t>
  </si>
  <si>
    <t>849266</t>
  </si>
  <si>
    <t>162444</t>
  </si>
  <si>
    <t xml:space="preserve">SUFENTANIL TORREX 5 MCG/ML </t>
  </si>
  <si>
    <t>INJ SOL 5X2ML/10RG</t>
  </si>
  <si>
    <t>116336</t>
  </si>
  <si>
    <t>16336</t>
  </si>
  <si>
    <t>LIPOPLUS 20%</t>
  </si>
  <si>
    <t>INFEML10X100ML-SKLO</t>
  </si>
  <si>
    <t>161451</t>
  </si>
  <si>
    <t>NUTRILON 1 800g</t>
  </si>
  <si>
    <t>394317</t>
  </si>
  <si>
    <t>NESTLÉ Beba H.A.1 400g</t>
  </si>
  <si>
    <t>500708</t>
  </si>
  <si>
    <t>Nutrilon 0 Nenatal 24 x 70ml</t>
  </si>
  <si>
    <t>843230</t>
  </si>
  <si>
    <t>NESTLÉ Beba HA 1 Premium tekutá</t>
  </si>
  <si>
    <t>32x90ml</t>
  </si>
  <si>
    <t>845564</t>
  </si>
  <si>
    <t>Nutrilon 1  24x90ml RTF</t>
  </si>
  <si>
    <t>24 x 90 ml</t>
  </si>
  <si>
    <t>850713</t>
  </si>
  <si>
    <t>Nutrilon 0 Nenatal (Premature) 400g</t>
  </si>
  <si>
    <t>987826</t>
  </si>
  <si>
    <t>NESTLÉ PreBEBA FM85 200g</t>
  </si>
  <si>
    <t>845045</t>
  </si>
  <si>
    <t>107472</t>
  </si>
  <si>
    <t>INF SOL 20X100ML 10%</t>
  </si>
  <si>
    <t>83050</t>
  </si>
  <si>
    <t>198192</t>
  </si>
  <si>
    <t>SEFOTAK 1 G</t>
  </si>
  <si>
    <t>INJ PLV SOL 1X1GM</t>
  </si>
  <si>
    <t>111592</t>
  </si>
  <si>
    <t>11592</t>
  </si>
  <si>
    <t>METRONIDAZOL 500MG BRAUN</t>
  </si>
  <si>
    <t>INJ 10X100ML(LDPE)</t>
  </si>
  <si>
    <t>113453</t>
  </si>
  <si>
    <t>PIPERACILLIN/TAZOBACTAM KABI 4 G/0,5 G</t>
  </si>
  <si>
    <t>INF PLV SOL 10X4.5GM</t>
  </si>
  <si>
    <t>129767</t>
  </si>
  <si>
    <t>IMIPENEM/CILASTATIN KABI 500 MG/500 MG</t>
  </si>
  <si>
    <t>INF PLV SOL 10LAH/20ML</t>
  </si>
  <si>
    <t>177044</t>
  </si>
  <si>
    <t>77044</t>
  </si>
  <si>
    <t>ZINACEF AD INJ.</t>
  </si>
  <si>
    <t>INJ SIC 1X750MG</t>
  </si>
  <si>
    <t>105114</t>
  </si>
  <si>
    <t>5114</t>
  </si>
  <si>
    <t>TARGOCID 200MG</t>
  </si>
  <si>
    <t>INJ SIC 1X200MG+SOL</t>
  </si>
  <si>
    <t>142845</t>
  </si>
  <si>
    <t>42845</t>
  </si>
  <si>
    <t>ZINNAT 125 MG</t>
  </si>
  <si>
    <t>GRA SUS 1X50ML</t>
  </si>
  <si>
    <t>116896</t>
  </si>
  <si>
    <t>16896</t>
  </si>
  <si>
    <t>IMAZOL PLUS</t>
  </si>
  <si>
    <t>DRM CRM 1X30GM</t>
  </si>
  <si>
    <t>137484</t>
  </si>
  <si>
    <t>ANBINEX 500 I.U. Grifols</t>
  </si>
  <si>
    <t>26039</t>
  </si>
  <si>
    <t>KIOVIG 1 g CZ Baxter</t>
  </si>
  <si>
    <t>42144</t>
  </si>
  <si>
    <t>Human Albumin 20% 10 ml GRIFOLS</t>
  </si>
  <si>
    <t>0931 - Novorozenecké oddělení, JIP 16A</t>
  </si>
  <si>
    <t>0912 - Novorozenecké oddělení, lůžkové oddělení 16B + 16D</t>
  </si>
  <si>
    <t>A02BC01 - Omeprazol</t>
  </si>
  <si>
    <t>J01DD01 - Cefotaxim</t>
  </si>
  <si>
    <t>J01XA02 - Teikoplanin</t>
  </si>
  <si>
    <t>N05CD08 - Midazolam</t>
  </si>
  <si>
    <t>N01AH03 - Sufentanyl</t>
  </si>
  <si>
    <t>R03BA05 - Flutikason</t>
  </si>
  <si>
    <t>J01DC02 - Cefuroxim</t>
  </si>
  <si>
    <t>J01CR02 - Amoxicilin a enzymový inhibitor</t>
  </si>
  <si>
    <t>J01DH51 - Imipenem a enzymový inhibitor</t>
  </si>
  <si>
    <t>J01CR02</t>
  </si>
  <si>
    <t>R03BA05</t>
  </si>
  <si>
    <t>INH SUS PSS 120X50RG</t>
  </si>
  <si>
    <t>A02BC01</t>
  </si>
  <si>
    <t>HELICID 40 INF</t>
  </si>
  <si>
    <t>INF PLV SOL 1X40MG</t>
  </si>
  <si>
    <t>J01DC02</t>
  </si>
  <si>
    <t>POR GRA SUS 1X50ML</t>
  </si>
  <si>
    <t>ZINACEF 750 MG</t>
  </si>
  <si>
    <t>INJ PLV SOL 1X750MG</t>
  </si>
  <si>
    <t>J01DD01</t>
  </si>
  <si>
    <t>J01DH51</t>
  </si>
  <si>
    <t>J01XA02</t>
  </si>
  <si>
    <t>TARGOCID 200 MG</t>
  </si>
  <si>
    <t>INJ+POR PSO LQF 1X200MG</t>
  </si>
  <si>
    <t>N01AH03</t>
  </si>
  <si>
    <t>SUFENTANIL TORREX 5 MCG/ML</t>
  </si>
  <si>
    <t>N05CD08</t>
  </si>
  <si>
    <t>Přehled plnění pozitivního listu - spotřeba léčivých přípravků - orientační přehled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</si>
  <si>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</si>
  <si>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</si>
  <si>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</si>
  <si>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</si>
  <si>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</si>
  <si>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</si>
  <si>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</si>
  <si>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</si>
  <si>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</si>
  <si>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</si>
  <si>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</si>
  <si>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</si>
  <si>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</si>
  <si>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</si>
  <si>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</si>
  <si>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</si>
  <si>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</si>
  <si>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</si>
  <si>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ZA446</t>
  </si>
  <si>
    <t>Vata buničitá přířezy 20 x 30 cm 1230200129</t>
  </si>
  <si>
    <t>ZA467</t>
  </si>
  <si>
    <t>Tyčinka vatová nesterilní 15 cm 9679369</t>
  </si>
  <si>
    <t>ZF225</t>
  </si>
  <si>
    <t>Náplast hypoalergenní á 250 ks 5353811</t>
  </si>
  <si>
    <t>ZK522</t>
  </si>
  <si>
    <t xml:space="preserve">Tampon sterilní z buničité vaty / 20 ks karton á 2400 ks 1230213120 </t>
  </si>
  <si>
    <t>ZL684</t>
  </si>
  <si>
    <t>Náplast santiband standard poinjekční jednotl. baleno 19 mm x 72 mm 652</t>
  </si>
  <si>
    <t>ZA743</t>
  </si>
  <si>
    <t>Zkumavka odběrová 0,5 ml tapval fialová 11170</t>
  </si>
  <si>
    <t>ZA746</t>
  </si>
  <si>
    <t>Stříkačka omnifix 1 ml 9161406V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</si>
  <si>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</si>
  <si>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</si>
  <si>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</si>
  <si>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</si>
  <si>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</si>
  <si>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</si>
  <si>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</si>
  <si>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</si>
  <si>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ZA888</t>
  </si>
  <si>
    <t>Zkumavka odběrová s gelem tapval bílá 19860</t>
  </si>
  <si>
    <t>ZB117</t>
  </si>
  <si>
    <t>Lanceta haemolance modrá, á 150 ks, DIS7575</t>
  </si>
  <si>
    <t>ZB299</t>
  </si>
  <si>
    <t>Konektor bezjehlový s prodl.hadičkou 4097154</t>
  </si>
  <si>
    <t>ZB452</t>
  </si>
  <si>
    <t>Víko kompletní kompaktní podtl. odsáv. P00341</t>
  </si>
  <si>
    <t>ZB453</t>
  </si>
  <si>
    <t>Lopatka dřevěná ústní sterilní bal. á 100 ks 4700096</t>
  </si>
  <si>
    <t>ZC768</t>
  </si>
  <si>
    <t>Zkumavka 10 ml sterilní bal. á 1250 ks 1009/TE/SG</t>
  </si>
  <si>
    <t>ZD350</t>
  </si>
  <si>
    <t>Lanceta haemolance zelená 21 G á 150 ks DIS7568</t>
  </si>
  <si>
    <t>ZD662</t>
  </si>
  <si>
    <t>Cévka odsávací   8CH 07-0002</t>
  </si>
  <si>
    <t>ZF159</t>
  </si>
  <si>
    <t>Nádoba na kontaminovaný odpad 1 l 15-0002</t>
  </si>
  <si>
    <t>ZH395</t>
  </si>
  <si>
    <t>Filtr ke kompaktní odsavačce P00094</t>
  </si>
  <si>
    <t>ZI179</t>
  </si>
  <si>
    <t>Zkumavka s mediem+ flovakovaný tampon eSwab růžový 490CE.A</t>
  </si>
  <si>
    <t>ZK424</t>
  </si>
  <si>
    <t>Teploměr digitální s ohebným hrotem flexi P02605</t>
  </si>
  <si>
    <t>ZL688</t>
  </si>
  <si>
    <t>Proužky Accu-Check Inform IIStrip 50 EU1 á 50 ks 05942861</t>
  </si>
  <si>
    <t>ZC793</t>
  </si>
  <si>
    <t>Čidlo saturační neonatální LNOP Neo-L děti 1 - 10 kg adhesivní sens. bal. á 20 ks 1798</t>
  </si>
  <si>
    <t>ZA360</t>
  </si>
  <si>
    <t>Jehla sterican 0,5 x 25 mm oranžová 9186158</t>
  </si>
  <si>
    <t>ZA832</t>
  </si>
  <si>
    <t>Jehla injekční 0,9 x   40 mm žlutá 4657519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</si>
  <si>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</si>
  <si>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</si>
  <si>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</si>
  <si>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</si>
  <si>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ZL948</t>
  </si>
  <si>
    <t>Rukavice nitril promedica bez p. M bílé 6N á 100 ks 9399W3</t>
  </si>
  <si>
    <t>DD305</t>
  </si>
  <si>
    <t>KARTICKY TEST.SCREENING 45X70 á 100 ks</t>
  </si>
  <si>
    <t>DG379</t>
  </si>
  <si>
    <t>Doprava 21%</t>
  </si>
  <si>
    <t>ZA318</t>
  </si>
  <si>
    <t>Náplast transpore 1,25 cm x 9,14 m 1527-0</t>
  </si>
  <si>
    <t>ZA444</t>
  </si>
  <si>
    <t>Tampon 20 x 19 cm nesterilní stáčený 1320300404</t>
  </si>
  <si>
    <t>ZA516</t>
  </si>
  <si>
    <t>Kompresa NT 7,5 x 7,5 cm / 10 sterilní karton á 900 ks 1230119526</t>
  </si>
  <si>
    <t>ZC845</t>
  </si>
  <si>
    <t>Kompresa NT 10 x 20 cm / 5 ks sterilní 26621</t>
  </si>
  <si>
    <t>ZF351</t>
  </si>
  <si>
    <t>Náplast transpore bílá 1,25 cm x 9,14 m bal. á 24 ks 1534-0</t>
  </si>
  <si>
    <t>ZA674</t>
  </si>
  <si>
    <t>Cévka CN-01 646959</t>
  </si>
  <si>
    <t>ZA729</t>
  </si>
  <si>
    <t>Tyčinka vatová ster. velká, 1 bal/200 ks 967952</t>
  </si>
  <si>
    <t>ZA737</t>
  </si>
  <si>
    <t>Filtr mini spike modrý 4550234</t>
  </si>
  <si>
    <t>ZA744</t>
  </si>
  <si>
    <t>Kanyla neoflon 24G žlutá BDC391350</t>
  </si>
  <si>
    <t>ZB439</t>
  </si>
  <si>
    <t>Odstraňovač náplastí Convacare, á 100 ks, 37443</t>
  </si>
  <si>
    <t>ZB949</t>
  </si>
  <si>
    <t>Pinzeta UH sterilní HAR999565</t>
  </si>
  <si>
    <t>ZK798</t>
  </si>
  <si>
    <t xml:space="preserve">Zátka combi modrá 4495152 </t>
  </si>
  <si>
    <t>ZI026</t>
  </si>
  <si>
    <t>Šidítko dětské Flora kytička bal. á 30 ks 1001</t>
  </si>
  <si>
    <t>ZI033</t>
  </si>
  <si>
    <t>Sosák plochý anatomický silikonový 0,6 otvor 632 827 024 223</t>
  </si>
  <si>
    <t>ZI034</t>
  </si>
  <si>
    <t>Sosák kulatý úzký silikonový 0,8 otvor 3004</t>
  </si>
  <si>
    <t>ZF733</t>
  </si>
  <si>
    <t>Set resuscitační bal. á 10 ks 900 RD 010</t>
  </si>
  <si>
    <t>ZF925</t>
  </si>
  <si>
    <t>Jehla injekční 0,9 x   25 mm žlutá á 100 ks 4657500</t>
  </si>
  <si>
    <t>ZK476</t>
  </si>
  <si>
    <t>Rukavice operační latexové s pudrem ansell medigrip plus vel. 7,5 302925</t>
  </si>
  <si>
    <t>ZA570</t>
  </si>
  <si>
    <t>Náplast tegaderm 4,4 cm x 4,4 cm bal. á 100 ks 1622W</t>
  </si>
  <si>
    <t>ZA593</t>
  </si>
  <si>
    <t>Tampon stáčený sterilní 20 x 20 cm / 5 ks 28003</t>
  </si>
  <si>
    <t>ZA627</t>
  </si>
  <si>
    <t>Krytí granuflex 5 x 10 cm á 10 ks 1013949</t>
  </si>
  <si>
    <t>ZE108</t>
  </si>
  <si>
    <t>Krytí mepilex lite 10 x 10 cm bal. á 10 ks 284100-01</t>
  </si>
  <si>
    <t>ZF108</t>
  </si>
  <si>
    <t>Krytí mepilex lite 6 x  8,5 cm bal. á 5 ks 284000-01</t>
  </si>
  <si>
    <t>ZH318</t>
  </si>
  <si>
    <t>Náplast hydrokoloidní extra small Grip-Lok H á 100 ks ZEF:3100ESH</t>
  </si>
  <si>
    <t>ZA687</t>
  </si>
  <si>
    <t>Sáček močový curity s hod.diurézou 200 ml hadička 150 cm 6502</t>
  </si>
  <si>
    <t>ZA691</t>
  </si>
  <si>
    <t>Rampa 3 kohouty discofix 16600C/4085434/</t>
  </si>
  <si>
    <t>ZA705</t>
  </si>
  <si>
    <t>Hadička spojovací HS 1,8 x 450UNIV</t>
  </si>
  <si>
    <t>ZA749</t>
  </si>
  <si>
    <t>Stříkačka omnifix 50 ml 4617509F</t>
  </si>
  <si>
    <t>ZA822</t>
  </si>
  <si>
    <t>Membrána k Sensor Medics 3100</t>
  </si>
  <si>
    <t>ZB102</t>
  </si>
  <si>
    <t>Láhev k odsávačce flovac 1l hadice 1,8 m á 45 ks 000-036-020</t>
  </si>
  <si>
    <t>ZB199</t>
  </si>
  <si>
    <t>Kanyla neoflon 26G fialová BDC391349</t>
  </si>
  <si>
    <t>ZB301</t>
  </si>
  <si>
    <t>Rampa 5 kohoutů bal. á 20 ks RP 5000 M</t>
  </si>
  <si>
    <t>ZB336</t>
  </si>
  <si>
    <t>Zkumavka odběrová 1 ml tapval modrá bal. á 50 ks 13060</t>
  </si>
  <si>
    <t>ZB384</t>
  </si>
  <si>
    <t>Stříkačka omnifix 20 ml 4617207V</t>
  </si>
  <si>
    <t>ZB543</t>
  </si>
  <si>
    <t>Souprava odběrová tracheální G05206</t>
  </si>
  <si>
    <t>ZB668</t>
  </si>
  <si>
    <t>Hadička tlaková spojovací unicath pr. 1,0 mm x   50 cm PB 3105 M</t>
  </si>
  <si>
    <t>ZB708</t>
  </si>
  <si>
    <t>Katetr močový foley silikon CH6 23.000.14.206</t>
  </si>
  <si>
    <t>ZB740</t>
  </si>
  <si>
    <t>Okruh anesteziologický s vyhřívacím drátem 086-771374</t>
  </si>
  <si>
    <t>ZB755</t>
  </si>
  <si>
    <t>Zkumavka 1 ml K3 edta fialová 454034</t>
  </si>
  <si>
    <t>ZC722</t>
  </si>
  <si>
    <t>Páska fixační bal. á 12 ks LNOP 1053</t>
  </si>
  <si>
    <t>ZD478</t>
  </si>
  <si>
    <t>Převodník tlakový arteriální 90 cm jednokom. pediatrický 1 linka bal. á 20 ks T432105A</t>
  </si>
  <si>
    <t>ZE308</t>
  </si>
  <si>
    <t>Stříkačka omnifix 5 ml 4617053V</t>
  </si>
  <si>
    <t>ZH845</t>
  </si>
  <si>
    <t>Tyčinka vatová medcomfort + glyc. citónová příchuť bal. á 75 ks 09157-100</t>
  </si>
  <si>
    <t>ZI681</t>
  </si>
  <si>
    <t>Kapilára s heparinovou úpravou UH á 100 ks 140ul 102090</t>
  </si>
  <si>
    <t>ZI682</t>
  </si>
  <si>
    <t>Zátka ke kapiláře á 500 ks 110235</t>
  </si>
  <si>
    <t>ZI683</t>
  </si>
  <si>
    <t>Drátek míchací á 500 ks 110009</t>
  </si>
  <si>
    <t>ZJ659</t>
  </si>
  <si>
    <t>Kohout trojcestný s bezjehlovým konektorem Discofix C bal. á 100 ks 16494CSF</t>
  </si>
  <si>
    <t>ZK799</t>
  </si>
  <si>
    <t>Zátka combi červená 4495101</t>
  </si>
  <si>
    <t>ZK806</t>
  </si>
  <si>
    <t>Okruh jednorázový ventilační k ventilátoru babylog 8000IC 5068810</t>
  </si>
  <si>
    <t>ZK884</t>
  </si>
  <si>
    <t>Kohout trojcestný discofix modrý 4095111</t>
  </si>
  <si>
    <t>ZA718</t>
  </si>
  <si>
    <t>Patrona nízkoprůtoková vapotherm á 2 ks VT01-B</t>
  </si>
  <si>
    <t>ZA987</t>
  </si>
  <si>
    <t>Maska nasální infant flow bal. á 10 ks 777086-102</t>
  </si>
  <si>
    <t>ZD992</t>
  </si>
  <si>
    <t xml:space="preserve">Čidlo saturační jednorázový pro novorozence masimo k monitoru Mindray bal. á 20 ks 2329LHL </t>
  </si>
  <si>
    <t>ZE887</t>
  </si>
  <si>
    <t>Generátor nCPAP bal. á 10 ks P04514</t>
  </si>
  <si>
    <t>ZE888</t>
  </si>
  <si>
    <t>Okruh dýchací neonatální RT224 bal. á 10 ks P04648</t>
  </si>
  <si>
    <t>ZK083</t>
  </si>
  <si>
    <t>Elektroda EKG bal. á 12 ks 100 BRS-50-K/12</t>
  </si>
  <si>
    <t>ZD281</t>
  </si>
  <si>
    <t>Aplikátor nasální infant intermediate á 25 ks MI1300B</t>
  </si>
  <si>
    <t>ZB701</t>
  </si>
  <si>
    <t xml:space="preserve">Šidítko pro nezralé novorozence do 30.týdne čiré Wee Thumbie P03373  </t>
  </si>
  <si>
    <t>ZC729</t>
  </si>
  <si>
    <t>Vzduchovod ústní guedell   40 mm 24101</t>
  </si>
  <si>
    <t>ZB620</t>
  </si>
  <si>
    <t>Víko kompaktní odsávací s poj.ventilem bal. á 3 ks P01102</t>
  </si>
  <si>
    <t>ZD293</t>
  </si>
  <si>
    <t>Spojka heimlich na napoj. pediatr. drénů 800,01</t>
  </si>
  <si>
    <t>ZB614</t>
  </si>
  <si>
    <t>Vak vapotherm bal. á 20 ks WR1200</t>
  </si>
  <si>
    <t>ZB270</t>
  </si>
  <si>
    <t>Okruh anesteziologický vyhřívaný bal. á 20 ks DTPV9007</t>
  </si>
  <si>
    <t>ZM221</t>
  </si>
  <si>
    <t>Klobouček kojící kontaktní Tulips M bal. á 10 párů 63.00.15</t>
  </si>
  <si>
    <t>ZF039</t>
  </si>
  <si>
    <t>Dlaha splint-fix   9 k znehybnění zápěstí a kotníku při kanylaci bal. á 4 ks NKS:60-21</t>
  </si>
  <si>
    <t>ZL818</t>
  </si>
  <si>
    <t>Katetr umbilikální dvoucestný 1272.14</t>
  </si>
  <si>
    <t>ZC619</t>
  </si>
  <si>
    <t>Katetr pupeční žilní  F5/38 cm dvoucestný bal. á 5 ks 8888160556</t>
  </si>
  <si>
    <t>ZA716</t>
  </si>
  <si>
    <t>Set infuzní intrafix 180 cm 4063002</t>
  </si>
  <si>
    <t>ZE079</t>
  </si>
  <si>
    <t>Set transfúzní non PVC s odvzdušněním a bakteriálním filtrem ZAR-I-TS</t>
  </si>
  <si>
    <t>ZA878</t>
  </si>
  <si>
    <t>Šití etlon bl 4/0 bal. á 12 ks W319</t>
  </si>
  <si>
    <t>ZA999</t>
  </si>
  <si>
    <t>Jehla injekční 0,5 x   16 mm oranžová 4657853</t>
  </si>
  <si>
    <t>ZB556</t>
  </si>
  <si>
    <t>Jehla injekční 1,2 x   40 mm růžová 4665120</t>
  </si>
  <si>
    <t>ZL071</t>
  </si>
  <si>
    <t>Rukavice operační gammex bez pudru PF EnLite vel. 6,5 353383</t>
  </si>
  <si>
    <t>ZL074</t>
  </si>
  <si>
    <t>Rukavice operační gammex bez pudru PF EnLite vel. 8,0 353386</t>
  </si>
  <si>
    <t>DG383</t>
  </si>
  <si>
    <t>Bactec PEDS</t>
  </si>
  <si>
    <t>DG388</t>
  </si>
  <si>
    <t>Játrový bujon (10ml)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</si>
  <si>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</si>
  <si>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</si>
  <si>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</si>
  <si>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</si>
  <si>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</si>
  <si>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</si>
  <si>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</si>
  <si>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</si>
  <si>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DG427</t>
  </si>
  <si>
    <t>Printer paper OMNI/OMNI S, 6 Pcs</t>
  </si>
  <si>
    <t>DG422</t>
  </si>
  <si>
    <t>Sensor GLU/LAC</t>
  </si>
  <si>
    <t>DG419</t>
  </si>
  <si>
    <t>W Waste container, 2 Pcs</t>
  </si>
  <si>
    <t>Spotřeba zdravotnického materiálu - orientační přehled</t>
  </si>
  <si>
    <t>ON Data</t>
  </si>
  <si>
    <t>09 - NOVOROZENECKÉ ODDĚLENÍ</t>
  </si>
  <si>
    <t>3F4</t>
  </si>
  <si>
    <t>1</t>
  </si>
  <si>
    <t>0068999</t>
  </si>
  <si>
    <t>AMPICILIN 0,5 BIOTIKA</t>
  </si>
  <si>
    <t>0072973</t>
  </si>
  <si>
    <t>0092206</t>
  </si>
  <si>
    <t>AUGMENTIN 600 MG</t>
  </si>
  <si>
    <t>0092289</t>
  </si>
  <si>
    <t>EDICIN 0,5 G</t>
  </si>
  <si>
    <t>0096413</t>
  </si>
  <si>
    <t>GENTAMICIN LEK 40 MG/2 ML</t>
  </si>
  <si>
    <t>0164350</t>
  </si>
  <si>
    <t>TAZOCIN 4 G/0,5 G</t>
  </si>
  <si>
    <t>2</t>
  </si>
  <si>
    <t>0007957</t>
  </si>
  <si>
    <t>Erytrocyty deleukotizované</t>
  </si>
  <si>
    <t>0107960</t>
  </si>
  <si>
    <t>Trombocyty z aferézy deleukotizované</t>
  </si>
  <si>
    <t>0407942</t>
  </si>
  <si>
    <t>Příplatek za ozáření</t>
  </si>
  <si>
    <t>V</t>
  </si>
  <si>
    <t>00631</t>
  </si>
  <si>
    <t>OD TYPU 31 - PRO NEMOCNICE TYPU 3, (KATEGORIE 6)</t>
  </si>
  <si>
    <t>09227</t>
  </si>
  <si>
    <t>I. V. APLIKACE KRVE NEBO KREVNÍCH DERIVÁTŮ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</si>
  <si>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</si>
  <si>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</si>
  <si>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</si>
  <si>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</si>
  <si>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</si>
  <si>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</si>
  <si>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</si>
  <si>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</si>
  <si>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</si>
  <si>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>(VZP) PORODNÍ VÁHA NOVOROZENCE NAD 2499 GRAMŮ</t>
  </si>
  <si>
    <t>09544</t>
  </si>
  <si>
    <t>REGULAČNÍ POPLATEK ZA KAŽDÝ DEN LŮŽKOVÉ PÉČE -- PO</t>
  </si>
  <si>
    <t>31022</t>
  </si>
  <si>
    <t>CÍLENÉ VYŠETŘENÍ DĚTSKÝM LÉKAŘEM</t>
  </si>
  <si>
    <t>31021</t>
  </si>
  <si>
    <t>KOMPLEXNÍ VYŠETŘENÍ DĚTSKÝM LÉKAŘEM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</si>
  <si>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</si>
  <si>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</si>
  <si>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</si>
  <si>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</si>
  <si>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</si>
  <si>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</si>
  <si>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3T4</t>
  </si>
  <si>
    <t>0003952</t>
  </si>
  <si>
    <t>AMIKIN 500 MG</t>
  </si>
  <si>
    <t>0005114</t>
  </si>
  <si>
    <t>0011592</t>
  </si>
  <si>
    <t>METRONIDAZOL B. BRAUN 5 MG/ML</t>
  </si>
  <si>
    <t>0014583</t>
  </si>
  <si>
    <t>TIENAM 500 MG/500 MG I.V.</t>
  </si>
  <si>
    <t>0026039</t>
  </si>
  <si>
    <t>KIOVIG 100MG/ML</t>
  </si>
  <si>
    <t>0027636</t>
  </si>
  <si>
    <t>SYNAGI</t>
  </si>
  <si>
    <t>SYNAGIS 100 MG</t>
  </si>
  <si>
    <t>0042144</t>
  </si>
  <si>
    <t>HUMAN ALBUMIN GRIFOLS 20%</t>
  </si>
  <si>
    <t>0049193</t>
  </si>
  <si>
    <t>CEFTAX 1000</t>
  </si>
  <si>
    <t>0065989</t>
  </si>
  <si>
    <t>MYCOMAX INF</t>
  </si>
  <si>
    <t>0083487</t>
  </si>
  <si>
    <t>MERONEM 500 MG</t>
  </si>
  <si>
    <t>0087226</t>
  </si>
  <si>
    <t>0129056</t>
  </si>
  <si>
    <t>ATENATIV</t>
  </si>
  <si>
    <t>0207921</t>
  </si>
  <si>
    <t>Plazma čerstvá zmrazená</t>
  </si>
  <si>
    <t>00671</t>
  </si>
  <si>
    <t>OD TYPU 71 - PRO NEMOCNICE TYPU 3, (KATEGORIE 6) -</t>
  </si>
  <si>
    <t>00675</t>
  </si>
  <si>
    <t>OD TYPU 75 - PRO NEMOCNICE TYPU 3, (KATEGORIE 6) -</t>
  </si>
  <si>
    <t>09547</t>
  </si>
  <si>
    <t>REGULAČNÍ POPLATEK -- POJIŠTĚNEC OD ÚHRADY POPLATK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</si>
  <si>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</si>
  <si>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</si>
  <si>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</si>
  <si>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</si>
  <si>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</si>
  <si>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(VZP) PORODNÍ VÁHA NOVOROZENCE POD 750 GRAMŮ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</si>
  <si>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</si>
  <si>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</si>
  <si>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</si>
  <si>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</si>
  <si>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</si>
  <si>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</si>
  <si>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34452</t>
  </si>
  <si>
    <t>(VZP) PORODNÍ VÁHA NOVOROZENCE OD 1000 DO 1499 GRA</t>
  </si>
  <si>
    <t>90905</t>
  </si>
  <si>
    <t>34451</t>
  </si>
  <si>
    <t>(VZP) PORODNÍ VÁHA NOVOROZENCE OD 750 DO 999 GRAMŮ</t>
  </si>
  <si>
    <t>09213</t>
  </si>
  <si>
    <t>NEODKLADNÁ KARDIOPULMONÁLNÍ RESUSCITACE ZÁKLADNÍ Á</t>
  </si>
  <si>
    <t>501</t>
  </si>
  <si>
    <t>51386</t>
  </si>
  <si>
    <t>SUTURA EV. EXCIZE A SUTURA LÉZE STĚNY ŽALUDKU NEBO</t>
  </si>
  <si>
    <t>APENDEKTOMIE NEBO OPERAČNÍ DRENÁŽ PERIAPENDIKULÁRN</t>
  </si>
  <si>
    <t>52221</t>
  </si>
  <si>
    <t>ATRESIE TENKÉHO STŘEVA VČETNĚ DUODENA U NOVOROZENC</t>
  </si>
  <si>
    <t>5F1</t>
  </si>
  <si>
    <t>51353</t>
  </si>
  <si>
    <t>PUNKCE, ODSÁTÍ TENKÉHO STŘEVA, MANIPULACE SE STŘEV</t>
  </si>
  <si>
    <t>51359</t>
  </si>
  <si>
    <t>RESEKCE A ANASTOMÓZA TLUSTÉHO STŘEVA NEBO REKTOSIG</t>
  </si>
  <si>
    <t>51355</t>
  </si>
  <si>
    <t>DVOJ - A VÍCENÁSOBNÁ RESEKCE A (NEBO) ANASTOMÓZA T</t>
  </si>
  <si>
    <t>51361</t>
  </si>
  <si>
    <t>KOLEKTOMIE SUBTOTÁLNÍ S ILEOSTOMIÍ A UZÁVĚREM REKT</t>
  </si>
  <si>
    <t>52231</t>
  </si>
  <si>
    <t>OPERACE OMFALOKÉLY NEBO GASTROSCHÍZY</t>
  </si>
  <si>
    <t>5F6</t>
  </si>
  <si>
    <t>56163</t>
  </si>
  <si>
    <t>ZEVNÍ KOMOROVÁ DRENÁŽ NEBO ZAVEDENÍ ČIDLA NA MĚŘEN</t>
  </si>
  <si>
    <t>606</t>
  </si>
  <si>
    <t>66031</t>
  </si>
  <si>
    <t>PREVENTIVNÍ VYŠETŘENÍ KYČELNÍCH KLOUBŮ U KOJENCE</t>
  </si>
  <si>
    <t>7F6</t>
  </si>
  <si>
    <t>76439</t>
  </si>
  <si>
    <t>ORCHIECTOMIE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</si>
  <si>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</si>
  <si>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</si>
  <si>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</si>
  <si>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</si>
  <si>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</si>
  <si>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</si>
  <si>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</si>
  <si>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</si>
  <si>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00110</t>
  </si>
  <si>
    <t xml:space="preserve">DLOUHODOBÁ MECHANICKÁ VENTILACE &gt; 504 HODIN (22-42 DNÍ)                                             </t>
  </si>
  <si>
    <t>00132</t>
  </si>
  <si>
    <t xml:space="preserve">DLOUHODOBÁ MECHANICKÁ VENTILACE &gt; 96 HODIN (5-10 DNÍ) S EKONOMICKY NÁROČNÝM VÝKONEM S CC            </t>
  </si>
  <si>
    <t>15601</t>
  </si>
  <si>
    <t xml:space="preserve">NOVOROZENEC. MRTVÝ NEBO PŘELOŽENÝ &lt;= 5 DNÍ BEZ CC                                                   </t>
  </si>
  <si>
    <t>15603</t>
  </si>
  <si>
    <t xml:space="preserve">NOVOROZENEC. MRTVÝ NEBO PŘELOŽENÝ &lt;= 5 DNÍ S MCC                                                    </t>
  </si>
  <si>
    <t>15623</t>
  </si>
  <si>
    <t xml:space="preserve">NOVOROZENEC. VÁHA PŘI PORODU &lt;=1000G. SE ZÁKLADNÍM VÝKONEM S MCC                                    </t>
  </si>
  <si>
    <t>15632</t>
  </si>
  <si>
    <t xml:space="preserve">NOVOROZENEC. VÁHA PŘI PORODU &lt;=1000G. BEZ ZÁKLADNÍHO VÝKONU S CC                                    </t>
  </si>
  <si>
    <t>15633</t>
  </si>
  <si>
    <t xml:space="preserve">NOVOROZENEC. VÁHA PŘI PORODU &lt;=1000G. BEZ ZÁKLADNÍHO VÝKONU S MCC                                   </t>
  </si>
  <si>
    <t>15652</t>
  </si>
  <si>
    <t xml:space="preserve">NOVOROZENEC. VÁHA PŘI PORODU 1000-1499G. BEZ ZÁKLADNÍHO VÝKONU S CC                                 </t>
  </si>
  <si>
    <t>15653</t>
  </si>
  <si>
    <t xml:space="preserve">NOVOROZENEC. VÁHA PŘI PORODU 1000-1499G. BEZ ZÁKLADNÍHO VÝKONU S MCC                                </t>
  </si>
  <si>
    <t>15672</t>
  </si>
  <si>
    <t xml:space="preserve">NOVOROZENEC. VÁHA PŘI PORODU 1500-1999G. BEZ ZÁKLADNÍHO VÝKONU S CC                                 </t>
  </si>
  <si>
    <t>15673</t>
  </si>
  <si>
    <t xml:space="preserve">NOVOROZENEC. VÁHA PŘI PORODU 1500-1999G. BEZ ZÁKLADNÍHO VÝKONU S MCC                                </t>
  </si>
  <si>
    <t>15691</t>
  </si>
  <si>
    <t xml:space="preserve">NOVOROZENEC. VÁHA PŘI PORODU 2000-2499G. BEZ ZÁKLADNÍHO VÝKONU BEZ CC                               </t>
  </si>
  <si>
    <t>15692</t>
  </si>
  <si>
    <t xml:space="preserve">NOVOROZENEC. VÁHA PŘI PORODU 2000-2499G. BEZ ZÁKLADNÍHO VÝKONU S CC                                 </t>
  </si>
  <si>
    <t>15693</t>
  </si>
  <si>
    <t xml:space="preserve">NOVOROZENEC. VÁHA PŘI PORODU 2000-2499G. BEZ ZÁKLADNÍHO VÝKONU S MCC                                </t>
  </si>
  <si>
    <t>15702</t>
  </si>
  <si>
    <t xml:space="preserve">NOVOROZENEC. VÁHA PŘI PORODU &gt;2499G. SE ZÁKLADNÍM VÝKONEM S CC                                      </t>
  </si>
  <si>
    <t>15711</t>
  </si>
  <si>
    <t xml:space="preserve">NOVOROZENEC. VÁHA PŘI PORODU &gt;2499G. S VÁŽNOU ANOMÁLIÍ NEBO DĚDIČNÝM STAVEM BEZ CC                  </t>
  </si>
  <si>
    <t>15712</t>
  </si>
  <si>
    <t xml:space="preserve">NOVOROZENEC. VÁHA PŘI PORODU &gt;2499G. S VÁŽNOU ANOMÁLIÍ NEBO DĚDIČNÝM STAVEM S CC                    </t>
  </si>
  <si>
    <t>15713</t>
  </si>
  <si>
    <t xml:space="preserve">NOVOROZENEC. VÁHA PŘI PORODU &gt;2499G. S VÁŽNOU ANOMÁLIÍ NEBO DĚDIČNÝM STAVEM S MCC                   </t>
  </si>
  <si>
    <t>15720</t>
  </si>
  <si>
    <t xml:space="preserve">NOVOROZENEC. VÁHA PŘI PORODU &gt; 2499G. SE SYNDROMEM DÝCHACÍCH POTÍŽÍ                                 </t>
  </si>
  <si>
    <t>15741</t>
  </si>
  <si>
    <t xml:space="preserve">NOVOROZENEC. VÁHA PŘI PORODU &gt; 2499G. S VROZENOU NEBO PERINATÁLNÍ INFEKCÍ BEZ CC                    </t>
  </si>
  <si>
    <t>15742</t>
  </si>
  <si>
    <t xml:space="preserve">NOVOROZENEC. VÁHA PŘI PORODU &gt; 2499G. S VROZENOU NEBO PERINATÁLNÍ INFEKCÍ S CC                      </t>
  </si>
  <si>
    <t>15743</t>
  </si>
  <si>
    <t xml:space="preserve">NOVOROZENEC. VÁHA PŘI PORODU &gt; 2499G. S VROZENOU NEBO PERINATÁLNÍ INFEKCÍ S MCC                     </t>
  </si>
  <si>
    <t>15751</t>
  </si>
  <si>
    <t xml:space="preserve">NOVOROZENEC. VÁHA PŘI PORODU &gt; 2499G. BEZ ZÁKLADNÍHO VÝKONU BEZ CC                                  </t>
  </si>
  <si>
    <t>15752</t>
  </si>
  <si>
    <t xml:space="preserve">NOVOROZENEC. VÁHA PŘI PORODU &gt; 2499G. BEZ ZÁKLADNÍHO VÝKONU S CC                                    </t>
  </si>
  <si>
    <t>15753</t>
  </si>
  <si>
    <t xml:space="preserve">NOVOROZENEC. VÁHA PŘI PORODU &gt; 2499G. BEZ ZÁKLADNÍHO VÝKONU S MCC          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</si>
  <si>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</si>
  <si>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</si>
  <si>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</si>
  <si>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</si>
  <si>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</si>
  <si>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</si>
  <si>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</si>
  <si>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ODDĚLENÍ LÉKAŘSKÉ GENETIKY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</si>
  <si>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</si>
  <si>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</si>
  <si>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</si>
  <si>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</si>
  <si>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</si>
  <si>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</si>
  <si>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</si>
  <si>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28</t>
  </si>
  <si>
    <t>816</t>
  </si>
  <si>
    <t>94181</t>
  </si>
  <si>
    <t>ZHOTOVENÍ KARYOTYPU Z JEDNÉ MITÓZY</t>
  </si>
  <si>
    <t>94119</t>
  </si>
  <si>
    <t>IZOLACE A UCHOVÁNÍ LIDSKÉ DNA (RNA)</t>
  </si>
  <si>
    <t>94123</t>
  </si>
  <si>
    <t>PCR ANALÝZA LIDSKÉ DNA</t>
  </si>
  <si>
    <t>94129</t>
  </si>
  <si>
    <t>RUTINNÍ VYŠETŘENÍ CHROMOZOMU Z PERIFERNÍ KRVE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</si>
  <si>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</si>
  <si>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</si>
  <si>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</si>
  <si>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</si>
  <si>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</si>
  <si>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</si>
  <si>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</si>
  <si>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</si>
  <si>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</si>
  <si>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</si>
  <si>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</si>
  <si>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</si>
  <si>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</si>
  <si>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</si>
  <si>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</si>
  <si>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</si>
  <si>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</si>
  <si>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</si>
  <si>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</si>
  <si>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</si>
  <si>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</si>
  <si>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</si>
  <si>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</si>
  <si>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</si>
  <si>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</si>
  <si>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</si>
  <si>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</si>
  <si>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</si>
  <si>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</si>
  <si>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</si>
  <si>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</si>
  <si>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</si>
  <si>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</si>
  <si>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</si>
  <si>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</si>
  <si>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</si>
  <si>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</si>
  <si>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</si>
  <si>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</si>
  <si>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</si>
  <si>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</si>
  <si>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</si>
  <si>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</si>
  <si>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</si>
  <si>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</si>
  <si>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</si>
  <si>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</si>
  <si>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</si>
  <si>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</si>
  <si>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</si>
  <si>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</si>
  <si>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</si>
  <si>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81331</t>
  </si>
  <si>
    <t>ALBUMIN V MOZKOMÍŠNÍM MOKU</t>
  </si>
  <si>
    <t>81377</t>
  </si>
  <si>
    <t>SACHARIDY TENKOVRSTEVNOU CHROMATOGRAFIÍ V MOČI</t>
  </si>
  <si>
    <t>81391</t>
  </si>
  <si>
    <t>DISACHARIDY</t>
  </si>
  <si>
    <t>81427</t>
  </si>
  <si>
    <t>FOSFOR ANORGANICKÝ</t>
  </si>
  <si>
    <t>81451</t>
  </si>
  <si>
    <t>HEMOGLOBIN VOLNÝ V PLAZMĚ</t>
  </si>
  <si>
    <t>81487</t>
  </si>
  <si>
    <t>KARNITIN</t>
  </si>
  <si>
    <t>81521</t>
  </si>
  <si>
    <t>LAKTÁT (KYSELINA MLÉČNÁ)</t>
  </si>
  <si>
    <t>81527</t>
  </si>
  <si>
    <t>CHOLESTEROL LDL</t>
  </si>
  <si>
    <t>81561</t>
  </si>
  <si>
    <t>PRŮKAZ OKULTNÍHO KRVÁCENÍ</t>
  </si>
  <si>
    <t>81641</t>
  </si>
  <si>
    <t>ŽELEZO CELKOVÉ</t>
  </si>
  <si>
    <t>81651</t>
  </si>
  <si>
    <t xml:space="preserve">VYŠETŘENÍ DĚDIČNÝCH PORUCH METABOLISMU (DÁLE DPM) </t>
  </si>
  <si>
    <t>81717</t>
  </si>
  <si>
    <t>STANOVENÍ KONCENTRACE PROTEINU S-100B (S-100BB, S-</t>
  </si>
  <si>
    <t>81721</t>
  </si>
  <si>
    <t>IMUNOTURBIDIMETRICKÉ A/NEBO IMUNONEFELOMETRICKÉ ST</t>
  </si>
  <si>
    <t>81747</t>
  </si>
  <si>
    <t xml:space="preserve">VYŠETŘENÍ TANDEMOVOU HMOTNOSTNÍ SPEKTROMETRIÍ PRO </t>
  </si>
  <si>
    <t>87421</t>
  </si>
  <si>
    <t>CYTOLOGICKÉ NÁTĚRY SEDIMENTU CENTRIFUGOVANÉ TEKUTI</t>
  </si>
  <si>
    <t>87433</t>
  </si>
  <si>
    <t>STANDARDNÍ CYTOLOGICKÉ BARVENÍ,  ZA 1-3 PREPARÁTY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</si>
  <si>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</si>
  <si>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</si>
  <si>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</si>
  <si>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</si>
  <si>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</si>
  <si>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</si>
  <si>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</si>
  <si>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</si>
  <si>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</si>
  <si>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</si>
  <si>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</si>
  <si>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</si>
  <si>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</si>
  <si>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</si>
  <si>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93171</t>
  </si>
  <si>
    <t>PARATHORMON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</si>
  <si>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</si>
  <si>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</si>
  <si>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</si>
  <si>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</si>
  <si>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</si>
  <si>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</si>
  <si>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</si>
  <si>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</si>
  <si>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</si>
  <si>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</si>
  <si>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</si>
  <si>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</si>
  <si>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</si>
  <si>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</si>
  <si>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</si>
  <si>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</si>
  <si>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</si>
  <si>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</si>
  <si>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</si>
  <si>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</si>
  <si>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</si>
  <si>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</si>
  <si>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</si>
  <si>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</si>
  <si>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</si>
  <si>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</si>
  <si>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</si>
  <si>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</si>
  <si>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</si>
  <si>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</si>
  <si>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</si>
  <si>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</si>
  <si>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</si>
  <si>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</si>
  <si>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</si>
  <si>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</si>
  <si>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</si>
  <si>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</si>
  <si>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</si>
  <si>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</si>
  <si>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</si>
  <si>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</si>
  <si>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</si>
  <si>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</si>
  <si>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</si>
  <si>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</si>
  <si>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</si>
  <si>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</si>
  <si>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81703</t>
  </si>
  <si>
    <t>CYSTATIN C</t>
  </si>
  <si>
    <t>81139</t>
  </si>
  <si>
    <t>VÁPNÍK CELKOVÝ STATIM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</si>
  <si>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</si>
  <si>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</si>
  <si>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</si>
  <si>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</si>
  <si>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</si>
  <si>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</si>
  <si>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</si>
  <si>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</si>
  <si>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</si>
  <si>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</si>
  <si>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</si>
  <si>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</si>
  <si>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81339</t>
  </si>
  <si>
    <t>AMINOKYSELINY STANOVENÍ CELKOVÉHO SPEKTRA V BIOLOG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</si>
  <si>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</si>
  <si>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</si>
  <si>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</si>
  <si>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</si>
  <si>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</si>
  <si>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</si>
  <si>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</si>
  <si>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</si>
  <si>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</si>
  <si>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</si>
  <si>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94189</t>
  </si>
  <si>
    <t>HYBRIDIZACE DNA SE ZNAČENOU SONDOU</t>
  </si>
  <si>
    <t>94199</t>
  </si>
  <si>
    <t>AMPLIFIKACE METODOU PCR</t>
  </si>
  <si>
    <t>81123</t>
  </si>
  <si>
    <t>BILIRUBIN KONJUGOVANÝ STATIM</t>
  </si>
  <si>
    <t>93135</t>
  </si>
  <si>
    <t>MYOGLOBIN V SÉRII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</si>
  <si>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</si>
  <si>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</si>
  <si>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</si>
  <si>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</si>
  <si>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</si>
  <si>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</si>
  <si>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</si>
  <si>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</si>
  <si>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</si>
  <si>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</si>
  <si>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</si>
  <si>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</si>
  <si>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</si>
  <si>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93175</t>
  </si>
  <si>
    <t>17-HYDROXYPROGESTERON</t>
  </si>
  <si>
    <t>81489</t>
  </si>
  <si>
    <t>KATECHOLAMIN A JEHO METABOLITY</t>
  </si>
  <si>
    <t>813</t>
  </si>
  <si>
    <t>91197</t>
  </si>
  <si>
    <t>STANOVENÍ CYTOKINU ELISA</t>
  </si>
  <si>
    <t>34</t>
  </si>
  <si>
    <t>809</t>
  </si>
  <si>
    <t>0045123</t>
  </si>
  <si>
    <t>VISIPAQUE 320 MG I/ML</t>
  </si>
  <si>
    <t>0045124</t>
  </si>
  <si>
    <t>0065978</t>
  </si>
  <si>
    <t>DOTAREM</t>
  </si>
  <si>
    <t>0077015</t>
  </si>
  <si>
    <t xml:space="preserve"> </t>
  </si>
  <si>
    <t>0077018</t>
  </si>
  <si>
    <t>ULTRAVIST 370</t>
  </si>
  <si>
    <t>0077019</t>
  </si>
  <si>
    <t>0077024</t>
  </si>
  <si>
    <t>ULTRAVIST 300</t>
  </si>
  <si>
    <t>89127</t>
  </si>
  <si>
    <t>RTG KOSTÍ A KLOUBŮ KONČETIN</t>
  </si>
  <si>
    <t>89143</t>
  </si>
  <si>
    <t>RTG BŘICHA</t>
  </si>
  <si>
    <t>89167</t>
  </si>
  <si>
    <t>CYSTOGRAFIE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</si>
  <si>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</si>
  <si>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</si>
  <si>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</si>
  <si>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</si>
  <si>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</si>
  <si>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</si>
  <si>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</si>
  <si>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</si>
  <si>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</si>
  <si>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</si>
  <si>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</si>
  <si>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</si>
  <si>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</si>
  <si>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</si>
  <si>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</si>
  <si>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</si>
  <si>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</si>
  <si>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</si>
  <si>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</si>
  <si>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</si>
  <si>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89155</t>
  </si>
  <si>
    <t>RTG VYŠETŘENÍ TLUSTÉHO STŘEVA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</si>
  <si>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</si>
  <si>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</si>
  <si>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</si>
  <si>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</si>
  <si>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</si>
  <si>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</si>
  <si>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</si>
  <si>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</si>
  <si>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</si>
  <si>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</si>
  <si>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</si>
  <si>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</si>
  <si>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22319</t>
  </si>
  <si>
    <t>ELUCE ANTIERYTROCYTÁRNÍCH PROTILÁTEK METODOU MRAZO</t>
  </si>
  <si>
    <t>22355</t>
  </si>
  <si>
    <t>KONZULTACE ODBORNÉHO TRANSFÚZIOLOGA - IMUNOHEMATOL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</si>
  <si>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</si>
  <si>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</si>
  <si>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</si>
  <si>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</si>
  <si>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</si>
  <si>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</si>
  <si>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</si>
  <si>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</si>
  <si>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</si>
  <si>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</si>
  <si>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</si>
  <si>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</si>
  <si>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</si>
  <si>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</si>
  <si>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</si>
  <si>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</si>
  <si>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</si>
  <si>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</si>
  <si>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</si>
  <si>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</si>
  <si>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</si>
  <si>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</si>
  <si>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</si>
  <si>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</si>
  <si>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</si>
  <si>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</si>
  <si>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</si>
  <si>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</si>
  <si>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</si>
  <si>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</si>
  <si>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</si>
  <si>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</si>
  <si>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</si>
  <si>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</si>
  <si>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</si>
  <si>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</si>
  <si>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</si>
  <si>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</si>
  <si>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</si>
  <si>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</si>
  <si>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</si>
  <si>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</si>
  <si>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</si>
  <si>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</si>
  <si>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87525</t>
  </si>
  <si>
    <t>STANOVENÍ CYTOLOGICKÉ DIAGNÓZY III. STUPNĚ OBTÍŽNO</t>
  </si>
  <si>
    <t>87215</t>
  </si>
  <si>
    <t>DALŠÍ BLOK SE STANDARTNÍM PREPARÁTEM (OD 3. BIOPTI</t>
  </si>
  <si>
    <t>87411</t>
  </si>
  <si>
    <t>PEROPERAČNÍ CYTOLOGIE (TECHNICKÁ KOMPONENTA ZA KAŽ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</si>
  <si>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</si>
  <si>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</si>
  <si>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</si>
  <si>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</si>
  <si>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</si>
  <si>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</si>
  <si>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</si>
  <si>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</si>
  <si>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</si>
  <si>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</si>
  <si>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</si>
  <si>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</si>
  <si>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</si>
  <si>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</si>
  <si>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</si>
  <si>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</si>
  <si>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</si>
  <si>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</si>
  <si>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</si>
  <si>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</si>
  <si>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</si>
  <si>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</si>
  <si>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</si>
  <si>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</si>
  <si>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</si>
  <si>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</si>
  <si>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</si>
  <si>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</si>
  <si>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</si>
  <si>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</si>
  <si>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</si>
  <si>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82233</t>
  </si>
  <si>
    <t>IDENTIFIKACE MYKOPLASMAT</t>
  </si>
  <si>
    <t>82149</t>
  </si>
  <si>
    <t>SEROTYPIZACE STŘEVNÍCH A JINÝCH PATOGENŮ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</si>
  <si>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</si>
  <si>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</si>
  <si>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</si>
  <si>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</si>
  <si>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</si>
  <si>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</si>
  <si>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</si>
  <si>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</si>
  <si>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</si>
  <si>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94191</t>
  </si>
  <si>
    <t>FOTOGRAFIE GELU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</si>
  <si>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</si>
  <si>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</si>
  <si>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</si>
  <si>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</si>
  <si>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</si>
  <si>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</si>
  <si>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</si>
  <si>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</si>
  <si>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</si>
  <si>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</si>
  <si>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</si>
  <si>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</si>
  <si>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91269</t>
  </si>
  <si>
    <t>STANOVENÍ ANTI U1-RNP Ab ELISA</t>
  </si>
  <si>
    <t>22217</t>
  </si>
  <si>
    <t xml:space="preserve">SCREENINGOVÉ VYŠETŘENÍ TROMBOCYTÁRNÍCH PROTILÁTEK </t>
  </si>
  <si>
    <t>Zdravotní výkony (vybraných odborností) vyžádané pro pacienty hospitalizované na vlastním pracovišti - orientační přehled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</si>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</sst>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#,##0%"/>
    <numFmt numFmtId="177" formatCode="#,##0.000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774">
    <xf numFmtId="0" fontId="0" fillId="0" borderId="0" xfId="0"/>
    <xf numFmtId="0" fontId="30" fillId="2" borderId="19" xfId="80" applyFont="1" applyFill="1" applyBorder="1"/>
    <xf numFmtId="0" fontId="31" fillId="2" borderId="20" xfId="80" applyFont="1" applyFill="1" applyBorder="1"/>
    <xf numFmtId="3" fontId="31" fillId="2" borderId="21" xfId="80" applyNumberFormat="1" applyFont="1" applyFill="1" applyBorder="1"/>
    <xf numFmtId="0" fontId="31" fillId="4" borderId="20" xfId="80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0" applyNumberFormat="1" applyFont="1" applyFill="1" applyBorder="1"/>
    <xf numFmtId="172" fontId="31" fillId="3" borderId="21" xfId="80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0" applyNumberFormat="1" applyFont="1" applyFill="1" applyBorder="1"/>
    <xf numFmtId="3" fontId="30" fillId="5" borderId="10" xfId="80" applyNumberFormat="1" applyFont="1" applyFill="1" applyBorder="1"/>
    <xf numFmtId="3" fontId="30" fillId="5" borderId="14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0" applyNumberFormat="1" applyFont="1" applyFill="1" applyBorder="1"/>
    <xf numFmtId="3" fontId="30" fillId="5" borderId="31" xfId="80" applyNumberFormat="1" applyFont="1" applyFill="1" applyBorder="1"/>
    <xf numFmtId="3" fontId="30" fillId="5" borderId="27" xfId="80" applyNumberFormat="1" applyFont="1" applyFill="1" applyBorder="1"/>
    <xf numFmtId="3" fontId="30" fillId="5" borderId="11" xfId="80" applyNumberFormat="1" applyFont="1" applyFill="1" applyBorder="1"/>
    <xf numFmtId="3" fontId="30" fillId="5" borderId="12" xfId="80" applyNumberFormat="1" applyFont="1" applyFill="1" applyBorder="1"/>
    <xf numFmtId="3" fontId="30" fillId="5" borderId="15" xfId="80" applyNumberFormat="1" applyFont="1" applyFill="1" applyBorder="1"/>
    <xf numFmtId="3" fontId="30" fillId="5" borderId="16" xfId="80" applyNumberFormat="1" applyFont="1" applyFill="1" applyBorder="1"/>
    <xf numFmtId="3" fontId="31" fillId="2" borderId="29" xfId="80" applyNumberFormat="1" applyFont="1" applyFill="1" applyBorder="1"/>
    <xf numFmtId="3" fontId="31" fillId="2" borderId="22" xfId="80" applyNumberFormat="1" applyFont="1" applyFill="1" applyBorder="1"/>
    <xf numFmtId="3" fontId="31" fillId="4" borderId="29" xfId="80" applyNumberFormat="1" applyFont="1" applyFill="1" applyBorder="1"/>
    <xf numFmtId="3" fontId="31" fillId="4" borderId="22" xfId="80" applyNumberFormat="1" applyFont="1" applyFill="1" applyBorder="1"/>
    <xf numFmtId="172" fontId="31" fillId="3" borderId="29" xfId="80" applyNumberFormat="1" applyFont="1" applyFill="1" applyBorder="1"/>
    <xf numFmtId="172" fontId="31" fillId="3" borderId="22" xfId="80" applyNumberFormat="1" applyFont="1" applyFill="1" applyBorder="1"/>
    <xf numFmtId="0" fontId="34" fillId="2" borderId="27" xfId="80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9" fillId="0" borderId="39" xfId="81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2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5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5" applyNumberFormat="1" applyFont="1" applyFill="1" applyBorder="1"/>
    <xf numFmtId="168" fontId="34" fillId="7" borderId="12" xfId="85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5" applyNumberFormat="1" applyFont="1" applyFill="1" applyBorder="1"/>
    <xf numFmtId="168" fontId="34" fillId="2" borderId="22" xfId="85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5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5" applyNumberFormat="1" applyFont="1" applyFill="1" applyBorder="1" applyAlignment="1">
      <alignment horizontal="right"/>
    </xf>
    <xf numFmtId="168" fontId="34" fillId="3" borderId="22" xfId="85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5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5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1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5" fontId="34" fillId="0" borderId="64" xfId="53" applyNumberFormat="1" applyFont="1" applyFill="1" applyBorder="1"/>
    <xf numFmtId="165" fontId="34" fillId="0" borderId="65" xfId="53" applyNumberFormat="1" applyFont="1" applyFill="1" applyBorder="1"/>
    <xf numFmtId="9" fontId="34" fillId="0" borderId="66" xfId="82" applyNumberFormat="1" applyFont="1" applyFill="1" applyBorder="1"/>
    <xf numFmtId="170" fontId="34" fillId="0" borderId="64" xfId="53" applyNumberFormat="1" applyFont="1" applyFill="1" applyBorder="1"/>
    <xf numFmtId="170" fontId="34" fillId="0" borderId="65" xfId="53" applyNumberFormat="1" applyFont="1" applyFill="1" applyBorder="1"/>
    <xf numFmtId="3" fontId="34" fillId="0" borderId="66" xfId="82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1" fontId="32" fillId="0" borderId="41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0" fontId="3" fillId="2" borderId="29" xfId="79" applyFont="1" applyFill="1" applyBorder="1"/>
    <xf numFmtId="0" fontId="3" fillId="2" borderId="29" xfId="53" applyFont="1" applyFill="1" applyBorder="1" applyAlignment="1">
      <alignment horizontal="left"/>
    </xf>
    <xf numFmtId="3" fontId="3" fillId="2" borderId="22" xfId="53" applyNumberFormat="1" applyFont="1" applyFill="1" applyBorder="1" applyAlignment="1">
      <alignment horizontal="lef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0" applyFont="1" applyFill="1" applyBorder="1"/>
    <xf numFmtId="0" fontId="34" fillId="2" borderId="25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0" applyNumberFormat="1" applyFont="1" applyFill="1" applyBorder="1"/>
    <xf numFmtId="9" fontId="31" fillId="4" borderId="22" xfId="80" applyNumberFormat="1" applyFont="1" applyFill="1" applyBorder="1"/>
    <xf numFmtId="9" fontId="31" fillId="3" borderId="22" xfId="80" applyNumberFormat="1" applyFont="1" applyFill="1" applyBorder="1"/>
    <xf numFmtId="0" fontId="34" fillId="2" borderId="23" xfId="80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8" fontId="34" fillId="7" borderId="58" xfId="85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8" fontId="34" fillId="7" borderId="58" xfId="85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0" applyFont="1" applyFill="1"/>
    <xf numFmtId="0" fontId="54" fillId="0" borderId="39" xfId="80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7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9" fontId="3" fillId="0" borderId="39" xfId="26" applyNumberFormat="1" applyFont="1" applyFill="1" applyBorder="1" applyAlignment="1">
      <alignment vertical="center"/>
    </xf>
    <xf numFmtId="167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0" fontId="42" fillId="2" borderId="78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61" fillId="2" borderId="81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4" fontId="42" fillId="4" borderId="83" xfId="0" applyNumberFormat="1" applyFont="1" applyFill="1" applyBorder="1" applyAlignment="1"/>
    <xf numFmtId="174" fontId="42" fillId="4" borderId="76" xfId="0" applyNumberFormat="1" applyFont="1" applyFill="1" applyBorder="1" applyAlignment="1"/>
    <xf numFmtId="174" fontId="42" fillId="4" borderId="77" xfId="0" applyNumberFormat="1" applyFont="1" applyFill="1" applyBorder="1" applyAlignment="1"/>
    <xf numFmtId="174" fontId="42" fillId="4" borderId="78" xfId="0" applyNumberFormat="1" applyFont="1" applyFill="1" applyBorder="1" applyAlignment="1"/>
    <xf numFmtId="174" fontId="42" fillId="0" borderId="85" xfId="0" applyNumberFormat="1" applyFont="1" applyBorder="1"/>
    <xf numFmtId="174" fontId="35" fillId="0" borderId="89" xfId="0" applyNumberFormat="1" applyFont="1" applyBorder="1"/>
    <xf numFmtId="174" fontId="35" fillId="0" borderId="87" xfId="0" applyNumberFormat="1" applyFont="1" applyBorder="1"/>
    <xf numFmtId="174" fontId="35" fillId="0" borderId="88" xfId="0" applyNumberFormat="1" applyFont="1" applyBorder="1"/>
    <xf numFmtId="174" fontId="42" fillId="0" borderId="96" xfId="0" applyNumberFormat="1" applyFont="1" applyBorder="1"/>
    <xf numFmtId="174" fontId="35" fillId="0" borderId="97" xfId="0" applyNumberFormat="1" applyFont="1" applyBorder="1"/>
    <xf numFmtId="174" fontId="35" fillId="0" borderId="80" xfId="0" applyNumberFormat="1" applyFont="1" applyBorder="1"/>
    <xf numFmtId="174" fontId="35" fillId="0" borderId="81" xfId="0" applyNumberFormat="1" applyFont="1" applyBorder="1"/>
    <xf numFmtId="174" fontId="42" fillId="2" borderId="98" xfId="0" applyNumberFormat="1" applyFont="1" applyFill="1" applyBorder="1" applyAlignment="1"/>
    <xf numFmtId="174" fontId="42" fillId="2" borderId="76" xfId="0" applyNumberFormat="1" applyFont="1" applyFill="1" applyBorder="1" applyAlignment="1"/>
    <xf numFmtId="174" fontId="42" fillId="2" borderId="77" xfId="0" applyNumberFormat="1" applyFont="1" applyFill="1" applyBorder="1" applyAlignment="1"/>
    <xf numFmtId="174" fontId="42" fillId="2" borderId="78" xfId="0" applyNumberFormat="1" applyFont="1" applyFill="1" applyBorder="1" applyAlignment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174" fontId="35" fillId="0" borderId="94" xfId="0" applyNumberFormat="1" applyFont="1" applyBorder="1"/>
    <xf numFmtId="174" fontId="42" fillId="0" borderId="83" xfId="0" applyNumberFormat="1" applyFont="1" applyBorder="1"/>
    <xf numFmtId="174" fontId="35" fillId="0" borderId="99" xfId="0" applyNumberFormat="1" applyFont="1" applyBorder="1"/>
    <xf numFmtId="174" fontId="35" fillId="0" borderId="77" xfId="0" applyNumberFormat="1" applyFont="1" applyBorder="1"/>
    <xf numFmtId="174" fontId="35" fillId="0" borderId="78" xfId="0" applyNumberFormat="1" applyFont="1" applyBorder="1"/>
    <xf numFmtId="174" fontId="35" fillId="0" borderId="86" xfId="0" applyNumberFormat="1" applyFont="1" applyBorder="1"/>
    <xf numFmtId="174" fontId="35" fillId="0" borderId="79" xfId="0" applyNumberFormat="1" applyFont="1" applyBorder="1"/>
    <xf numFmtId="175" fontId="42" fillId="2" borderId="83" xfId="0" applyNumberFormat="1" applyFont="1" applyFill="1" applyBorder="1" applyAlignment="1"/>
    <xf numFmtId="175" fontId="35" fillId="2" borderId="76" xfId="0" applyNumberFormat="1" applyFont="1" applyFill="1" applyBorder="1" applyAlignment="1"/>
    <xf numFmtId="175" fontId="35" fillId="2" borderId="77" xfId="0" applyNumberFormat="1" applyFont="1" applyFill="1" applyBorder="1" applyAlignment="1"/>
    <xf numFmtId="175" fontId="35" fillId="2" borderId="78" xfId="0" applyNumberFormat="1" applyFont="1" applyFill="1" applyBorder="1" applyAlignment="1"/>
    <xf numFmtId="175" fontId="42" fillId="0" borderId="85" xfId="0" applyNumberFormat="1" applyFont="1" applyBorder="1"/>
    <xf numFmtId="175" fontId="35" fillId="0" borderId="86" xfId="0" applyNumberFormat="1" applyFont="1" applyBorder="1"/>
    <xf numFmtId="175" fontId="35" fillId="0" borderId="87" xfId="0" applyNumberFormat="1" applyFont="1" applyBorder="1"/>
    <xf numFmtId="175" fontId="35" fillId="0" borderId="88" xfId="0" applyNumberFormat="1" applyFont="1" applyBorder="1"/>
    <xf numFmtId="175" fontId="35" fillId="0" borderId="89" xfId="0" applyNumberFormat="1" applyFont="1" applyBorder="1"/>
    <xf numFmtId="175" fontId="42" fillId="0" borderId="91" xfId="0" applyNumberFormat="1" applyFont="1" applyBorder="1"/>
    <xf numFmtId="175" fontId="35" fillId="0" borderId="92" xfId="0" applyNumberFormat="1" applyFont="1" applyBorder="1"/>
    <xf numFmtId="175" fontId="35" fillId="0" borderId="93" xfId="0" applyNumberFormat="1" applyFont="1" applyBorder="1"/>
    <xf numFmtId="175" fontId="35" fillId="0" borderId="94" xfId="0" applyNumberFormat="1" applyFont="1" applyBorder="1"/>
    <xf numFmtId="0" fontId="28" fillId="2" borderId="19" xfId="1" applyFill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174" fontId="35" fillId="0" borderId="80" xfId="0" applyNumberFormat="1" applyFont="1" applyBorder="1" applyAlignment="1"/>
    <xf numFmtId="174" fontId="35" fillId="0" borderId="87" xfId="0" applyNumberFormat="1" applyFont="1" applyBorder="1" applyAlignment="1"/>
    <xf numFmtId="174" fontId="42" fillId="4" borderId="77" xfId="0" applyNumberFormat="1" applyFont="1" applyFill="1" applyBorder="1" applyAlignment="1">
      <alignment horizontal="center"/>
    </xf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0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0" applyFont="1" applyFill="1" applyBorder="1" applyAlignment="1">
      <alignment horizontal="center"/>
    </xf>
    <xf numFmtId="0" fontId="34" fillId="2" borderId="44" xfId="80" applyFont="1" applyFill="1" applyBorder="1" applyAlignment="1">
      <alignment horizontal="center"/>
    </xf>
    <xf numFmtId="0" fontId="34" fillId="2" borderId="41" xfId="80" applyFont="1" applyFill="1" applyBorder="1" applyAlignment="1">
      <alignment horizontal="center"/>
    </xf>
    <xf numFmtId="0" fontId="34" fillId="2" borderId="69" xfId="80" applyFont="1" applyFill="1" applyBorder="1" applyAlignment="1">
      <alignment horizontal="center"/>
    </xf>
    <xf numFmtId="0" fontId="34" fillId="2" borderId="42" xfId="8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174" fontId="35" fillId="0" borderId="80" xfId="0" applyNumberFormat="1" applyFont="1" applyBorder="1" applyAlignment="1"/>
    <xf numFmtId="0" fontId="2" fillId="0" borderId="2" xfId="26" applyFont="1" applyFill="1" applyBorder="1" applyAlignment="1"/>
    <xf numFmtId="0" fontId="0" fillId="0" borderId="2" xfId="0" applyBorder="1" applyAlignment="1"/>
    <xf numFmtId="167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74" fontId="35" fillId="0" borderId="87" xfId="0" applyNumberFormat="1" applyFont="1" applyBorder="1" applyAlignment="1"/>
    <xf numFmtId="174" fontId="42" fillId="4" borderId="77" xfId="0" applyNumberFormat="1" applyFont="1" applyFill="1" applyBorder="1" applyAlignment="1">
      <alignment horizont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0" fontId="46" fillId="2" borderId="46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7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4" fillId="0" borderId="45" xfId="26" applyNumberFormat="1" applyFont="1" applyFill="1" applyBorder="1" applyAlignment="1">
      <alignment horizontal="right" vertical="top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0" fontId="35" fillId="0" borderId="45" xfId="0" applyFont="1" applyFill="1" applyBorder="1" applyAlignment="1">
      <alignment horizontal="right" vertical="top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05" xfId="0" applyNumberFormat="1" applyFont="1" applyFill="1" applyBorder="1" applyAlignment="1">
      <alignment horizontal="right" vertical="top"/>
    </xf>
    <xf numFmtId="3" fontId="36" fillId="10" borderId="106" xfId="0" applyNumberFormat="1" applyFont="1" applyFill="1" applyBorder="1" applyAlignment="1">
      <alignment horizontal="right" vertical="top"/>
    </xf>
    <xf numFmtId="176" fontId="36" fillId="10" borderId="107" xfId="0" applyNumberFormat="1" applyFont="1" applyFill="1" applyBorder="1" applyAlignment="1">
      <alignment horizontal="right" vertical="top"/>
    </xf>
    <xf numFmtId="3" fontId="36" fillId="0" borderId="105" xfId="0" applyNumberFormat="1" applyFont="1" applyBorder="1" applyAlignment="1">
      <alignment horizontal="right" vertical="top"/>
    </xf>
    <xf numFmtId="176" fontId="36" fillId="10" borderId="108" xfId="0" applyNumberFormat="1" applyFont="1" applyFill="1" applyBorder="1" applyAlignment="1">
      <alignment horizontal="right" vertical="top"/>
    </xf>
    <xf numFmtId="3" fontId="38" fillId="10" borderId="110" xfId="0" applyNumberFormat="1" applyFont="1" applyFill="1" applyBorder="1" applyAlignment="1">
      <alignment horizontal="right" vertical="top"/>
    </xf>
    <xf numFmtId="3" fontId="38" fillId="10" borderId="111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horizontal="right" vertical="top"/>
    </xf>
    <xf numFmtId="3" fontId="38" fillId="0" borderId="110" xfId="0" applyNumberFormat="1" applyFont="1" applyBorder="1" applyAlignment="1">
      <alignment horizontal="right" vertical="top"/>
    </xf>
    <xf numFmtId="0" fontId="38" fillId="10" borderId="113" xfId="0" applyFont="1" applyFill="1" applyBorder="1" applyAlignment="1">
      <alignment horizontal="right" vertical="top"/>
    </xf>
    <xf numFmtId="0" fontId="36" fillId="10" borderId="107" xfId="0" applyFont="1" applyFill="1" applyBorder="1" applyAlignment="1">
      <alignment horizontal="right" vertical="top"/>
    </xf>
    <xf numFmtId="0" fontId="36" fillId="10" borderId="108" xfId="0" applyFont="1" applyFill="1" applyBorder="1" applyAlignment="1">
      <alignment horizontal="right" vertical="top"/>
    </xf>
    <xf numFmtId="176" fontId="38" fillId="10" borderId="112" xfId="0" applyNumberFormat="1" applyFont="1" applyFill="1" applyBorder="1" applyAlignment="1">
      <alignment horizontal="right" vertical="top"/>
    </xf>
    <xf numFmtId="176" fontId="38" fillId="10" borderId="113" xfId="0" applyNumberFormat="1" applyFont="1" applyFill="1" applyBorder="1" applyAlignment="1">
      <alignment horizontal="right" vertical="top"/>
    </xf>
    <xf numFmtId="3" fontId="38" fillId="0" borderId="114" xfId="0" applyNumberFormat="1" applyFont="1" applyBorder="1" applyAlignment="1">
      <alignment horizontal="right" vertical="top"/>
    </xf>
    <xf numFmtId="3" fontId="38" fillId="0" borderId="115" xfId="0" applyNumberFormat="1" applyFont="1" applyBorder="1" applyAlignment="1">
      <alignment horizontal="right" vertical="top"/>
    </xf>
    <xf numFmtId="0" fontId="38" fillId="0" borderId="116" xfId="0" applyFont="1" applyBorder="1" applyAlignment="1">
      <alignment horizontal="right" vertical="top"/>
    </xf>
    <xf numFmtId="176" fontId="38" fillId="10" borderId="117" xfId="0" applyNumberFormat="1" applyFont="1" applyFill="1" applyBorder="1" applyAlignment="1">
      <alignment horizontal="right" vertical="top"/>
    </xf>
    <xf numFmtId="0" fontId="40" fillId="11" borderId="104" xfId="0" applyFont="1" applyFill="1" applyBorder="1" applyAlignment="1">
      <alignment vertical="top"/>
    </xf>
    <xf numFmtId="0" fontId="40" fillId="11" borderId="104" xfId="0" applyFont="1" applyFill="1" applyBorder="1" applyAlignment="1">
      <alignment vertical="top" indent="2"/>
    </xf>
    <xf numFmtId="0" fontId="40" fillId="11" borderId="104" xfId="0" applyFont="1" applyFill="1" applyBorder="1" applyAlignment="1">
      <alignment vertical="top" indent="4"/>
    </xf>
    <xf numFmtId="0" fontId="41" fillId="11" borderId="109" xfId="0" applyFont="1" applyFill="1" applyBorder="1" applyAlignment="1">
      <alignment vertical="top" indent="6"/>
    </xf>
    <xf numFmtId="0" fontId="40" fillId="11" borderId="104" xfId="0" applyFont="1" applyFill="1" applyBorder="1" applyAlignment="1">
      <alignment vertical="top" indent="8"/>
    </xf>
    <xf numFmtId="0" fontId="41" fillId="11" borderId="109" xfId="0" applyFont="1" applyFill="1" applyBorder="1" applyAlignment="1">
      <alignment vertical="top" indent="2"/>
    </xf>
    <xf numFmtId="0" fontId="40" fillId="11" borderId="104" xfId="0" applyFont="1" applyFill="1" applyBorder="1" applyAlignment="1">
      <alignment vertical="top" indent="6"/>
    </xf>
    <xf numFmtId="0" fontId="41" fillId="11" borderId="109" xfId="0" applyFont="1" applyFill="1" applyBorder="1" applyAlignment="1">
      <alignment vertical="top" indent="4"/>
    </xf>
    <xf numFmtId="0" fontId="35" fillId="11" borderId="104" xfId="0" applyFont="1" applyFill="1" applyBorder="1"/>
    <xf numFmtId="0" fontId="41" fillId="11" borderId="109" xfId="0" applyFont="1" applyFill="1" applyBorder="1" applyAlignment="1">
      <alignment vertical="top"/>
    </xf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4" fillId="2" borderId="118" xfId="53" applyNumberFormat="1" applyFont="1" applyFill="1" applyBorder="1" applyAlignment="1">
      <alignment horizontal="left"/>
    </xf>
    <xf numFmtId="165" fontId="34" fillId="2" borderId="119" xfId="53" applyNumberFormat="1" applyFont="1" applyFill="1" applyBorder="1" applyAlignment="1">
      <alignment horizontal="left"/>
    </xf>
    <xf numFmtId="165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0" fontId="35" fillId="0" borderId="76" xfId="0" applyFont="1" applyFill="1" applyBorder="1"/>
    <xf numFmtId="0" fontId="35" fillId="0" borderId="77" xfId="0" applyFont="1" applyFill="1" applyBorder="1"/>
    <xf numFmtId="165" fontId="35" fillId="0" borderId="77" xfId="0" applyNumberFormat="1" applyFont="1" applyFill="1" applyBorder="1"/>
    <xf numFmtId="165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5" fontId="35" fillId="0" borderId="87" xfId="0" applyNumberFormat="1" applyFont="1" applyFill="1" applyBorder="1"/>
    <xf numFmtId="165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5" fontId="35" fillId="0" borderId="80" xfId="0" applyNumberFormat="1" applyFont="1" applyFill="1" applyBorder="1"/>
    <xf numFmtId="165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18" xfId="0" applyFont="1" applyFill="1" applyBorder="1"/>
    <xf numFmtId="3" fontId="42" fillId="2" borderId="120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77" xfId="0" applyNumberFormat="1" applyFont="1" applyFill="1" applyBorder="1"/>
    <xf numFmtId="9" fontId="35" fillId="0" borderId="87" xfId="0" applyNumberFormat="1" applyFont="1" applyFill="1" applyBorder="1"/>
    <xf numFmtId="9" fontId="35" fillId="0" borderId="80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9" fontId="35" fillId="0" borderId="29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76" xfId="0" applyFont="1" applyFill="1" applyBorder="1"/>
    <xf numFmtId="0" fontId="42" fillId="0" borderId="121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86" xfId="0" applyFont="1" applyFill="1" applyBorder="1"/>
    <xf numFmtId="0" fontId="42" fillId="2" borderId="11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29" xfId="0" applyNumberFormat="1" applyFont="1" applyFill="1" applyBorder="1"/>
    <xf numFmtId="0" fontId="35" fillId="0" borderId="29" xfId="0" applyFont="1" applyFill="1" applyBorder="1"/>
    <xf numFmtId="9" fontId="35" fillId="0" borderId="22" xfId="0" applyNumberFormat="1" applyFont="1" applyFill="1" applyBorder="1"/>
    <xf numFmtId="0" fontId="42" fillId="0" borderId="21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67" fontId="5" fillId="0" borderId="122" xfId="0" applyNumberFormat="1" applyFont="1" applyBorder="1" applyAlignment="1">
      <alignment horizontal="right"/>
    </xf>
    <xf numFmtId="167" fontId="5" fillId="0" borderId="91" xfId="0" applyNumberFormat="1" applyFont="1" applyBorder="1" applyAlignment="1">
      <alignment horizontal="right"/>
    </xf>
    <xf numFmtId="3" fontId="12" fillId="0" borderId="122" xfId="0" applyNumberFormat="1" applyFont="1" applyBorder="1" applyAlignment="1">
      <alignment horizontal="right"/>
    </xf>
    <xf numFmtId="167" fontId="12" fillId="0" borderId="122" xfId="0" applyNumberFormat="1" applyFont="1" applyBorder="1" applyAlignment="1">
      <alignment horizontal="right"/>
    </xf>
    <xf numFmtId="167" fontId="11" fillId="0" borderId="91" xfId="0" applyNumberFormat="1" applyFont="1" applyBorder="1" applyAlignment="1">
      <alignment horizontal="right"/>
    </xf>
    <xf numFmtId="177" fontId="5" fillId="0" borderId="122" xfId="0" applyNumberFormat="1" applyFont="1" applyBorder="1" applyAlignment="1">
      <alignment horizontal="right"/>
    </xf>
    <xf numFmtId="3" fontId="5" fillId="0" borderId="122" xfId="0" applyNumberFormat="1" applyFont="1" applyBorder="1" applyAlignment="1">
      <alignment horizontal="right"/>
    </xf>
    <xf numFmtId="4" fontId="5" fillId="0" borderId="122" xfId="0" applyNumberFormat="1" applyFont="1" applyBorder="1" applyAlignment="1">
      <alignment horizontal="right"/>
    </xf>
    <xf numFmtId="3" fontId="5" fillId="0" borderId="122" xfId="0" applyNumberFormat="1" applyFont="1" applyBorder="1"/>
    <xf numFmtId="3" fontId="11" fillId="0" borderId="90" xfId="0" applyNumberFormat="1" applyFont="1" applyBorder="1" applyAlignment="1">
      <alignment horizontal="center"/>
    </xf>
    <xf numFmtId="167" fontId="5" fillId="0" borderId="18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91" xfId="0" applyNumberFormat="1" applyFont="1" applyBorder="1" applyAlignment="1">
      <alignment horizontal="right"/>
    </xf>
    <xf numFmtId="3" fontId="12" fillId="0" borderId="122" xfId="0" applyNumberFormat="1" applyFont="1" applyBorder="1"/>
    <xf numFmtId="167" fontId="12" fillId="0" borderId="122" xfId="0" applyNumberFormat="1" applyFont="1" applyBorder="1"/>
    <xf numFmtId="167" fontId="12" fillId="0" borderId="91" xfId="0" applyNumberFormat="1" applyFont="1" applyBorder="1"/>
    <xf numFmtId="167" fontId="12" fillId="0" borderId="18" xfId="0" applyNumberFormat="1" applyFont="1" applyBorder="1"/>
    <xf numFmtId="167" fontId="11" fillId="0" borderId="18" xfId="0" applyNumberFormat="1" applyFont="1" applyBorder="1" applyAlignment="1">
      <alignment horizontal="right"/>
    </xf>
    <xf numFmtId="3" fontId="35" fillId="0" borderId="122" xfId="0" applyNumberFormat="1" applyFont="1" applyBorder="1"/>
    <xf numFmtId="167" fontId="35" fillId="0" borderId="122" xfId="0" applyNumberFormat="1" applyFont="1" applyBorder="1"/>
    <xf numFmtId="167" fontId="35" fillId="0" borderId="91" xfId="0" applyNumberFormat="1" applyFont="1" applyBorder="1"/>
    <xf numFmtId="3" fontId="35" fillId="0" borderId="122" xfId="0" applyNumberFormat="1" applyFont="1" applyBorder="1" applyAlignment="1">
      <alignment horizontal="right"/>
    </xf>
    <xf numFmtId="0" fontId="5" fillId="0" borderId="122" xfId="0" applyFont="1" applyBorder="1"/>
    <xf numFmtId="9" fontId="35" fillId="0" borderId="122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00" xfId="0" applyNumberFormat="1" applyFont="1" applyBorder="1"/>
    <xf numFmtId="167" fontId="35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7" fontId="5" fillId="0" borderId="100" xfId="0" applyNumberFormat="1" applyFont="1" applyBorder="1" applyAlignment="1">
      <alignment horizontal="right"/>
    </xf>
    <xf numFmtId="167" fontId="5" fillId="0" borderId="75" xfId="0" applyNumberFormat="1" applyFont="1" applyBorder="1" applyAlignment="1">
      <alignment horizontal="right"/>
    </xf>
    <xf numFmtId="3" fontId="12" fillId="0" borderId="100" xfId="0" applyNumberFormat="1" applyFont="1" applyBorder="1" applyAlignment="1">
      <alignment horizontal="right"/>
    </xf>
    <xf numFmtId="167" fontId="12" fillId="0" borderId="100" xfId="0" applyNumberFormat="1" applyFont="1" applyBorder="1" applyAlignment="1">
      <alignment horizontal="right"/>
    </xf>
    <xf numFmtId="167" fontId="11" fillId="0" borderId="75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23" xfId="0" applyNumberFormat="1" applyFont="1" applyBorder="1"/>
    <xf numFmtId="167" fontId="35" fillId="0" borderId="123" xfId="0" applyNumberFormat="1" applyFont="1" applyBorder="1"/>
    <xf numFmtId="167" fontId="35" fillId="0" borderId="96" xfId="0" applyNumberFormat="1" applyFont="1" applyBorder="1"/>
    <xf numFmtId="3" fontId="12" fillId="0" borderId="123" xfId="0" applyNumberFormat="1" applyFont="1" applyBorder="1" applyAlignment="1">
      <alignment horizontal="right"/>
    </xf>
    <xf numFmtId="167" fontId="12" fillId="0" borderId="123" xfId="0" applyNumberFormat="1" applyFont="1" applyBorder="1" applyAlignment="1">
      <alignment horizontal="right"/>
    </xf>
    <xf numFmtId="167" fontId="12" fillId="0" borderId="96" xfId="0" applyNumberFormat="1" applyFont="1" applyBorder="1" applyAlignment="1">
      <alignment horizontal="right"/>
    </xf>
    <xf numFmtId="3" fontId="5" fillId="0" borderId="123" xfId="0" applyNumberFormat="1" applyFont="1" applyBorder="1" applyAlignment="1">
      <alignment horizontal="right"/>
    </xf>
    <xf numFmtId="167" fontId="5" fillId="0" borderId="123" xfId="0" applyNumberFormat="1" applyFont="1" applyBorder="1" applyAlignment="1">
      <alignment horizontal="right"/>
    </xf>
    <xf numFmtId="167" fontId="5" fillId="0" borderId="96" xfId="0" applyNumberFormat="1" applyFont="1" applyBorder="1" applyAlignment="1">
      <alignment horizontal="right"/>
    </xf>
    <xf numFmtId="177" fontId="5" fillId="0" borderId="123" xfId="0" applyNumberFormat="1" applyFont="1" applyBorder="1" applyAlignment="1">
      <alignment horizontal="right"/>
    </xf>
    <xf numFmtId="4" fontId="5" fillId="0" borderId="123" xfId="0" applyNumberFormat="1" applyFont="1" applyBorder="1" applyAlignment="1">
      <alignment horizontal="right"/>
    </xf>
    <xf numFmtId="0" fontId="5" fillId="0" borderId="123" xfId="0" applyFont="1" applyBorder="1"/>
    <xf numFmtId="3" fontId="5" fillId="0" borderId="123" xfId="0" applyNumberFormat="1" applyFont="1" applyBorder="1"/>
    <xf numFmtId="9" fontId="35" fillId="0" borderId="123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70" fontId="35" fillId="0" borderId="77" xfId="0" applyNumberFormat="1" applyFont="1" applyFill="1" applyBorder="1"/>
    <xf numFmtId="9" fontId="35" fillId="0" borderId="78" xfId="0" applyNumberFormat="1" applyFont="1" applyFill="1" applyBorder="1"/>
    <xf numFmtId="170" fontId="35" fillId="0" borderId="87" xfId="0" applyNumberFormat="1" applyFont="1" applyFill="1" applyBorder="1"/>
    <xf numFmtId="9" fontId="35" fillId="0" borderId="88" xfId="0" applyNumberFormat="1" applyFont="1" applyFill="1" applyBorder="1"/>
    <xf numFmtId="170" fontId="35" fillId="0" borderId="80" xfId="0" applyNumberFormat="1" applyFont="1" applyFill="1" applyBorder="1"/>
    <xf numFmtId="9" fontId="35" fillId="0" borderId="81" xfId="0" applyNumberFormat="1" applyFont="1" applyFill="1" applyBorder="1"/>
    <xf numFmtId="0" fontId="42" fillId="0" borderId="79" xfId="0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24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170" fontId="32" fillId="0" borderId="76" xfId="76" applyNumberFormat="1" applyFont="1" applyFill="1" applyBorder="1"/>
    <xf numFmtId="170" fontId="32" fillId="0" borderId="77" xfId="76" applyNumberFormat="1" applyFont="1" applyFill="1" applyBorder="1"/>
    <xf numFmtId="170" fontId="32" fillId="0" borderId="86" xfId="76" applyNumberFormat="1" applyFont="1" applyFill="1" applyBorder="1"/>
    <xf numFmtId="170" fontId="32" fillId="0" borderId="87" xfId="76" applyNumberFormat="1" applyFont="1" applyFill="1" applyBorder="1"/>
    <xf numFmtId="170" fontId="32" fillId="0" borderId="79" xfId="76" applyNumberFormat="1" applyFont="1" applyFill="1" applyBorder="1"/>
    <xf numFmtId="170" fontId="32" fillId="0" borderId="80" xfId="76" applyNumberFormat="1" applyFont="1" applyFill="1" applyBorder="1"/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" xfId="82" builtinId="5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1.2675280041835271</c:v>
                </c:pt>
                <c:pt idx="1">
                  <c:v>2.3324095329190531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092416"/>
        <c:axId val="9780943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2.4741685011006602</c:v>
                </c:pt>
                <c:pt idx="1">
                  <c:v>2.4741685011006602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604416"/>
        <c:axId val="978605952"/>
      </c:scatterChart>
      <c:catAx>
        <c:axId val="97809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809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80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8092416"/>
        <c:crosses val="autoZero"/>
        <c:crossBetween val="between"/>
      </c:valAx>
      <c:valAx>
        <c:axId val="978604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8605952"/>
        <c:crosses val="max"/>
        <c:crossBetween val="midCat"/>
      </c:valAx>
      <c:valAx>
        <c:axId val="978605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86044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0.89766606822262118</c:v>
                </c:pt>
                <c:pt idx="1">
                  <c:v>0.92192727461230806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275904"/>
        <c:axId val="121144230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1443840"/>
        <c:axId val="1212011648"/>
      </c:scatterChart>
      <c:catAx>
        <c:axId val="121127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144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423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11275904"/>
        <c:crosses val="autoZero"/>
        <c:crossBetween val="between"/>
      </c:valAx>
      <c:valAx>
        <c:axId val="12114438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2011648"/>
        <c:crosses val="max"/>
        <c:crossBetween val="midCat"/>
      </c:valAx>
      <c:valAx>
        <c:axId val="121201164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1144384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6" bestFit="1" customWidth="1"/>
    <col min="2" max="2" width="98.6640625" style="246" customWidth="1"/>
    <col min="3" max="3" width="16.109375" style="51" hidden="1" customWidth="1"/>
    <col min="4" max="16384" width="8.88671875" style="246"/>
  </cols>
  <sheetData>
    <row r="1" spans="1:3" ht="18.600000000000001" customHeight="1" thickBot="1" x14ac:dyDescent="0.4">
      <c r="A1" s="445" t="s">
        <v>122</v>
      </c>
      <c r="B1" s="445"/>
    </row>
    <row r="2" spans="1:3" ht="14.4" customHeight="1" thickBot="1" x14ac:dyDescent="0.35">
      <c r="A2" s="369" t="s">
        <v>271</v>
      </c>
      <c r="B2" s="50"/>
    </row>
    <row r="3" spans="1:3" ht="14.4" customHeight="1" thickBot="1" x14ac:dyDescent="0.35">
      <c r="A3" s="441" t="s">
        <v>166</v>
      </c>
      <c r="B3" s="442"/>
    </row>
    <row r="4" spans="1:3" ht="14.4" customHeight="1" x14ac:dyDescent="0.3">
      <c r="A4" s="261" t="str">
        <f t="shared" ref="A4:A8" si="0">HYPERLINK("#'"&amp;C4&amp;"'!A1",C4)</f>
        <v>Motivace</v>
      </c>
      <c r="B4" s="169" t="s">
        <v>139</v>
      </c>
      <c r="C4" s="51" t="s">
        <v>140</v>
      </c>
    </row>
    <row r="5" spans="1:3" ht="14.4" customHeight="1" x14ac:dyDescent="0.3">
      <c r="A5" s="262" t="str">
        <f t="shared" si="0"/>
        <v>HI</v>
      </c>
      <c r="B5" s="170" t="s">
        <v>160</v>
      </c>
      <c r="C5" s="51" t="s">
        <v>126</v>
      </c>
    </row>
    <row r="6" spans="1:3" ht="14.4" customHeight="1" x14ac:dyDescent="0.3">
      <c r="A6" s="263" t="str">
        <f t="shared" si="0"/>
        <v>HI Graf</v>
      </c>
      <c r="B6" s="171" t="s">
        <v>118</v>
      </c>
      <c r="C6" s="51" t="s">
        <v>127</v>
      </c>
    </row>
    <row r="7" spans="1:3" ht="14.4" customHeight="1" x14ac:dyDescent="0.3">
      <c r="A7" s="263" t="str">
        <f t="shared" si="0"/>
        <v>Man Tab</v>
      </c>
      <c r="B7" s="171" t="s">
        <v>273</v>
      </c>
      <c r="C7" s="51" t="s">
        <v>128</v>
      </c>
    </row>
    <row r="8" spans="1:3" ht="14.4" customHeight="1" thickBot="1" x14ac:dyDescent="0.35">
      <c r="A8" s="264" t="str">
        <f t="shared" si="0"/>
        <v>HV</v>
      </c>
      <c r="B8" s="172" t="s">
        <v>51</v>
      </c>
      <c r="C8" s="51" t="s">
        <v>56</v>
      </c>
    </row>
    <row r="9" spans="1:3" ht="14.4" customHeight="1" thickBot="1" x14ac:dyDescent="0.35">
      <c r="A9" s="173"/>
      <c r="B9" s="173"/>
    </row>
    <row r="10" spans="1:3" ht="14.4" customHeight="1" thickBot="1" x14ac:dyDescent="0.35">
      <c r="A10" s="443" t="s">
        <v>123</v>
      </c>
      <c r="B10" s="442"/>
    </row>
    <row r="11" spans="1:3" ht="14.4" customHeight="1" x14ac:dyDescent="0.3">
      <c r="A11" s="265" t="str">
        <f t="shared" ref="A11:A17" si="1">HYPERLINK("#'"&amp;C11&amp;"'!A1",C11)</f>
        <v>Léky Žádanky</v>
      </c>
      <c r="B11" s="170" t="s">
        <v>161</v>
      </c>
      <c r="C11" s="51" t="s">
        <v>129</v>
      </c>
    </row>
    <row r="12" spans="1:3" ht="14.4" customHeight="1" x14ac:dyDescent="0.3">
      <c r="A12" s="263" t="str">
        <f t="shared" si="1"/>
        <v>LŽ Detail</v>
      </c>
      <c r="B12" s="171" t="s">
        <v>186</v>
      </c>
      <c r="C12" s="51" t="s">
        <v>130</v>
      </c>
    </row>
    <row r="13" spans="1:3" ht="28.8" customHeight="1" x14ac:dyDescent="0.3">
      <c r="A13" s="263" t="str">
        <f t="shared" si="1"/>
        <v>LŽ PL</v>
      </c>
      <c r="B13" s="624" t="s">
        <v>188</v>
      </c>
      <c r="C13" s="51" t="s">
        <v>171</v>
      </c>
    </row>
    <row r="14" spans="1:3" ht="14.4" customHeight="1" x14ac:dyDescent="0.3">
      <c r="A14" s="263" t="str">
        <f t="shared" si="1"/>
        <v>LŽ PL Detail</v>
      </c>
      <c r="B14" s="171" t="s">
        <v>941</v>
      </c>
      <c r="C14" s="51" t="s">
        <v>172</v>
      </c>
    </row>
    <row r="15" spans="1:3" ht="14.4" customHeight="1" x14ac:dyDescent="0.3">
      <c r="A15" s="265" t="str">
        <f t="shared" si="1"/>
        <v>Materiál Žádanky</v>
      </c>
      <c r="B15" s="171" t="s">
        <v>162</v>
      </c>
      <c r="C15" s="51" t="s">
        <v>131</v>
      </c>
    </row>
    <row r="16" spans="1:3" ht="14.4" customHeight="1" x14ac:dyDescent="0.3">
      <c r="A16" s="263" t="str">
        <f t="shared" si="1"/>
        <v>MŽ Detail</v>
      </c>
      <c r="B16" s="171" t="s">
        <v>1190</v>
      </c>
      <c r="C16" s="51" t="s">
        <v>132</v>
      </c>
    </row>
    <row r="17" spans="1:3" ht="14.4" customHeight="1" thickBot="1" x14ac:dyDescent="0.35">
      <c r="A17" s="265" t="str">
        <f t="shared" si="1"/>
        <v>Osobní náklady</v>
      </c>
      <c r="B17" s="171" t="s">
        <v>120</v>
      </c>
      <c r="C17" s="51" t="s">
        <v>133</v>
      </c>
    </row>
    <row r="18" spans="1:3" ht="14.4" customHeight="1" thickBot="1" x14ac:dyDescent="0.35">
      <c r="A18" s="174"/>
      <c r="B18" s="174"/>
    </row>
    <row r="19" spans="1:3" ht="14.4" customHeight="1" thickBot="1" x14ac:dyDescent="0.35">
      <c r="A19" s="444" t="s">
        <v>124</v>
      </c>
      <c r="B19" s="442"/>
    </row>
    <row r="20" spans="1:3" ht="14.4" customHeight="1" x14ac:dyDescent="0.3">
      <c r="A20" s="263" t="str">
        <f t="shared" ref="A20:A27" si="2">HYPERLINK("#'"&amp;C20&amp;"'!A1",C20)</f>
        <v>ZV Vykáz.-H</v>
      </c>
      <c r="B20" s="171" t="s">
        <v>143</v>
      </c>
      <c r="C20" s="51" t="s">
        <v>141</v>
      </c>
    </row>
    <row r="21" spans="1:3" ht="14.4" customHeight="1" x14ac:dyDescent="0.3">
      <c r="A21" s="263" t="str">
        <f t="shared" si="2"/>
        <v>ZV Vykáz.-H Detail</v>
      </c>
      <c r="B21" s="171" t="s">
        <v>1317</v>
      </c>
      <c r="C21" s="51" t="s">
        <v>142</v>
      </c>
    </row>
    <row r="22" spans="1:3" ht="14.4" customHeight="1" x14ac:dyDescent="0.3">
      <c r="A22" s="266" t="str">
        <f t="shared" si="2"/>
        <v>CaseMix</v>
      </c>
      <c r="B22" s="171" t="s">
        <v>125</v>
      </c>
      <c r="C22" s="51" t="s">
        <v>134</v>
      </c>
    </row>
    <row r="23" spans="1:3" ht="14.4" customHeight="1" x14ac:dyDescent="0.3">
      <c r="A23" s="263" t="str">
        <f t="shared" si="2"/>
        <v>ALOS</v>
      </c>
      <c r="B23" s="171" t="s">
        <v>105</v>
      </c>
      <c r="C23" s="51" t="s">
        <v>76</v>
      </c>
    </row>
    <row r="24" spans="1:3" ht="14.4" customHeight="1" x14ac:dyDescent="0.3">
      <c r="A24" s="263" t="str">
        <f t="shared" si="2"/>
        <v>Total</v>
      </c>
      <c r="B24" s="171" t="s">
        <v>1381</v>
      </c>
      <c r="C24" s="51" t="s">
        <v>135</v>
      </c>
    </row>
    <row r="25" spans="1:3" ht="14.4" customHeight="1" x14ac:dyDescent="0.3">
      <c r="A25" s="263" t="str">
        <f t="shared" si="2"/>
        <v>ZV Vyžád.</v>
      </c>
      <c r="B25" s="171" t="s">
        <v>144</v>
      </c>
      <c r="C25" s="51" t="s">
        <v>138</v>
      </c>
    </row>
    <row r="26" spans="1:3" ht="14.4" customHeight="1" x14ac:dyDescent="0.3">
      <c r="A26" s="263" t="str">
        <f t="shared" si="2"/>
        <v>ZV Vyžád. Detail</v>
      </c>
      <c r="B26" s="171" t="s">
        <v>1774</v>
      </c>
      <c r="C26" s="51" t="s">
        <v>137</v>
      </c>
    </row>
    <row r="27" spans="1:3" ht="14.4" customHeight="1" thickBot="1" x14ac:dyDescent="0.35">
      <c r="A27" s="264" t="str">
        <f t="shared" si="2"/>
        <v>OD TISS</v>
      </c>
      <c r="B27" s="172" t="s">
        <v>165</v>
      </c>
      <c r="C27" s="51" t="s">
        <v>136</v>
      </c>
    </row>
  </sheetData>
  <mergeCells count="4">
    <mergeCell ref="A3:B3"/>
    <mergeCell ref="A10:B10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6" bestFit="1" customWidth="1"/>
    <col min="2" max="2" width="8.88671875" style="246" bestFit="1" customWidth="1"/>
    <col min="3" max="3" width="7" style="246" bestFit="1" customWidth="1"/>
    <col min="4" max="4" width="53.44140625" style="246" bestFit="1" customWidth="1"/>
    <col min="5" max="5" width="28.44140625" style="246" bestFit="1" customWidth="1"/>
    <col min="6" max="6" width="6.6640625" style="327" customWidth="1"/>
    <col min="7" max="7" width="10" style="327" customWidth="1"/>
    <col min="8" max="8" width="6.77734375" style="330" bestFit="1" customWidth="1"/>
    <col min="9" max="9" width="6.6640625" style="327" customWidth="1"/>
    <col min="10" max="10" width="10" style="327" customWidth="1"/>
    <col min="11" max="11" width="6.77734375" style="330" bestFit="1" customWidth="1"/>
    <col min="12" max="12" width="6.6640625" style="327" customWidth="1"/>
    <col min="13" max="13" width="10" style="327" customWidth="1"/>
    <col min="14" max="16384" width="8.88671875" style="246"/>
  </cols>
  <sheetData>
    <row r="1" spans="1:13" ht="18.600000000000001" customHeight="1" thickBot="1" x14ac:dyDescent="0.4">
      <c r="A1" s="477" t="s">
        <v>941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45"/>
      <c r="M1" s="445"/>
    </row>
    <row r="2" spans="1:13" ht="14.4" customHeight="1" thickBot="1" x14ac:dyDescent="0.35">
      <c r="A2" s="369" t="s">
        <v>271</v>
      </c>
      <c r="B2" s="326"/>
      <c r="C2" s="326"/>
      <c r="D2" s="326"/>
      <c r="E2" s="326"/>
      <c r="F2" s="334"/>
      <c r="G2" s="334"/>
      <c r="H2" s="335"/>
      <c r="I2" s="334"/>
      <c r="J2" s="334"/>
      <c r="K2" s="335"/>
      <c r="L2" s="334"/>
    </row>
    <row r="3" spans="1:13" ht="14.4" customHeight="1" thickBot="1" x14ac:dyDescent="0.35">
      <c r="E3" s="95" t="s">
        <v>145</v>
      </c>
      <c r="F3" s="47">
        <f>SUBTOTAL(9,F6:F1048576)</f>
        <v>16</v>
      </c>
      <c r="G3" s="47">
        <f>SUBTOTAL(9,G6:G1048576)</f>
        <v>804.26</v>
      </c>
      <c r="H3" s="48">
        <f>IF(M3=0,0,G3/M3)</f>
        <v>2.3030211141618167E-2</v>
      </c>
      <c r="I3" s="47">
        <f>SUBTOTAL(9,I6:I1048576)</f>
        <v>116</v>
      </c>
      <c r="J3" s="47">
        <f>SUBTOTAL(9,J6:J1048576)</f>
        <v>34117.695124701924</v>
      </c>
      <c r="K3" s="48">
        <f>IF(M3=0,0,J3/M3)</f>
        <v>0.97696978885838182</v>
      </c>
      <c r="L3" s="47">
        <f>SUBTOTAL(9,L6:L1048576)</f>
        <v>132</v>
      </c>
      <c r="M3" s="49">
        <f>SUBTOTAL(9,M6:M1048576)</f>
        <v>34921.955124701926</v>
      </c>
    </row>
    <row r="4" spans="1:13" ht="14.4" customHeight="1" thickBot="1" x14ac:dyDescent="0.35">
      <c r="A4" s="45"/>
      <c r="B4" s="45"/>
      <c r="C4" s="45"/>
      <c r="D4" s="45"/>
      <c r="E4" s="46"/>
      <c r="F4" s="481" t="s">
        <v>147</v>
      </c>
      <c r="G4" s="482"/>
      <c r="H4" s="483"/>
      <c r="I4" s="484" t="s">
        <v>146</v>
      </c>
      <c r="J4" s="482"/>
      <c r="K4" s="483"/>
      <c r="L4" s="485" t="s">
        <v>6</v>
      </c>
      <c r="M4" s="486"/>
    </row>
    <row r="5" spans="1:13" ht="14.4" customHeight="1" thickBot="1" x14ac:dyDescent="0.35">
      <c r="A5" s="607" t="s">
        <v>148</v>
      </c>
      <c r="B5" s="626" t="s">
        <v>149</v>
      </c>
      <c r="C5" s="626" t="s">
        <v>80</v>
      </c>
      <c r="D5" s="626" t="s">
        <v>150</v>
      </c>
      <c r="E5" s="626" t="s">
        <v>151</v>
      </c>
      <c r="F5" s="627" t="s">
        <v>18</v>
      </c>
      <c r="G5" s="627" t="s">
        <v>17</v>
      </c>
      <c r="H5" s="609" t="s">
        <v>152</v>
      </c>
      <c r="I5" s="608" t="s">
        <v>18</v>
      </c>
      <c r="J5" s="627" t="s">
        <v>17</v>
      </c>
      <c r="K5" s="609" t="s">
        <v>152</v>
      </c>
      <c r="L5" s="608" t="s">
        <v>18</v>
      </c>
      <c r="M5" s="628" t="s">
        <v>17</v>
      </c>
    </row>
    <row r="6" spans="1:13" ht="14.4" customHeight="1" x14ac:dyDescent="0.3">
      <c r="A6" s="589" t="s">
        <v>514</v>
      </c>
      <c r="B6" s="590" t="s">
        <v>923</v>
      </c>
      <c r="C6" s="590" t="s">
        <v>692</v>
      </c>
      <c r="D6" s="590" t="s">
        <v>693</v>
      </c>
      <c r="E6" s="590" t="s">
        <v>694</v>
      </c>
      <c r="F6" s="593"/>
      <c r="G6" s="593"/>
      <c r="H6" s="611">
        <v>0</v>
      </c>
      <c r="I6" s="593">
        <v>2</v>
      </c>
      <c r="J6" s="593">
        <v>92</v>
      </c>
      <c r="K6" s="611">
        <v>1</v>
      </c>
      <c r="L6" s="593">
        <v>2</v>
      </c>
      <c r="M6" s="594">
        <v>92</v>
      </c>
    </row>
    <row r="7" spans="1:13" ht="14.4" customHeight="1" x14ac:dyDescent="0.3">
      <c r="A7" s="595" t="s">
        <v>514</v>
      </c>
      <c r="B7" s="596" t="s">
        <v>924</v>
      </c>
      <c r="C7" s="596" t="s">
        <v>689</v>
      </c>
      <c r="D7" s="596" t="s">
        <v>690</v>
      </c>
      <c r="E7" s="596" t="s">
        <v>925</v>
      </c>
      <c r="F7" s="599"/>
      <c r="G7" s="599"/>
      <c r="H7" s="612">
        <v>0</v>
      </c>
      <c r="I7" s="599">
        <v>1</v>
      </c>
      <c r="J7" s="599">
        <v>184.14999999999998</v>
      </c>
      <c r="K7" s="612">
        <v>1</v>
      </c>
      <c r="L7" s="599">
        <v>1</v>
      </c>
      <c r="M7" s="600">
        <v>184.14999999999998</v>
      </c>
    </row>
    <row r="8" spans="1:13" ht="14.4" customHeight="1" x14ac:dyDescent="0.3">
      <c r="A8" s="595" t="s">
        <v>516</v>
      </c>
      <c r="B8" s="596" t="s">
        <v>926</v>
      </c>
      <c r="C8" s="596" t="s">
        <v>696</v>
      </c>
      <c r="D8" s="596" t="s">
        <v>927</v>
      </c>
      <c r="E8" s="596" t="s">
        <v>928</v>
      </c>
      <c r="F8" s="599">
        <v>6</v>
      </c>
      <c r="G8" s="599">
        <v>454.98</v>
      </c>
      <c r="H8" s="612">
        <v>1</v>
      </c>
      <c r="I8" s="599"/>
      <c r="J8" s="599"/>
      <c r="K8" s="612">
        <v>0</v>
      </c>
      <c r="L8" s="599">
        <v>6</v>
      </c>
      <c r="M8" s="600">
        <v>454.98</v>
      </c>
    </row>
    <row r="9" spans="1:13" ht="14.4" customHeight="1" x14ac:dyDescent="0.3">
      <c r="A9" s="595" t="s">
        <v>516</v>
      </c>
      <c r="B9" s="596" t="s">
        <v>923</v>
      </c>
      <c r="C9" s="596" t="s">
        <v>692</v>
      </c>
      <c r="D9" s="596" t="s">
        <v>693</v>
      </c>
      <c r="E9" s="596" t="s">
        <v>694</v>
      </c>
      <c r="F9" s="599"/>
      <c r="G9" s="599"/>
      <c r="H9" s="612">
        <v>0</v>
      </c>
      <c r="I9" s="599">
        <v>4</v>
      </c>
      <c r="J9" s="599">
        <v>184</v>
      </c>
      <c r="K9" s="612">
        <v>1</v>
      </c>
      <c r="L9" s="599">
        <v>4</v>
      </c>
      <c r="M9" s="600">
        <v>184</v>
      </c>
    </row>
    <row r="10" spans="1:13" ht="14.4" customHeight="1" x14ac:dyDescent="0.3">
      <c r="A10" s="595" t="s">
        <v>516</v>
      </c>
      <c r="B10" s="596" t="s">
        <v>929</v>
      </c>
      <c r="C10" s="596" t="s">
        <v>899</v>
      </c>
      <c r="D10" s="596" t="s">
        <v>900</v>
      </c>
      <c r="E10" s="596" t="s">
        <v>930</v>
      </c>
      <c r="F10" s="599"/>
      <c r="G10" s="599"/>
      <c r="H10" s="612">
        <v>0</v>
      </c>
      <c r="I10" s="599">
        <v>1</v>
      </c>
      <c r="J10" s="599">
        <v>106.77</v>
      </c>
      <c r="K10" s="612">
        <v>1</v>
      </c>
      <c r="L10" s="599">
        <v>1</v>
      </c>
      <c r="M10" s="600">
        <v>106.77</v>
      </c>
    </row>
    <row r="11" spans="1:13" ht="14.4" customHeight="1" x14ac:dyDescent="0.3">
      <c r="A11" s="595" t="s">
        <v>516</v>
      </c>
      <c r="B11" s="596" t="s">
        <v>929</v>
      </c>
      <c r="C11" s="596" t="s">
        <v>891</v>
      </c>
      <c r="D11" s="596" t="s">
        <v>931</v>
      </c>
      <c r="E11" s="596" t="s">
        <v>932</v>
      </c>
      <c r="F11" s="599"/>
      <c r="G11" s="599"/>
      <c r="H11" s="612">
        <v>0</v>
      </c>
      <c r="I11" s="599">
        <v>25</v>
      </c>
      <c r="J11" s="599">
        <v>1155.1581741744485</v>
      </c>
      <c r="K11" s="612">
        <v>1</v>
      </c>
      <c r="L11" s="599">
        <v>25</v>
      </c>
      <c r="M11" s="600">
        <v>1155.1581741744485</v>
      </c>
    </row>
    <row r="12" spans="1:13" ht="14.4" customHeight="1" x14ac:dyDescent="0.3">
      <c r="A12" s="595" t="s">
        <v>516</v>
      </c>
      <c r="B12" s="596" t="s">
        <v>933</v>
      </c>
      <c r="C12" s="596" t="s">
        <v>877</v>
      </c>
      <c r="D12" s="596" t="s">
        <v>878</v>
      </c>
      <c r="E12" s="596" t="s">
        <v>879</v>
      </c>
      <c r="F12" s="599">
        <v>10</v>
      </c>
      <c r="G12" s="599">
        <v>349.28</v>
      </c>
      <c r="H12" s="612">
        <v>1</v>
      </c>
      <c r="I12" s="599"/>
      <c r="J12" s="599"/>
      <c r="K12" s="612">
        <v>0</v>
      </c>
      <c r="L12" s="599">
        <v>10</v>
      </c>
      <c r="M12" s="600">
        <v>349.28</v>
      </c>
    </row>
    <row r="13" spans="1:13" ht="14.4" customHeight="1" x14ac:dyDescent="0.3">
      <c r="A13" s="595" t="s">
        <v>516</v>
      </c>
      <c r="B13" s="596" t="s">
        <v>934</v>
      </c>
      <c r="C13" s="596" t="s">
        <v>887</v>
      </c>
      <c r="D13" s="596" t="s">
        <v>888</v>
      </c>
      <c r="E13" s="596" t="s">
        <v>889</v>
      </c>
      <c r="F13" s="599"/>
      <c r="G13" s="599"/>
      <c r="H13" s="612">
        <v>0</v>
      </c>
      <c r="I13" s="599">
        <v>6</v>
      </c>
      <c r="J13" s="599">
        <v>10226.279999999999</v>
      </c>
      <c r="K13" s="612">
        <v>1</v>
      </c>
      <c r="L13" s="599">
        <v>6</v>
      </c>
      <c r="M13" s="600">
        <v>10226.279999999999</v>
      </c>
    </row>
    <row r="14" spans="1:13" ht="14.4" customHeight="1" x14ac:dyDescent="0.3">
      <c r="A14" s="595" t="s">
        <v>516</v>
      </c>
      <c r="B14" s="596" t="s">
        <v>935</v>
      </c>
      <c r="C14" s="596" t="s">
        <v>895</v>
      </c>
      <c r="D14" s="596" t="s">
        <v>936</v>
      </c>
      <c r="E14" s="596" t="s">
        <v>937</v>
      </c>
      <c r="F14" s="599"/>
      <c r="G14" s="599"/>
      <c r="H14" s="612">
        <v>0</v>
      </c>
      <c r="I14" s="599">
        <v>40</v>
      </c>
      <c r="J14" s="599">
        <v>17955.860438768908</v>
      </c>
      <c r="K14" s="612">
        <v>1</v>
      </c>
      <c r="L14" s="599">
        <v>40</v>
      </c>
      <c r="M14" s="600">
        <v>17955.860438768908</v>
      </c>
    </row>
    <row r="15" spans="1:13" ht="14.4" customHeight="1" x14ac:dyDescent="0.3">
      <c r="A15" s="595" t="s">
        <v>516</v>
      </c>
      <c r="B15" s="596" t="s">
        <v>938</v>
      </c>
      <c r="C15" s="596" t="s">
        <v>850</v>
      </c>
      <c r="D15" s="596" t="s">
        <v>939</v>
      </c>
      <c r="E15" s="596" t="s">
        <v>852</v>
      </c>
      <c r="F15" s="599"/>
      <c r="G15" s="599"/>
      <c r="H15" s="612">
        <v>0</v>
      </c>
      <c r="I15" s="599">
        <v>20</v>
      </c>
      <c r="J15" s="599">
        <v>1677.5865117585711</v>
      </c>
      <c r="K15" s="612">
        <v>1</v>
      </c>
      <c r="L15" s="599">
        <v>20</v>
      </c>
      <c r="M15" s="600">
        <v>1677.5865117585711</v>
      </c>
    </row>
    <row r="16" spans="1:13" ht="14.4" customHeight="1" x14ac:dyDescent="0.3">
      <c r="A16" s="595" t="s">
        <v>516</v>
      </c>
      <c r="B16" s="596" t="s">
        <v>940</v>
      </c>
      <c r="C16" s="596" t="s">
        <v>846</v>
      </c>
      <c r="D16" s="596" t="s">
        <v>847</v>
      </c>
      <c r="E16" s="596" t="s">
        <v>848</v>
      </c>
      <c r="F16" s="599"/>
      <c r="G16" s="599"/>
      <c r="H16" s="612">
        <v>0</v>
      </c>
      <c r="I16" s="599">
        <v>15</v>
      </c>
      <c r="J16" s="599">
        <v>2167.9499999999998</v>
      </c>
      <c r="K16" s="612">
        <v>1</v>
      </c>
      <c r="L16" s="599">
        <v>15</v>
      </c>
      <c r="M16" s="600">
        <v>2167.9499999999998</v>
      </c>
    </row>
    <row r="17" spans="1:13" ht="14.4" customHeight="1" thickBot="1" x14ac:dyDescent="0.35">
      <c r="A17" s="601" t="s">
        <v>516</v>
      </c>
      <c r="B17" s="602" t="s">
        <v>924</v>
      </c>
      <c r="C17" s="602" t="s">
        <v>689</v>
      </c>
      <c r="D17" s="602" t="s">
        <v>690</v>
      </c>
      <c r="E17" s="602" t="s">
        <v>925</v>
      </c>
      <c r="F17" s="605"/>
      <c r="G17" s="605"/>
      <c r="H17" s="613">
        <v>0</v>
      </c>
      <c r="I17" s="605">
        <v>2</v>
      </c>
      <c r="J17" s="605">
        <v>367.93999999999994</v>
      </c>
      <c r="K17" s="613">
        <v>1</v>
      </c>
      <c r="L17" s="605">
        <v>2</v>
      </c>
      <c r="M17" s="606">
        <v>367.93999999999994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4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28" bestFit="1" customWidth="1"/>
    <col min="2" max="2" width="9.33203125" style="328" customWidth="1"/>
    <col min="3" max="3" width="28.88671875" style="246" bestFit="1" customWidth="1"/>
    <col min="4" max="5" width="11.109375" style="329" customWidth="1"/>
    <col min="6" max="6" width="6.6640625" style="330" customWidth="1"/>
    <col min="7" max="7" width="12.21875" style="327" bestFit="1" customWidth="1"/>
    <col min="8" max="8" width="0" style="246" hidden="1" customWidth="1"/>
    <col min="9" max="16384" width="8.88671875" style="246"/>
  </cols>
  <sheetData>
    <row r="1" spans="1:9" ht="18.600000000000001" customHeight="1" thickBot="1" x14ac:dyDescent="0.4">
      <c r="A1" s="469" t="s">
        <v>162</v>
      </c>
      <c r="B1" s="470"/>
      <c r="C1" s="470"/>
      <c r="D1" s="470"/>
      <c r="E1" s="470"/>
      <c r="F1" s="470"/>
      <c r="G1" s="446"/>
    </row>
    <row r="2" spans="1:9" ht="14.4" customHeight="1" thickBot="1" x14ac:dyDescent="0.35">
      <c r="A2" s="369" t="s">
        <v>271</v>
      </c>
      <c r="B2" s="326"/>
      <c r="C2" s="326"/>
      <c r="D2" s="326"/>
      <c r="E2" s="326"/>
      <c r="F2" s="326"/>
    </row>
    <row r="3" spans="1:9" ht="14.4" customHeight="1" thickBot="1" x14ac:dyDescent="0.35">
      <c r="A3" s="97" t="s">
        <v>0</v>
      </c>
      <c r="B3" s="98" t="s">
        <v>1</v>
      </c>
      <c r="C3" s="197" t="s">
        <v>2</v>
      </c>
      <c r="D3" s="198" t="s">
        <v>3</v>
      </c>
      <c r="E3" s="198" t="s">
        <v>4</v>
      </c>
      <c r="F3" s="198" t="s">
        <v>5</v>
      </c>
      <c r="G3" s="199" t="s">
        <v>168</v>
      </c>
    </row>
    <row r="4" spans="1:9" ht="14.4" customHeight="1" x14ac:dyDescent="0.3">
      <c r="A4" s="580" t="s">
        <v>496</v>
      </c>
      <c r="B4" s="581" t="s">
        <v>497</v>
      </c>
      <c r="C4" s="582" t="s">
        <v>498</v>
      </c>
      <c r="D4" s="582" t="s">
        <v>497</v>
      </c>
      <c r="E4" s="582" t="s">
        <v>497</v>
      </c>
      <c r="F4" s="583" t="s">
        <v>497</v>
      </c>
      <c r="G4" s="582" t="s">
        <v>497</v>
      </c>
      <c r="H4" s="582" t="s">
        <v>64</v>
      </c>
      <c r="I4"/>
    </row>
    <row r="5" spans="1:9" ht="14.4" customHeight="1" x14ac:dyDescent="0.3">
      <c r="A5" s="580" t="s">
        <v>496</v>
      </c>
      <c r="B5" s="581" t="s">
        <v>942</v>
      </c>
      <c r="C5" s="582" t="s">
        <v>943</v>
      </c>
      <c r="D5" s="582">
        <v>89679.859889422034</v>
      </c>
      <c r="E5" s="582">
        <v>110.11</v>
      </c>
      <c r="F5" s="583">
        <v>1.2278119093380492E-3</v>
      </c>
      <c r="G5" s="582">
        <v>-89569.749889422033</v>
      </c>
      <c r="H5" s="582" t="s">
        <v>2</v>
      </c>
      <c r="I5"/>
    </row>
    <row r="6" spans="1:9" ht="14.4" customHeight="1" x14ac:dyDescent="0.3">
      <c r="A6" s="580" t="s">
        <v>496</v>
      </c>
      <c r="B6" s="581" t="s">
        <v>942</v>
      </c>
      <c r="C6" s="582" t="s">
        <v>943</v>
      </c>
      <c r="D6" s="582">
        <v>89679.859889422034</v>
      </c>
      <c r="E6" s="582">
        <v>52572.47</v>
      </c>
      <c r="F6" s="583">
        <v>0.58622381953789227</v>
      </c>
      <c r="G6" s="582">
        <v>-37107.389889422033</v>
      </c>
      <c r="H6" s="582" t="s">
        <v>2</v>
      </c>
      <c r="I6"/>
    </row>
    <row r="7" spans="1:9" ht="14.4" customHeight="1" x14ac:dyDescent="0.3">
      <c r="A7" s="580" t="s">
        <v>496</v>
      </c>
      <c r="B7" s="581" t="s">
        <v>944</v>
      </c>
      <c r="C7" s="582" t="s">
        <v>945</v>
      </c>
      <c r="D7" s="582">
        <v>25804.871797585878</v>
      </c>
      <c r="E7" s="582">
        <v>25852.840000000004</v>
      </c>
      <c r="F7" s="583">
        <v>1.0018588816402727</v>
      </c>
      <c r="G7" s="582">
        <v>47.968202414125699</v>
      </c>
      <c r="H7" s="582" t="s">
        <v>2</v>
      </c>
      <c r="I7"/>
    </row>
    <row r="8" spans="1:9" ht="14.4" customHeight="1" x14ac:dyDescent="0.3">
      <c r="A8" s="580" t="s">
        <v>496</v>
      </c>
      <c r="B8" s="581" t="s">
        <v>946</v>
      </c>
      <c r="C8" s="582" t="s">
        <v>947</v>
      </c>
      <c r="D8" s="582">
        <v>418577.33002415113</v>
      </c>
      <c r="E8" s="582">
        <v>379524.39000000013</v>
      </c>
      <c r="F8" s="583">
        <v>0.90670077612206634</v>
      </c>
      <c r="G8" s="582">
        <v>-39052.940024151001</v>
      </c>
      <c r="H8" s="582" t="s">
        <v>2</v>
      </c>
      <c r="I8"/>
    </row>
    <row r="9" spans="1:9" ht="14.4" customHeight="1" x14ac:dyDescent="0.3">
      <c r="A9" s="580" t="s">
        <v>496</v>
      </c>
      <c r="B9" s="581" t="s">
        <v>948</v>
      </c>
      <c r="C9" s="582" t="s">
        <v>949</v>
      </c>
      <c r="D9" s="582">
        <v>0</v>
      </c>
      <c r="E9" s="582">
        <v>495</v>
      </c>
      <c r="F9" s="583" t="s">
        <v>497</v>
      </c>
      <c r="G9" s="582">
        <v>495</v>
      </c>
      <c r="H9" s="582" t="s">
        <v>2</v>
      </c>
      <c r="I9"/>
    </row>
    <row r="10" spans="1:9" ht="14.4" customHeight="1" x14ac:dyDescent="0.3">
      <c r="A10" s="580" t="s">
        <v>496</v>
      </c>
      <c r="B10" s="581" t="s">
        <v>950</v>
      </c>
      <c r="C10" s="582" t="s">
        <v>951</v>
      </c>
      <c r="D10" s="582">
        <v>17264.602207705833</v>
      </c>
      <c r="E10" s="582">
        <v>15288.35</v>
      </c>
      <c r="F10" s="583">
        <v>0.88553155271519912</v>
      </c>
      <c r="G10" s="582">
        <v>-1976.2522077058329</v>
      </c>
      <c r="H10" s="582" t="s">
        <v>2</v>
      </c>
      <c r="I10"/>
    </row>
    <row r="11" spans="1:9" ht="14.4" customHeight="1" x14ac:dyDescent="0.3">
      <c r="A11" s="580" t="s">
        <v>496</v>
      </c>
      <c r="B11" s="581" t="s">
        <v>952</v>
      </c>
      <c r="C11" s="582" t="s">
        <v>953</v>
      </c>
      <c r="D11" s="582">
        <v>11886.920524233881</v>
      </c>
      <c r="E11" s="582">
        <v>9629.24</v>
      </c>
      <c r="F11" s="583">
        <v>0.81007019272727998</v>
      </c>
      <c r="G11" s="582">
        <v>-2257.6805242338814</v>
      </c>
      <c r="H11" s="582" t="s">
        <v>2</v>
      </c>
      <c r="I11"/>
    </row>
    <row r="12" spans="1:9" ht="14.4" customHeight="1" x14ac:dyDescent="0.3">
      <c r="A12" s="580" t="s">
        <v>496</v>
      </c>
      <c r="B12" s="581" t="s">
        <v>954</v>
      </c>
      <c r="C12" s="582" t="s">
        <v>955</v>
      </c>
      <c r="D12" s="582">
        <v>1307.6626536309732</v>
      </c>
      <c r="E12" s="582">
        <v>666.89</v>
      </c>
      <c r="F12" s="583">
        <v>0.50998627065493807</v>
      </c>
      <c r="G12" s="582">
        <v>-640.7726536309732</v>
      </c>
      <c r="H12" s="582" t="s">
        <v>2</v>
      </c>
      <c r="I12"/>
    </row>
    <row r="13" spans="1:9" ht="14.4" customHeight="1" x14ac:dyDescent="0.3">
      <c r="A13" s="580" t="s">
        <v>496</v>
      </c>
      <c r="B13" s="581" t="s">
        <v>956</v>
      </c>
      <c r="C13" s="582" t="s">
        <v>957</v>
      </c>
      <c r="D13" s="582">
        <v>1221.4490900127614</v>
      </c>
      <c r="E13" s="582">
        <v>1010.72</v>
      </c>
      <c r="F13" s="583">
        <v>0.82747615783924344</v>
      </c>
      <c r="G13" s="582">
        <v>-210.72909001276139</v>
      </c>
      <c r="H13" s="582" t="s">
        <v>2</v>
      </c>
      <c r="I13"/>
    </row>
    <row r="14" spans="1:9" ht="14.4" customHeight="1" x14ac:dyDescent="0.3">
      <c r="A14" s="580" t="s">
        <v>496</v>
      </c>
      <c r="B14" s="581" t="s">
        <v>958</v>
      </c>
      <c r="C14" s="582" t="s">
        <v>959</v>
      </c>
      <c r="D14" s="582">
        <v>25759.442510317953</v>
      </c>
      <c r="E14" s="582">
        <v>17552.699999999997</v>
      </c>
      <c r="F14" s="583">
        <v>0.68140838036262852</v>
      </c>
      <c r="G14" s="582">
        <v>-8206.7425103179557</v>
      </c>
      <c r="H14" s="582" t="s">
        <v>2</v>
      </c>
      <c r="I14"/>
    </row>
    <row r="15" spans="1:9" ht="14.4" customHeight="1" x14ac:dyDescent="0.3">
      <c r="A15" s="580" t="s">
        <v>496</v>
      </c>
      <c r="B15" s="581" t="s">
        <v>6</v>
      </c>
      <c r="C15" s="582" t="s">
        <v>498</v>
      </c>
      <c r="D15" s="582">
        <v>592427.13060090004</v>
      </c>
      <c r="E15" s="582">
        <v>502702.71000000014</v>
      </c>
      <c r="F15" s="583">
        <v>0.8485477521768926</v>
      </c>
      <c r="G15" s="582">
        <v>-89724.420600899903</v>
      </c>
      <c r="H15" s="582" t="s">
        <v>509</v>
      </c>
      <c r="I15"/>
    </row>
    <row r="17" spans="1:9" ht="14.4" customHeight="1" x14ac:dyDescent="0.3">
      <c r="A17" s="580" t="s">
        <v>496</v>
      </c>
      <c r="B17" s="581" t="s">
        <v>497</v>
      </c>
      <c r="C17" s="582" t="s">
        <v>498</v>
      </c>
      <c r="D17" s="582" t="s">
        <v>497</v>
      </c>
      <c r="E17" s="582" t="s">
        <v>497</v>
      </c>
      <c r="F17" s="583" t="s">
        <v>497</v>
      </c>
      <c r="G17" s="582" t="s">
        <v>497</v>
      </c>
      <c r="H17" s="582" t="s">
        <v>64</v>
      </c>
      <c r="I17"/>
    </row>
    <row r="18" spans="1:9" ht="14.4" customHeight="1" x14ac:dyDescent="0.3">
      <c r="A18" s="580" t="s">
        <v>510</v>
      </c>
      <c r="B18" s="581" t="s">
        <v>942</v>
      </c>
      <c r="C18" s="582" t="s">
        <v>943</v>
      </c>
      <c r="D18" s="582">
        <v>12342.283594300616</v>
      </c>
      <c r="E18" s="582">
        <v>26499.89</v>
      </c>
      <c r="F18" s="583">
        <v>2.1470815994081551</v>
      </c>
      <c r="G18" s="582">
        <v>14157.606405699384</v>
      </c>
      <c r="H18" s="582" t="s">
        <v>2</v>
      </c>
      <c r="I18"/>
    </row>
    <row r="19" spans="1:9" ht="14.4" customHeight="1" x14ac:dyDescent="0.3">
      <c r="A19" s="580" t="s">
        <v>510</v>
      </c>
      <c r="B19" s="581" t="s">
        <v>497</v>
      </c>
      <c r="C19" s="582" t="e">
        <v>#N/A</v>
      </c>
      <c r="D19" s="582" t="s">
        <v>497</v>
      </c>
      <c r="E19" s="582" t="s">
        <v>497</v>
      </c>
      <c r="F19" s="583" t="s">
        <v>497</v>
      </c>
      <c r="G19" s="582" t="s">
        <v>497</v>
      </c>
      <c r="H19" s="582" t="s">
        <v>64</v>
      </c>
      <c r="I19"/>
    </row>
    <row r="20" spans="1:9" ht="14.4" customHeight="1" x14ac:dyDescent="0.3">
      <c r="A20" s="580" t="s">
        <v>510</v>
      </c>
      <c r="B20" s="581" t="s">
        <v>944</v>
      </c>
      <c r="C20" s="582" t="s">
        <v>945</v>
      </c>
      <c r="D20" s="582">
        <v>5932.5102243142501</v>
      </c>
      <c r="E20" s="582">
        <v>1276.97</v>
      </c>
      <c r="F20" s="583">
        <v>0.21524952367825162</v>
      </c>
      <c r="G20" s="582">
        <v>-4655.5402243142498</v>
      </c>
      <c r="H20" s="582" t="s">
        <v>2</v>
      </c>
      <c r="I20"/>
    </row>
    <row r="21" spans="1:9" ht="14.4" customHeight="1" x14ac:dyDescent="0.3">
      <c r="A21" s="580" t="s">
        <v>510</v>
      </c>
      <c r="B21" s="581" t="s">
        <v>946</v>
      </c>
      <c r="C21" s="582" t="s">
        <v>947</v>
      </c>
      <c r="D21" s="582">
        <v>27989.650809516665</v>
      </c>
      <c r="E21" s="582">
        <v>28057.060000000005</v>
      </c>
      <c r="F21" s="583">
        <v>1.0024083612525962</v>
      </c>
      <c r="G21" s="582">
        <v>67.409190483340353</v>
      </c>
      <c r="H21" s="582" t="s">
        <v>2</v>
      </c>
      <c r="I21"/>
    </row>
    <row r="22" spans="1:9" ht="14.4" customHeight="1" x14ac:dyDescent="0.3">
      <c r="A22" s="580" t="s">
        <v>510</v>
      </c>
      <c r="B22" s="581" t="s">
        <v>956</v>
      </c>
      <c r="C22" s="582" t="s">
        <v>957</v>
      </c>
      <c r="D22" s="582">
        <v>160.02725940152584</v>
      </c>
      <c r="E22" s="582">
        <v>150</v>
      </c>
      <c r="F22" s="583">
        <v>0.93734030415176739</v>
      </c>
      <c r="G22" s="582">
        <v>-10.027259401525839</v>
      </c>
      <c r="H22" s="582" t="s">
        <v>2</v>
      </c>
      <c r="I22"/>
    </row>
    <row r="23" spans="1:9" ht="14.4" customHeight="1" x14ac:dyDescent="0.3">
      <c r="A23" s="580" t="s">
        <v>510</v>
      </c>
      <c r="B23" s="581" t="s">
        <v>958</v>
      </c>
      <c r="C23" s="582" t="s">
        <v>959</v>
      </c>
      <c r="D23" s="582">
        <v>4799.5212412042829</v>
      </c>
      <c r="E23" s="582">
        <v>3850.5</v>
      </c>
      <c r="F23" s="583">
        <v>0.80226751929820461</v>
      </c>
      <c r="G23" s="582">
        <v>-949.02124120428289</v>
      </c>
      <c r="H23" s="582" t="s">
        <v>2</v>
      </c>
      <c r="I23"/>
    </row>
    <row r="24" spans="1:9" ht="14.4" customHeight="1" x14ac:dyDescent="0.3">
      <c r="A24" s="580" t="s">
        <v>510</v>
      </c>
      <c r="B24" s="581" t="s">
        <v>6</v>
      </c>
      <c r="C24" s="582" t="s">
        <v>511</v>
      </c>
      <c r="D24" s="582">
        <v>52129.307283195354</v>
      </c>
      <c r="E24" s="582">
        <v>59944.530000000006</v>
      </c>
      <c r="F24" s="583">
        <v>1.1499199418543589</v>
      </c>
      <c r="G24" s="582">
        <v>7815.222716804652</v>
      </c>
      <c r="H24" s="582" t="s">
        <v>512</v>
      </c>
      <c r="I24"/>
    </row>
    <row r="25" spans="1:9" ht="14.4" customHeight="1" x14ac:dyDescent="0.3">
      <c r="A25" s="580" t="s">
        <v>497</v>
      </c>
      <c r="B25" s="581" t="s">
        <v>497</v>
      </c>
      <c r="C25" s="582" t="s">
        <v>497</v>
      </c>
      <c r="D25" s="582" t="s">
        <v>497</v>
      </c>
      <c r="E25" s="582" t="s">
        <v>497</v>
      </c>
      <c r="F25" s="583" t="s">
        <v>497</v>
      </c>
      <c r="G25" s="582" t="s">
        <v>497</v>
      </c>
      <c r="H25" s="582" t="s">
        <v>513</v>
      </c>
      <c r="I25"/>
    </row>
    <row r="26" spans="1:9" ht="14.4" customHeight="1" x14ac:dyDescent="0.3">
      <c r="A26" s="580" t="s">
        <v>514</v>
      </c>
      <c r="B26" s="581" t="s">
        <v>944</v>
      </c>
      <c r="C26" s="582" t="s">
        <v>945</v>
      </c>
      <c r="D26" s="582">
        <v>3087.9996707316332</v>
      </c>
      <c r="E26" s="582">
        <v>3985</v>
      </c>
      <c r="F26" s="583">
        <v>1.2904794122130987</v>
      </c>
      <c r="G26" s="582">
        <v>897.00032926836684</v>
      </c>
      <c r="H26" s="582" t="s">
        <v>2</v>
      </c>
      <c r="I26"/>
    </row>
    <row r="27" spans="1:9" ht="14.4" customHeight="1" x14ac:dyDescent="0.3">
      <c r="A27" s="580" t="s">
        <v>514</v>
      </c>
      <c r="B27" s="581" t="s">
        <v>946</v>
      </c>
      <c r="C27" s="582" t="s">
        <v>947</v>
      </c>
      <c r="D27" s="582">
        <v>54274.174464432836</v>
      </c>
      <c r="E27" s="582">
        <v>41338.089999999997</v>
      </c>
      <c r="F27" s="583">
        <v>0.76165304047304916</v>
      </c>
      <c r="G27" s="582">
        <v>-12936.084464432839</v>
      </c>
      <c r="H27" s="582" t="s">
        <v>2</v>
      </c>
      <c r="I27"/>
    </row>
    <row r="28" spans="1:9" ht="14.4" customHeight="1" x14ac:dyDescent="0.3">
      <c r="A28" s="580" t="s">
        <v>514</v>
      </c>
      <c r="B28" s="581" t="s">
        <v>952</v>
      </c>
      <c r="C28" s="582" t="s">
        <v>953</v>
      </c>
      <c r="D28" s="582">
        <v>0</v>
      </c>
      <c r="E28" s="582">
        <v>2105.4</v>
      </c>
      <c r="F28" s="583" t="s">
        <v>497</v>
      </c>
      <c r="G28" s="582">
        <v>2105.4</v>
      </c>
      <c r="H28" s="582" t="s">
        <v>2</v>
      </c>
      <c r="I28"/>
    </row>
    <row r="29" spans="1:9" ht="14.4" customHeight="1" x14ac:dyDescent="0.3">
      <c r="A29" s="580" t="s">
        <v>514</v>
      </c>
      <c r="B29" s="581" t="s">
        <v>956</v>
      </c>
      <c r="C29" s="582" t="s">
        <v>957</v>
      </c>
      <c r="D29" s="582">
        <v>113.60396693860234</v>
      </c>
      <c r="E29" s="582">
        <v>60.72</v>
      </c>
      <c r="F29" s="583">
        <v>0.53448837779420444</v>
      </c>
      <c r="G29" s="582">
        <v>-52.883966938602342</v>
      </c>
      <c r="H29" s="582" t="s">
        <v>2</v>
      </c>
      <c r="I29"/>
    </row>
    <row r="30" spans="1:9" ht="14.4" customHeight="1" x14ac:dyDescent="0.3">
      <c r="A30" s="580" t="s">
        <v>514</v>
      </c>
      <c r="B30" s="581" t="s">
        <v>958</v>
      </c>
      <c r="C30" s="582" t="s">
        <v>959</v>
      </c>
      <c r="D30" s="582">
        <v>5892.51854202085</v>
      </c>
      <c r="E30" s="582">
        <v>4631</v>
      </c>
      <c r="F30" s="583">
        <v>0.78591182479534294</v>
      </c>
      <c r="G30" s="582">
        <v>-1261.51854202085</v>
      </c>
      <c r="H30" s="582" t="s">
        <v>2</v>
      </c>
      <c r="I30"/>
    </row>
    <row r="31" spans="1:9" ht="14.4" customHeight="1" x14ac:dyDescent="0.3">
      <c r="A31" s="580" t="s">
        <v>514</v>
      </c>
      <c r="B31" s="581" t="s">
        <v>6</v>
      </c>
      <c r="C31" s="582" t="s">
        <v>515</v>
      </c>
      <c r="D31" s="582">
        <v>63769.291278557015</v>
      </c>
      <c r="E31" s="582">
        <v>52120.21</v>
      </c>
      <c r="F31" s="583">
        <v>0.81732459237046406</v>
      </c>
      <c r="G31" s="582">
        <v>-11649.081278557016</v>
      </c>
      <c r="H31" s="582" t="s">
        <v>512</v>
      </c>
      <c r="I31"/>
    </row>
    <row r="32" spans="1:9" ht="14.4" customHeight="1" x14ac:dyDescent="0.3">
      <c r="A32" s="580" t="s">
        <v>497</v>
      </c>
      <c r="B32" s="581" t="s">
        <v>497</v>
      </c>
      <c r="C32" s="582" t="s">
        <v>497</v>
      </c>
      <c r="D32" s="582" t="s">
        <v>497</v>
      </c>
      <c r="E32" s="582" t="s">
        <v>497</v>
      </c>
      <c r="F32" s="583" t="s">
        <v>497</v>
      </c>
      <c r="G32" s="582" t="s">
        <v>497</v>
      </c>
      <c r="H32" s="582" t="s">
        <v>513</v>
      </c>
      <c r="I32"/>
    </row>
    <row r="33" spans="1:9" ht="14.4" customHeight="1" x14ac:dyDescent="0.3">
      <c r="A33" s="580" t="s">
        <v>516</v>
      </c>
      <c r="B33" s="581" t="s">
        <v>942</v>
      </c>
      <c r="C33" s="582" t="s">
        <v>943</v>
      </c>
      <c r="D33" s="582">
        <v>77062.503253132498</v>
      </c>
      <c r="E33" s="582">
        <v>26072.58</v>
      </c>
      <c r="F33" s="583">
        <v>0.33833030201935704</v>
      </c>
      <c r="G33" s="582">
        <v>-50989.923253132496</v>
      </c>
      <c r="H33" s="582" t="s">
        <v>2</v>
      </c>
      <c r="I33"/>
    </row>
    <row r="34" spans="1:9" ht="14.4" customHeight="1" x14ac:dyDescent="0.3">
      <c r="A34" s="580" t="s">
        <v>516</v>
      </c>
      <c r="B34" s="581" t="s">
        <v>944</v>
      </c>
      <c r="C34" s="582" t="s">
        <v>945</v>
      </c>
      <c r="D34" s="582">
        <v>16784.36190254</v>
      </c>
      <c r="E34" s="582">
        <v>20590.87</v>
      </c>
      <c r="F34" s="583">
        <v>1.2267889669897998</v>
      </c>
      <c r="G34" s="582">
        <v>3806.5080974599987</v>
      </c>
      <c r="H34" s="582" t="s">
        <v>2</v>
      </c>
      <c r="I34"/>
    </row>
    <row r="35" spans="1:9" ht="14.4" customHeight="1" x14ac:dyDescent="0.3">
      <c r="A35" s="580" t="s">
        <v>516</v>
      </c>
      <c r="B35" s="581" t="s">
        <v>946</v>
      </c>
      <c r="C35" s="582" t="s">
        <v>947</v>
      </c>
      <c r="D35" s="582">
        <v>336313.50475020165</v>
      </c>
      <c r="E35" s="582">
        <v>310129.24000000011</v>
      </c>
      <c r="F35" s="583">
        <v>0.92214328482095886</v>
      </c>
      <c r="G35" s="582">
        <v>-26184.264750201546</v>
      </c>
      <c r="H35" s="582" t="s">
        <v>2</v>
      </c>
      <c r="I35"/>
    </row>
    <row r="36" spans="1:9" ht="14.4" customHeight="1" x14ac:dyDescent="0.3">
      <c r="A36" s="580" t="s">
        <v>516</v>
      </c>
      <c r="B36" s="581" t="s">
        <v>948</v>
      </c>
      <c r="C36" s="582" t="s">
        <v>949</v>
      </c>
      <c r="D36" s="582">
        <v>0</v>
      </c>
      <c r="E36" s="582">
        <v>495</v>
      </c>
      <c r="F36" s="583" t="s">
        <v>497</v>
      </c>
      <c r="G36" s="582">
        <v>495</v>
      </c>
      <c r="H36" s="582" t="s">
        <v>2</v>
      </c>
      <c r="I36"/>
    </row>
    <row r="37" spans="1:9" ht="14.4" customHeight="1" x14ac:dyDescent="0.3">
      <c r="A37" s="580" t="s">
        <v>516</v>
      </c>
      <c r="B37" s="581" t="s">
        <v>950</v>
      </c>
      <c r="C37" s="582" t="s">
        <v>951</v>
      </c>
      <c r="D37" s="582">
        <v>17264.602207705833</v>
      </c>
      <c r="E37" s="582">
        <v>15288.35</v>
      </c>
      <c r="F37" s="583">
        <v>0.88553155271519912</v>
      </c>
      <c r="G37" s="582">
        <v>-1976.2522077058329</v>
      </c>
      <c r="H37" s="582" t="s">
        <v>2</v>
      </c>
      <c r="I37"/>
    </row>
    <row r="38" spans="1:9" ht="14.4" customHeight="1" x14ac:dyDescent="0.3">
      <c r="A38" s="580" t="s">
        <v>516</v>
      </c>
      <c r="B38" s="581" t="s">
        <v>952</v>
      </c>
      <c r="C38" s="582" t="s">
        <v>953</v>
      </c>
      <c r="D38" s="582">
        <v>11199.420138704651</v>
      </c>
      <c r="E38" s="582">
        <v>7523.84</v>
      </c>
      <c r="F38" s="583">
        <v>0.67180621021600717</v>
      </c>
      <c r="G38" s="582">
        <v>-3675.5801387046504</v>
      </c>
      <c r="H38" s="582" t="s">
        <v>2</v>
      </c>
      <c r="I38"/>
    </row>
    <row r="39" spans="1:9" ht="14.4" customHeight="1" x14ac:dyDescent="0.3">
      <c r="A39" s="580" t="s">
        <v>516</v>
      </c>
      <c r="B39" s="581" t="s">
        <v>954</v>
      </c>
      <c r="C39" s="582" t="s">
        <v>955</v>
      </c>
      <c r="D39" s="582">
        <v>1198.6987998237717</v>
      </c>
      <c r="E39" s="582">
        <v>666.89</v>
      </c>
      <c r="F39" s="583">
        <v>0.55634493010090924</v>
      </c>
      <c r="G39" s="582">
        <v>-531.80879982377166</v>
      </c>
      <c r="H39" s="582" t="s">
        <v>2</v>
      </c>
      <c r="I39"/>
    </row>
    <row r="40" spans="1:9" ht="14.4" customHeight="1" x14ac:dyDescent="0.3">
      <c r="A40" s="580" t="s">
        <v>516</v>
      </c>
      <c r="B40" s="581" t="s">
        <v>956</v>
      </c>
      <c r="C40" s="582" t="s">
        <v>957</v>
      </c>
      <c r="D40" s="582">
        <v>947.81786367263339</v>
      </c>
      <c r="E40" s="582">
        <v>800</v>
      </c>
      <c r="F40" s="583">
        <v>0.84404402012443169</v>
      </c>
      <c r="G40" s="582">
        <v>-147.81786367263339</v>
      </c>
      <c r="H40" s="582" t="s">
        <v>2</v>
      </c>
      <c r="I40"/>
    </row>
    <row r="41" spans="1:9" ht="14.4" customHeight="1" x14ac:dyDescent="0.3">
      <c r="A41" s="580" t="s">
        <v>516</v>
      </c>
      <c r="B41" s="581" t="s">
        <v>958</v>
      </c>
      <c r="C41" s="582" t="s">
        <v>959</v>
      </c>
      <c r="D41" s="582">
        <v>15067.402727092818</v>
      </c>
      <c r="E41" s="582">
        <v>9071.1999999999989</v>
      </c>
      <c r="F41" s="583">
        <v>0.60204138459039136</v>
      </c>
      <c r="G41" s="582">
        <v>-5996.2027270928193</v>
      </c>
      <c r="H41" s="582" t="s">
        <v>2</v>
      </c>
      <c r="I41"/>
    </row>
    <row r="42" spans="1:9" ht="14.4" customHeight="1" x14ac:dyDescent="0.3">
      <c r="A42" s="580" t="s">
        <v>516</v>
      </c>
      <c r="B42" s="581" t="s">
        <v>6</v>
      </c>
      <c r="C42" s="582" t="s">
        <v>517</v>
      </c>
      <c r="D42" s="582">
        <v>476528.5320391478</v>
      </c>
      <c r="E42" s="582">
        <v>390637.97000000015</v>
      </c>
      <c r="F42" s="583">
        <v>0.81975777678703288</v>
      </c>
      <c r="G42" s="582">
        <v>-85890.562039147655</v>
      </c>
      <c r="H42" s="582" t="s">
        <v>512</v>
      </c>
      <c r="I42"/>
    </row>
    <row r="43" spans="1:9" ht="14.4" customHeight="1" x14ac:dyDescent="0.3">
      <c r="A43" s="580" t="s">
        <v>497</v>
      </c>
      <c r="B43" s="581" t="s">
        <v>497</v>
      </c>
      <c r="C43" s="582" t="s">
        <v>497</v>
      </c>
      <c r="D43" s="582" t="s">
        <v>497</v>
      </c>
      <c r="E43" s="582" t="s">
        <v>497</v>
      </c>
      <c r="F43" s="583" t="s">
        <v>497</v>
      </c>
      <c r="G43" s="582" t="s">
        <v>497</v>
      </c>
      <c r="H43" s="582" t="s">
        <v>513</v>
      </c>
      <c r="I43"/>
    </row>
    <row r="44" spans="1:9" ht="14.4" customHeight="1" x14ac:dyDescent="0.3">
      <c r="A44" s="580" t="s">
        <v>496</v>
      </c>
      <c r="B44" s="581" t="s">
        <v>6</v>
      </c>
      <c r="C44" s="582" t="s">
        <v>498</v>
      </c>
      <c r="D44" s="582">
        <v>592427.13060090004</v>
      </c>
      <c r="E44" s="582">
        <v>502702.71000000014</v>
      </c>
      <c r="F44" s="583">
        <v>0.8485477521768926</v>
      </c>
      <c r="G44" s="582">
        <v>-89724.420600899903</v>
      </c>
      <c r="H44" s="582" t="s">
        <v>509</v>
      </c>
      <c r="I44"/>
    </row>
  </sheetData>
  <autoFilter ref="A3:G3"/>
  <mergeCells count="1">
    <mergeCell ref="A1:G1"/>
  </mergeCells>
  <conditionalFormatting sqref="F16 F45:F65536">
    <cfRule type="cellIs" dxfId="32" priority="15" stopIfTrue="1" operator="greaterThan">
      <formula>1</formula>
    </cfRule>
  </conditionalFormatting>
  <conditionalFormatting sqref="G4:G15">
    <cfRule type="cellIs" dxfId="31" priority="9" operator="greaterThan">
      <formula>0</formula>
    </cfRule>
  </conditionalFormatting>
  <conditionalFormatting sqref="B4:B15">
    <cfRule type="expression" dxfId="30" priority="12">
      <formula>AND(LEFT(H4,6)&lt;&gt;"mezera",H4&lt;&gt;"")</formula>
    </cfRule>
  </conditionalFormatting>
  <conditionalFormatting sqref="A4:A15">
    <cfRule type="expression" dxfId="29" priority="10">
      <formula>AND(H4&lt;&gt;"",H4&lt;&gt;"mezeraKL")</formula>
    </cfRule>
  </conditionalFormatting>
  <conditionalFormatting sqref="F4:F15">
    <cfRule type="cellIs" dxfId="28" priority="8" operator="greaterThan">
      <formula>1</formula>
    </cfRule>
  </conditionalFormatting>
  <conditionalFormatting sqref="B4:G15">
    <cfRule type="expression" dxfId="27" priority="11">
      <formula>OR($H4="KL",$H4="SumaKL")</formula>
    </cfRule>
    <cfRule type="expression" dxfId="26" priority="13">
      <formula>$H4="SumaNS"</formula>
    </cfRule>
  </conditionalFormatting>
  <conditionalFormatting sqref="A4:G15">
    <cfRule type="expression" dxfId="25" priority="14">
      <formula>$H4&lt;&gt;""</formula>
    </cfRule>
  </conditionalFormatting>
  <conditionalFormatting sqref="G17:G44">
    <cfRule type="cellIs" dxfId="24" priority="1" operator="greaterThan">
      <formula>0</formula>
    </cfRule>
  </conditionalFormatting>
  <conditionalFormatting sqref="F17:F44">
    <cfRule type="cellIs" dxfId="23" priority="2" operator="greaterThan">
      <formula>1</formula>
    </cfRule>
  </conditionalFormatting>
  <conditionalFormatting sqref="B17:B44">
    <cfRule type="expression" dxfId="22" priority="5">
      <formula>AND(LEFT(H17,6)&lt;&gt;"mezera",H17&lt;&gt;"")</formula>
    </cfRule>
  </conditionalFormatting>
  <conditionalFormatting sqref="A17:A44">
    <cfRule type="expression" dxfId="21" priority="3">
      <formula>AND(H17&lt;&gt;"",H17&lt;&gt;"mezeraKL")</formula>
    </cfRule>
  </conditionalFormatting>
  <conditionalFormatting sqref="B17:G44">
    <cfRule type="expression" dxfId="20" priority="4">
      <formula>OR($H17="KL",$H17="SumaKL")</formula>
    </cfRule>
    <cfRule type="expression" dxfId="19" priority="6">
      <formula>$H17="SumaNS"</formula>
    </cfRule>
  </conditionalFormatting>
  <conditionalFormatting sqref="A17:G44">
    <cfRule type="expression" dxfId="18" priority="7">
      <formula>$H17&lt;&gt;""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6" hidden="1" customWidth="1" outlineLevel="1"/>
    <col min="2" max="2" width="28.33203125" style="246" hidden="1" customWidth="1" outlineLevel="1"/>
    <col min="3" max="3" width="5.33203125" style="329" bestFit="1" customWidth="1" collapsed="1"/>
    <col min="4" max="4" width="18.77734375" style="333" customWidth="1"/>
    <col min="5" max="5" width="9" style="329" bestFit="1" customWidth="1"/>
    <col min="6" max="6" width="18.77734375" style="333" customWidth="1"/>
    <col min="7" max="7" width="12.44140625" style="329" hidden="1" customWidth="1" outlineLevel="1"/>
    <col min="8" max="8" width="25.77734375" style="329" customWidth="1" collapsed="1"/>
    <col min="9" max="9" width="7.77734375" style="327" customWidth="1"/>
    <col min="10" max="10" width="10" style="327" customWidth="1"/>
    <col min="11" max="11" width="11.109375" style="327" customWidth="1"/>
    <col min="12" max="16384" width="8.88671875" style="246"/>
  </cols>
  <sheetData>
    <row r="1" spans="1:11" ht="18.600000000000001" customHeight="1" thickBot="1" x14ac:dyDescent="0.4">
      <c r="A1" s="475" t="s">
        <v>1190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 ht="14.4" customHeight="1" thickBot="1" x14ac:dyDescent="0.35">
      <c r="A2" s="369" t="s">
        <v>271</v>
      </c>
      <c r="B2" s="66"/>
      <c r="C2" s="331"/>
      <c r="D2" s="331"/>
      <c r="E2" s="331"/>
      <c r="F2" s="331"/>
      <c r="G2" s="331"/>
      <c r="H2" s="331"/>
      <c r="I2" s="332"/>
      <c r="J2" s="332"/>
      <c r="K2" s="332"/>
    </row>
    <row r="3" spans="1:11" ht="14.4" customHeight="1" thickBot="1" x14ac:dyDescent="0.35">
      <c r="A3" s="66"/>
      <c r="B3" s="66"/>
      <c r="C3" s="471"/>
      <c r="D3" s="472"/>
      <c r="E3" s="472"/>
      <c r="F3" s="472"/>
      <c r="G3" s="472"/>
      <c r="H3" s="259" t="s">
        <v>145</v>
      </c>
      <c r="I3" s="200">
        <f>IF(J3&lt;&gt;0,K3/J3,0)</f>
        <v>5.5037027994613448</v>
      </c>
      <c r="J3" s="200">
        <f>SUBTOTAL(9,J5:J1048576)</f>
        <v>91339</v>
      </c>
      <c r="K3" s="201">
        <f>SUBTOTAL(9,K5:K1048576)</f>
        <v>502702.70999999973</v>
      </c>
    </row>
    <row r="4" spans="1:11" s="328" customFormat="1" ht="14.4" customHeight="1" thickBot="1" x14ac:dyDescent="0.35">
      <c r="A4" s="584" t="s">
        <v>7</v>
      </c>
      <c r="B4" s="585" t="s">
        <v>8</v>
      </c>
      <c r="C4" s="585" t="s">
        <v>0</v>
      </c>
      <c r="D4" s="585" t="s">
        <v>9</v>
      </c>
      <c r="E4" s="585" t="s">
        <v>10</v>
      </c>
      <c r="F4" s="585" t="s">
        <v>2</v>
      </c>
      <c r="G4" s="585" t="s">
        <v>80</v>
      </c>
      <c r="H4" s="586" t="s">
        <v>14</v>
      </c>
      <c r="I4" s="587" t="s">
        <v>169</v>
      </c>
      <c r="J4" s="587" t="s">
        <v>16</v>
      </c>
      <c r="K4" s="588" t="s">
        <v>180</v>
      </c>
    </row>
    <row r="5" spans="1:11" ht="14.4" customHeight="1" x14ac:dyDescent="0.3">
      <c r="A5" s="589" t="s">
        <v>496</v>
      </c>
      <c r="B5" s="590" t="s">
        <v>498</v>
      </c>
      <c r="C5" s="591" t="s">
        <v>510</v>
      </c>
      <c r="D5" s="592" t="s">
        <v>511</v>
      </c>
      <c r="E5" s="591" t="s">
        <v>944</v>
      </c>
      <c r="F5" s="592" t="s">
        <v>945</v>
      </c>
      <c r="G5" s="591" t="s">
        <v>960</v>
      </c>
      <c r="H5" s="591" t="s">
        <v>961</v>
      </c>
      <c r="I5" s="593">
        <v>27.37</v>
      </c>
      <c r="J5" s="593">
        <v>4</v>
      </c>
      <c r="K5" s="594">
        <v>109.48</v>
      </c>
    </row>
    <row r="6" spans="1:11" ht="14.4" customHeight="1" x14ac:dyDescent="0.3">
      <c r="A6" s="595" t="s">
        <v>496</v>
      </c>
      <c r="B6" s="596" t="s">
        <v>498</v>
      </c>
      <c r="C6" s="597" t="s">
        <v>510</v>
      </c>
      <c r="D6" s="598" t="s">
        <v>511</v>
      </c>
      <c r="E6" s="597" t="s">
        <v>944</v>
      </c>
      <c r="F6" s="598" t="s">
        <v>945</v>
      </c>
      <c r="G6" s="597" t="s">
        <v>962</v>
      </c>
      <c r="H6" s="597" t="s">
        <v>963</v>
      </c>
      <c r="I6" s="599">
        <v>0.14500000000000002</v>
      </c>
      <c r="J6" s="599">
        <v>1000</v>
      </c>
      <c r="K6" s="600">
        <v>145</v>
      </c>
    </row>
    <row r="7" spans="1:11" ht="14.4" customHeight="1" x14ac:dyDescent="0.3">
      <c r="A7" s="595" t="s">
        <v>496</v>
      </c>
      <c r="B7" s="596" t="s">
        <v>498</v>
      </c>
      <c r="C7" s="597" t="s">
        <v>510</v>
      </c>
      <c r="D7" s="598" t="s">
        <v>511</v>
      </c>
      <c r="E7" s="597" t="s">
        <v>944</v>
      </c>
      <c r="F7" s="598" t="s">
        <v>945</v>
      </c>
      <c r="G7" s="597" t="s">
        <v>964</v>
      </c>
      <c r="H7" s="597" t="s">
        <v>965</v>
      </c>
      <c r="I7" s="599">
        <v>0.3</v>
      </c>
      <c r="J7" s="599">
        <v>1000</v>
      </c>
      <c r="K7" s="600">
        <v>303.01</v>
      </c>
    </row>
    <row r="8" spans="1:11" ht="14.4" customHeight="1" x14ac:dyDescent="0.3">
      <c r="A8" s="595" t="s">
        <v>496</v>
      </c>
      <c r="B8" s="596" t="s">
        <v>498</v>
      </c>
      <c r="C8" s="597" t="s">
        <v>510</v>
      </c>
      <c r="D8" s="598" t="s">
        <v>511</v>
      </c>
      <c r="E8" s="597" t="s">
        <v>944</v>
      </c>
      <c r="F8" s="598" t="s">
        <v>945</v>
      </c>
      <c r="G8" s="597" t="s">
        <v>966</v>
      </c>
      <c r="H8" s="597" t="s">
        <v>967</v>
      </c>
      <c r="I8" s="599">
        <v>0.3</v>
      </c>
      <c r="J8" s="599">
        <v>2400</v>
      </c>
      <c r="K8" s="600">
        <v>711.48</v>
      </c>
    </row>
    <row r="9" spans="1:11" ht="14.4" customHeight="1" x14ac:dyDescent="0.3">
      <c r="A9" s="595" t="s">
        <v>496</v>
      </c>
      <c r="B9" s="596" t="s">
        <v>498</v>
      </c>
      <c r="C9" s="597" t="s">
        <v>510</v>
      </c>
      <c r="D9" s="598" t="s">
        <v>511</v>
      </c>
      <c r="E9" s="597" t="s">
        <v>944</v>
      </c>
      <c r="F9" s="598" t="s">
        <v>945</v>
      </c>
      <c r="G9" s="597" t="s">
        <v>968</v>
      </c>
      <c r="H9" s="597" t="s">
        <v>969</v>
      </c>
      <c r="I9" s="599">
        <v>0.32</v>
      </c>
      <c r="J9" s="599">
        <v>25</v>
      </c>
      <c r="K9" s="600">
        <v>8</v>
      </c>
    </row>
    <row r="10" spans="1:11" ht="14.4" customHeight="1" x14ac:dyDescent="0.3">
      <c r="A10" s="595" t="s">
        <v>496</v>
      </c>
      <c r="B10" s="596" t="s">
        <v>498</v>
      </c>
      <c r="C10" s="597" t="s">
        <v>510</v>
      </c>
      <c r="D10" s="598" t="s">
        <v>511</v>
      </c>
      <c r="E10" s="597" t="s">
        <v>946</v>
      </c>
      <c r="F10" s="598" t="s">
        <v>947</v>
      </c>
      <c r="G10" s="597" t="s">
        <v>970</v>
      </c>
      <c r="H10" s="597" t="s">
        <v>971</v>
      </c>
      <c r="I10" s="599">
        <v>2.41</v>
      </c>
      <c r="J10" s="599">
        <v>50</v>
      </c>
      <c r="K10" s="600">
        <v>120.5</v>
      </c>
    </row>
    <row r="11" spans="1:11" ht="14.4" customHeight="1" x14ac:dyDescent="0.3">
      <c r="A11" s="595" t="s">
        <v>496</v>
      </c>
      <c r="B11" s="596" t="s">
        <v>498</v>
      </c>
      <c r="C11" s="597" t="s">
        <v>510</v>
      </c>
      <c r="D11" s="598" t="s">
        <v>511</v>
      </c>
      <c r="E11" s="597" t="s">
        <v>946</v>
      </c>
      <c r="F11" s="598" t="s">
        <v>947</v>
      </c>
      <c r="G11" s="597" t="s">
        <v>972</v>
      </c>
      <c r="H11" s="597" t="s">
        <v>973</v>
      </c>
      <c r="I11" s="599">
        <v>2.75</v>
      </c>
      <c r="J11" s="599">
        <v>200</v>
      </c>
      <c r="K11" s="600">
        <v>550</v>
      </c>
    </row>
    <row r="12" spans="1:11" ht="14.4" customHeight="1" x14ac:dyDescent="0.3">
      <c r="A12" s="595" t="s">
        <v>496</v>
      </c>
      <c r="B12" s="596" t="s">
        <v>498</v>
      </c>
      <c r="C12" s="597" t="s">
        <v>510</v>
      </c>
      <c r="D12" s="598" t="s">
        <v>511</v>
      </c>
      <c r="E12" s="597" t="s">
        <v>946</v>
      </c>
      <c r="F12" s="598" t="s">
        <v>947</v>
      </c>
      <c r="G12" s="597" t="s">
        <v>974</v>
      </c>
      <c r="H12" s="597" t="s">
        <v>975</v>
      </c>
      <c r="I12" s="599">
        <v>0.93</v>
      </c>
      <c r="J12" s="599">
        <v>600</v>
      </c>
      <c r="K12" s="600">
        <v>558</v>
      </c>
    </row>
    <row r="13" spans="1:11" ht="14.4" customHeight="1" x14ac:dyDescent="0.3">
      <c r="A13" s="595" t="s">
        <v>496</v>
      </c>
      <c r="B13" s="596" t="s">
        <v>498</v>
      </c>
      <c r="C13" s="597" t="s">
        <v>510</v>
      </c>
      <c r="D13" s="598" t="s">
        <v>511</v>
      </c>
      <c r="E13" s="597" t="s">
        <v>946</v>
      </c>
      <c r="F13" s="598" t="s">
        <v>947</v>
      </c>
      <c r="G13" s="597" t="s">
        <v>976</v>
      </c>
      <c r="H13" s="597" t="s">
        <v>977</v>
      </c>
      <c r="I13" s="599">
        <v>1.4350000000000001</v>
      </c>
      <c r="J13" s="599">
        <v>1600</v>
      </c>
      <c r="K13" s="600">
        <v>2296</v>
      </c>
    </row>
    <row r="14" spans="1:11" ht="14.4" customHeight="1" x14ac:dyDescent="0.3">
      <c r="A14" s="595" t="s">
        <v>496</v>
      </c>
      <c r="B14" s="596" t="s">
        <v>498</v>
      </c>
      <c r="C14" s="597" t="s">
        <v>510</v>
      </c>
      <c r="D14" s="598" t="s">
        <v>511</v>
      </c>
      <c r="E14" s="597" t="s">
        <v>946</v>
      </c>
      <c r="F14" s="598" t="s">
        <v>947</v>
      </c>
      <c r="G14" s="597" t="s">
        <v>978</v>
      </c>
      <c r="H14" s="597" t="s">
        <v>979</v>
      </c>
      <c r="I14" s="599">
        <v>0.41499999999999998</v>
      </c>
      <c r="J14" s="599">
        <v>600</v>
      </c>
      <c r="K14" s="600">
        <v>249</v>
      </c>
    </row>
    <row r="15" spans="1:11" ht="14.4" customHeight="1" x14ac:dyDescent="0.3">
      <c r="A15" s="595" t="s">
        <v>496</v>
      </c>
      <c r="B15" s="596" t="s">
        <v>498</v>
      </c>
      <c r="C15" s="597" t="s">
        <v>510</v>
      </c>
      <c r="D15" s="598" t="s">
        <v>511</v>
      </c>
      <c r="E15" s="597" t="s">
        <v>946</v>
      </c>
      <c r="F15" s="598" t="s">
        <v>947</v>
      </c>
      <c r="G15" s="597" t="s">
        <v>980</v>
      </c>
      <c r="H15" s="597" t="s">
        <v>981</v>
      </c>
      <c r="I15" s="599">
        <v>0.57999999999999996</v>
      </c>
      <c r="J15" s="599">
        <v>600</v>
      </c>
      <c r="K15" s="600">
        <v>348</v>
      </c>
    </row>
    <row r="16" spans="1:11" ht="14.4" customHeight="1" x14ac:dyDescent="0.3">
      <c r="A16" s="595" t="s">
        <v>496</v>
      </c>
      <c r="B16" s="596" t="s">
        <v>498</v>
      </c>
      <c r="C16" s="597" t="s">
        <v>510</v>
      </c>
      <c r="D16" s="598" t="s">
        <v>511</v>
      </c>
      <c r="E16" s="597" t="s">
        <v>946</v>
      </c>
      <c r="F16" s="598" t="s">
        <v>947</v>
      </c>
      <c r="G16" s="597" t="s">
        <v>982</v>
      </c>
      <c r="H16" s="597" t="s">
        <v>983</v>
      </c>
      <c r="I16" s="599">
        <v>3.22</v>
      </c>
      <c r="J16" s="599">
        <v>200</v>
      </c>
      <c r="K16" s="600">
        <v>644</v>
      </c>
    </row>
    <row r="17" spans="1:11" ht="14.4" customHeight="1" x14ac:dyDescent="0.3">
      <c r="A17" s="595" t="s">
        <v>496</v>
      </c>
      <c r="B17" s="596" t="s">
        <v>498</v>
      </c>
      <c r="C17" s="597" t="s">
        <v>510</v>
      </c>
      <c r="D17" s="598" t="s">
        <v>511</v>
      </c>
      <c r="E17" s="597" t="s">
        <v>946</v>
      </c>
      <c r="F17" s="598" t="s">
        <v>947</v>
      </c>
      <c r="G17" s="597" t="s">
        <v>984</v>
      </c>
      <c r="H17" s="597" t="s">
        <v>985</v>
      </c>
      <c r="I17" s="599">
        <v>2.36</v>
      </c>
      <c r="J17" s="599">
        <v>300</v>
      </c>
      <c r="K17" s="600">
        <v>708</v>
      </c>
    </row>
    <row r="18" spans="1:11" ht="14.4" customHeight="1" x14ac:dyDescent="0.3">
      <c r="A18" s="595" t="s">
        <v>496</v>
      </c>
      <c r="B18" s="596" t="s">
        <v>498</v>
      </c>
      <c r="C18" s="597" t="s">
        <v>510</v>
      </c>
      <c r="D18" s="598" t="s">
        <v>511</v>
      </c>
      <c r="E18" s="597" t="s">
        <v>946</v>
      </c>
      <c r="F18" s="598" t="s">
        <v>947</v>
      </c>
      <c r="G18" s="597" t="s">
        <v>986</v>
      </c>
      <c r="H18" s="597" t="s">
        <v>987</v>
      </c>
      <c r="I18" s="599">
        <v>32.67</v>
      </c>
      <c r="J18" s="599">
        <v>50</v>
      </c>
      <c r="K18" s="600">
        <v>1633.5</v>
      </c>
    </row>
    <row r="19" spans="1:11" ht="14.4" customHeight="1" x14ac:dyDescent="0.3">
      <c r="A19" s="595" t="s">
        <v>496</v>
      </c>
      <c r="B19" s="596" t="s">
        <v>498</v>
      </c>
      <c r="C19" s="597" t="s">
        <v>510</v>
      </c>
      <c r="D19" s="598" t="s">
        <v>511</v>
      </c>
      <c r="E19" s="597" t="s">
        <v>946</v>
      </c>
      <c r="F19" s="598" t="s">
        <v>947</v>
      </c>
      <c r="G19" s="597" t="s">
        <v>988</v>
      </c>
      <c r="H19" s="597" t="s">
        <v>989</v>
      </c>
      <c r="I19" s="599">
        <v>1326.15</v>
      </c>
      <c r="J19" s="599">
        <v>2</v>
      </c>
      <c r="K19" s="600">
        <v>2652.3</v>
      </c>
    </row>
    <row r="20" spans="1:11" ht="14.4" customHeight="1" x14ac:dyDescent="0.3">
      <c r="A20" s="595" t="s">
        <v>496</v>
      </c>
      <c r="B20" s="596" t="s">
        <v>498</v>
      </c>
      <c r="C20" s="597" t="s">
        <v>510</v>
      </c>
      <c r="D20" s="598" t="s">
        <v>511</v>
      </c>
      <c r="E20" s="597" t="s">
        <v>946</v>
      </c>
      <c r="F20" s="598" t="s">
        <v>947</v>
      </c>
      <c r="G20" s="597" t="s">
        <v>990</v>
      </c>
      <c r="H20" s="597" t="s">
        <v>991</v>
      </c>
      <c r="I20" s="599">
        <v>2.335</v>
      </c>
      <c r="J20" s="599">
        <v>200</v>
      </c>
      <c r="K20" s="600">
        <v>467</v>
      </c>
    </row>
    <row r="21" spans="1:11" ht="14.4" customHeight="1" x14ac:dyDescent="0.3">
      <c r="A21" s="595" t="s">
        <v>496</v>
      </c>
      <c r="B21" s="596" t="s">
        <v>498</v>
      </c>
      <c r="C21" s="597" t="s">
        <v>510</v>
      </c>
      <c r="D21" s="598" t="s">
        <v>511</v>
      </c>
      <c r="E21" s="597" t="s">
        <v>946</v>
      </c>
      <c r="F21" s="598" t="s">
        <v>947</v>
      </c>
      <c r="G21" s="597" t="s">
        <v>992</v>
      </c>
      <c r="H21" s="597" t="s">
        <v>993</v>
      </c>
      <c r="I21" s="599">
        <v>2.0499999999999998</v>
      </c>
      <c r="J21" s="599">
        <v>10</v>
      </c>
      <c r="K21" s="600">
        <v>20.5</v>
      </c>
    </row>
    <row r="22" spans="1:11" ht="14.4" customHeight="1" x14ac:dyDescent="0.3">
      <c r="A22" s="595" t="s">
        <v>496</v>
      </c>
      <c r="B22" s="596" t="s">
        <v>498</v>
      </c>
      <c r="C22" s="597" t="s">
        <v>510</v>
      </c>
      <c r="D22" s="598" t="s">
        <v>511</v>
      </c>
      <c r="E22" s="597" t="s">
        <v>946</v>
      </c>
      <c r="F22" s="598" t="s">
        <v>947</v>
      </c>
      <c r="G22" s="597" t="s">
        <v>994</v>
      </c>
      <c r="H22" s="597" t="s">
        <v>995</v>
      </c>
      <c r="I22" s="599">
        <v>2.4</v>
      </c>
      <c r="J22" s="599">
        <v>900</v>
      </c>
      <c r="K22" s="600">
        <v>2158.46</v>
      </c>
    </row>
    <row r="23" spans="1:11" ht="14.4" customHeight="1" x14ac:dyDescent="0.3">
      <c r="A23" s="595" t="s">
        <v>496</v>
      </c>
      <c r="B23" s="596" t="s">
        <v>498</v>
      </c>
      <c r="C23" s="597" t="s">
        <v>510</v>
      </c>
      <c r="D23" s="598" t="s">
        <v>511</v>
      </c>
      <c r="E23" s="597" t="s">
        <v>946</v>
      </c>
      <c r="F23" s="598" t="s">
        <v>947</v>
      </c>
      <c r="G23" s="597" t="s">
        <v>996</v>
      </c>
      <c r="H23" s="597" t="s">
        <v>997</v>
      </c>
      <c r="I23" s="599">
        <v>4.8899999999999997</v>
      </c>
      <c r="J23" s="599">
        <v>60</v>
      </c>
      <c r="K23" s="600">
        <v>293.7</v>
      </c>
    </row>
    <row r="24" spans="1:11" ht="14.4" customHeight="1" x14ac:dyDescent="0.3">
      <c r="A24" s="595" t="s">
        <v>496</v>
      </c>
      <c r="B24" s="596" t="s">
        <v>498</v>
      </c>
      <c r="C24" s="597" t="s">
        <v>510</v>
      </c>
      <c r="D24" s="598" t="s">
        <v>511</v>
      </c>
      <c r="E24" s="597" t="s">
        <v>946</v>
      </c>
      <c r="F24" s="598" t="s">
        <v>947</v>
      </c>
      <c r="G24" s="597" t="s">
        <v>998</v>
      </c>
      <c r="H24" s="597" t="s">
        <v>999</v>
      </c>
      <c r="I24" s="599">
        <v>12.1</v>
      </c>
      <c r="J24" s="599">
        <v>120</v>
      </c>
      <c r="K24" s="600">
        <v>1452</v>
      </c>
    </row>
    <row r="25" spans="1:11" ht="14.4" customHeight="1" x14ac:dyDescent="0.3">
      <c r="A25" s="595" t="s">
        <v>496</v>
      </c>
      <c r="B25" s="596" t="s">
        <v>498</v>
      </c>
      <c r="C25" s="597" t="s">
        <v>510</v>
      </c>
      <c r="D25" s="598" t="s">
        <v>511</v>
      </c>
      <c r="E25" s="597" t="s">
        <v>946</v>
      </c>
      <c r="F25" s="598" t="s">
        <v>947</v>
      </c>
      <c r="G25" s="597" t="s">
        <v>1000</v>
      </c>
      <c r="H25" s="597" t="s">
        <v>1001</v>
      </c>
      <c r="I25" s="599">
        <v>36.299999999999997</v>
      </c>
      <c r="J25" s="599">
        <v>5</v>
      </c>
      <c r="K25" s="600">
        <v>181.5</v>
      </c>
    </row>
    <row r="26" spans="1:11" ht="14.4" customHeight="1" x14ac:dyDescent="0.3">
      <c r="A26" s="595" t="s">
        <v>496</v>
      </c>
      <c r="B26" s="596" t="s">
        <v>498</v>
      </c>
      <c r="C26" s="597" t="s">
        <v>510</v>
      </c>
      <c r="D26" s="598" t="s">
        <v>511</v>
      </c>
      <c r="E26" s="597" t="s">
        <v>946</v>
      </c>
      <c r="F26" s="598" t="s">
        <v>947</v>
      </c>
      <c r="G26" s="597" t="s">
        <v>1002</v>
      </c>
      <c r="H26" s="597" t="s">
        <v>1003</v>
      </c>
      <c r="I26" s="599">
        <v>21.23</v>
      </c>
      <c r="J26" s="599">
        <v>50</v>
      </c>
      <c r="K26" s="600">
        <v>1061.5</v>
      </c>
    </row>
    <row r="27" spans="1:11" ht="14.4" customHeight="1" x14ac:dyDescent="0.3">
      <c r="A27" s="595" t="s">
        <v>496</v>
      </c>
      <c r="B27" s="596" t="s">
        <v>498</v>
      </c>
      <c r="C27" s="597" t="s">
        <v>510</v>
      </c>
      <c r="D27" s="598" t="s">
        <v>511</v>
      </c>
      <c r="E27" s="597" t="s">
        <v>946</v>
      </c>
      <c r="F27" s="598" t="s">
        <v>947</v>
      </c>
      <c r="G27" s="597" t="s">
        <v>1004</v>
      </c>
      <c r="H27" s="597" t="s">
        <v>1005</v>
      </c>
      <c r="I27" s="599">
        <v>60.5</v>
      </c>
      <c r="J27" s="599">
        <v>15</v>
      </c>
      <c r="K27" s="600">
        <v>907.5</v>
      </c>
    </row>
    <row r="28" spans="1:11" ht="14.4" customHeight="1" x14ac:dyDescent="0.3">
      <c r="A28" s="595" t="s">
        <v>496</v>
      </c>
      <c r="B28" s="596" t="s">
        <v>498</v>
      </c>
      <c r="C28" s="597" t="s">
        <v>510</v>
      </c>
      <c r="D28" s="598" t="s">
        <v>511</v>
      </c>
      <c r="E28" s="597" t="s">
        <v>946</v>
      </c>
      <c r="F28" s="598" t="s">
        <v>947</v>
      </c>
      <c r="G28" s="597" t="s">
        <v>1006</v>
      </c>
      <c r="H28" s="597" t="s">
        <v>1007</v>
      </c>
      <c r="I28" s="599">
        <v>9.1999999999999993</v>
      </c>
      <c r="J28" s="599">
        <v>400</v>
      </c>
      <c r="K28" s="600">
        <v>3680</v>
      </c>
    </row>
    <row r="29" spans="1:11" ht="14.4" customHeight="1" x14ac:dyDescent="0.3">
      <c r="A29" s="595" t="s">
        <v>496</v>
      </c>
      <c r="B29" s="596" t="s">
        <v>498</v>
      </c>
      <c r="C29" s="597" t="s">
        <v>510</v>
      </c>
      <c r="D29" s="598" t="s">
        <v>511</v>
      </c>
      <c r="E29" s="597" t="s">
        <v>946</v>
      </c>
      <c r="F29" s="598" t="s">
        <v>947</v>
      </c>
      <c r="G29" s="597" t="s">
        <v>1008</v>
      </c>
      <c r="H29" s="597" t="s">
        <v>1009</v>
      </c>
      <c r="I29" s="599">
        <v>403.78</v>
      </c>
      <c r="J29" s="599">
        <v>20</v>
      </c>
      <c r="K29" s="600">
        <v>8075.6</v>
      </c>
    </row>
    <row r="30" spans="1:11" ht="14.4" customHeight="1" x14ac:dyDescent="0.3">
      <c r="A30" s="595" t="s">
        <v>496</v>
      </c>
      <c r="B30" s="596" t="s">
        <v>498</v>
      </c>
      <c r="C30" s="597" t="s">
        <v>510</v>
      </c>
      <c r="D30" s="598" t="s">
        <v>511</v>
      </c>
      <c r="E30" s="597" t="s">
        <v>956</v>
      </c>
      <c r="F30" s="598" t="s">
        <v>957</v>
      </c>
      <c r="G30" s="597" t="s">
        <v>1010</v>
      </c>
      <c r="H30" s="597" t="s">
        <v>1011</v>
      </c>
      <c r="I30" s="599">
        <v>0.3</v>
      </c>
      <c r="J30" s="599">
        <v>100</v>
      </c>
      <c r="K30" s="600">
        <v>30</v>
      </c>
    </row>
    <row r="31" spans="1:11" ht="14.4" customHeight="1" x14ac:dyDescent="0.3">
      <c r="A31" s="595" t="s">
        <v>496</v>
      </c>
      <c r="B31" s="596" t="s">
        <v>498</v>
      </c>
      <c r="C31" s="597" t="s">
        <v>510</v>
      </c>
      <c r="D31" s="598" t="s">
        <v>511</v>
      </c>
      <c r="E31" s="597" t="s">
        <v>956</v>
      </c>
      <c r="F31" s="598" t="s">
        <v>957</v>
      </c>
      <c r="G31" s="597" t="s">
        <v>1012</v>
      </c>
      <c r="H31" s="597" t="s">
        <v>1013</v>
      </c>
      <c r="I31" s="599">
        <v>0.3</v>
      </c>
      <c r="J31" s="599">
        <v>400</v>
      </c>
      <c r="K31" s="600">
        <v>120</v>
      </c>
    </row>
    <row r="32" spans="1:11" ht="14.4" customHeight="1" x14ac:dyDescent="0.3">
      <c r="A32" s="595" t="s">
        <v>496</v>
      </c>
      <c r="B32" s="596" t="s">
        <v>498</v>
      </c>
      <c r="C32" s="597" t="s">
        <v>510</v>
      </c>
      <c r="D32" s="598" t="s">
        <v>511</v>
      </c>
      <c r="E32" s="597" t="s">
        <v>958</v>
      </c>
      <c r="F32" s="598" t="s">
        <v>959</v>
      </c>
      <c r="G32" s="597" t="s">
        <v>1014</v>
      </c>
      <c r="H32" s="597" t="s">
        <v>1015</v>
      </c>
      <c r="I32" s="599">
        <v>7.51</v>
      </c>
      <c r="J32" s="599">
        <v>50</v>
      </c>
      <c r="K32" s="600">
        <v>375.5</v>
      </c>
    </row>
    <row r="33" spans="1:11" ht="14.4" customHeight="1" x14ac:dyDescent="0.3">
      <c r="A33" s="595" t="s">
        <v>496</v>
      </c>
      <c r="B33" s="596" t="s">
        <v>498</v>
      </c>
      <c r="C33" s="597" t="s">
        <v>510</v>
      </c>
      <c r="D33" s="598" t="s">
        <v>511</v>
      </c>
      <c r="E33" s="597" t="s">
        <v>958</v>
      </c>
      <c r="F33" s="598" t="s">
        <v>959</v>
      </c>
      <c r="G33" s="597" t="s">
        <v>1016</v>
      </c>
      <c r="H33" s="597" t="s">
        <v>1017</v>
      </c>
      <c r="I33" s="599">
        <v>7.5</v>
      </c>
      <c r="J33" s="599">
        <v>50</v>
      </c>
      <c r="K33" s="600">
        <v>375</v>
      </c>
    </row>
    <row r="34" spans="1:11" ht="14.4" customHeight="1" x14ac:dyDescent="0.3">
      <c r="A34" s="595" t="s">
        <v>496</v>
      </c>
      <c r="B34" s="596" t="s">
        <v>498</v>
      </c>
      <c r="C34" s="597" t="s">
        <v>510</v>
      </c>
      <c r="D34" s="598" t="s">
        <v>511</v>
      </c>
      <c r="E34" s="597" t="s">
        <v>958</v>
      </c>
      <c r="F34" s="598" t="s">
        <v>959</v>
      </c>
      <c r="G34" s="597" t="s">
        <v>1018</v>
      </c>
      <c r="H34" s="597" t="s">
        <v>1019</v>
      </c>
      <c r="I34" s="599">
        <v>0.77500000000000002</v>
      </c>
      <c r="J34" s="599">
        <v>4000</v>
      </c>
      <c r="K34" s="600">
        <v>3100</v>
      </c>
    </row>
    <row r="35" spans="1:11" ht="14.4" customHeight="1" x14ac:dyDescent="0.3">
      <c r="A35" s="595" t="s">
        <v>496</v>
      </c>
      <c r="B35" s="596" t="s">
        <v>498</v>
      </c>
      <c r="C35" s="597" t="s">
        <v>510</v>
      </c>
      <c r="D35" s="598" t="s">
        <v>511</v>
      </c>
      <c r="E35" s="597" t="s">
        <v>942</v>
      </c>
      <c r="F35" s="598" t="s">
        <v>943</v>
      </c>
      <c r="G35" s="597" t="s">
        <v>1020</v>
      </c>
      <c r="H35" s="597" t="s">
        <v>1021</v>
      </c>
      <c r="I35" s="599">
        <v>4416.6499999999996</v>
      </c>
      <c r="J35" s="599">
        <v>6</v>
      </c>
      <c r="K35" s="600">
        <v>26499.89</v>
      </c>
    </row>
    <row r="36" spans="1:11" ht="14.4" customHeight="1" x14ac:dyDescent="0.3">
      <c r="A36" s="595" t="s">
        <v>496</v>
      </c>
      <c r="B36" s="596" t="s">
        <v>498</v>
      </c>
      <c r="C36" s="597" t="s">
        <v>510</v>
      </c>
      <c r="D36" s="598" t="s">
        <v>511</v>
      </c>
      <c r="E36" s="597" t="s">
        <v>942</v>
      </c>
      <c r="F36" s="598" t="s">
        <v>943</v>
      </c>
      <c r="G36" s="597" t="s">
        <v>1022</v>
      </c>
      <c r="H36" s="597" t="s">
        <v>1023</v>
      </c>
      <c r="I36" s="599">
        <v>110.11</v>
      </c>
      <c r="J36" s="599">
        <v>1</v>
      </c>
      <c r="K36" s="600">
        <v>110.11</v>
      </c>
    </row>
    <row r="37" spans="1:11" ht="14.4" customHeight="1" x14ac:dyDescent="0.3">
      <c r="A37" s="595" t="s">
        <v>496</v>
      </c>
      <c r="B37" s="596" t="s">
        <v>498</v>
      </c>
      <c r="C37" s="597" t="s">
        <v>514</v>
      </c>
      <c r="D37" s="598" t="s">
        <v>515</v>
      </c>
      <c r="E37" s="597" t="s">
        <v>944</v>
      </c>
      <c r="F37" s="598" t="s">
        <v>945</v>
      </c>
      <c r="G37" s="597" t="s">
        <v>1024</v>
      </c>
      <c r="H37" s="597" t="s">
        <v>1025</v>
      </c>
      <c r="I37" s="599">
        <v>4.3</v>
      </c>
      <c r="J37" s="599">
        <v>24</v>
      </c>
      <c r="K37" s="600">
        <v>103.2</v>
      </c>
    </row>
    <row r="38" spans="1:11" ht="14.4" customHeight="1" x14ac:dyDescent="0.3">
      <c r="A38" s="595" t="s">
        <v>496</v>
      </c>
      <c r="B38" s="596" t="s">
        <v>498</v>
      </c>
      <c r="C38" s="597" t="s">
        <v>514</v>
      </c>
      <c r="D38" s="598" t="s">
        <v>515</v>
      </c>
      <c r="E38" s="597" t="s">
        <v>944</v>
      </c>
      <c r="F38" s="598" t="s">
        <v>945</v>
      </c>
      <c r="G38" s="597" t="s">
        <v>1026</v>
      </c>
      <c r="H38" s="597" t="s">
        <v>1027</v>
      </c>
      <c r="I38" s="599">
        <v>0.4</v>
      </c>
      <c r="J38" s="599">
        <v>500</v>
      </c>
      <c r="K38" s="600">
        <v>200</v>
      </c>
    </row>
    <row r="39" spans="1:11" ht="14.4" customHeight="1" x14ac:dyDescent="0.3">
      <c r="A39" s="595" t="s">
        <v>496</v>
      </c>
      <c r="B39" s="596" t="s">
        <v>498</v>
      </c>
      <c r="C39" s="597" t="s">
        <v>514</v>
      </c>
      <c r="D39" s="598" t="s">
        <v>515</v>
      </c>
      <c r="E39" s="597" t="s">
        <v>944</v>
      </c>
      <c r="F39" s="598" t="s">
        <v>945</v>
      </c>
      <c r="G39" s="597" t="s">
        <v>1028</v>
      </c>
      <c r="H39" s="597" t="s">
        <v>1029</v>
      </c>
      <c r="I39" s="599">
        <v>0.3</v>
      </c>
      <c r="J39" s="599">
        <v>900</v>
      </c>
      <c r="K39" s="600">
        <v>274.27999999999997</v>
      </c>
    </row>
    <row r="40" spans="1:11" ht="14.4" customHeight="1" x14ac:dyDescent="0.3">
      <c r="A40" s="595" t="s">
        <v>496</v>
      </c>
      <c r="B40" s="596" t="s">
        <v>498</v>
      </c>
      <c r="C40" s="597" t="s">
        <v>514</v>
      </c>
      <c r="D40" s="598" t="s">
        <v>515</v>
      </c>
      <c r="E40" s="597" t="s">
        <v>944</v>
      </c>
      <c r="F40" s="598" t="s">
        <v>945</v>
      </c>
      <c r="G40" s="597" t="s">
        <v>1030</v>
      </c>
      <c r="H40" s="597" t="s">
        <v>1031</v>
      </c>
      <c r="I40" s="599">
        <v>1.23</v>
      </c>
      <c r="J40" s="599">
        <v>200</v>
      </c>
      <c r="K40" s="600">
        <v>246</v>
      </c>
    </row>
    <row r="41" spans="1:11" ht="14.4" customHeight="1" x14ac:dyDescent="0.3">
      <c r="A41" s="595" t="s">
        <v>496</v>
      </c>
      <c r="B41" s="596" t="s">
        <v>498</v>
      </c>
      <c r="C41" s="597" t="s">
        <v>514</v>
      </c>
      <c r="D41" s="598" t="s">
        <v>515</v>
      </c>
      <c r="E41" s="597" t="s">
        <v>944</v>
      </c>
      <c r="F41" s="598" t="s">
        <v>945</v>
      </c>
      <c r="G41" s="597" t="s">
        <v>1032</v>
      </c>
      <c r="H41" s="597" t="s">
        <v>1033</v>
      </c>
      <c r="I41" s="599">
        <v>13.15</v>
      </c>
      <c r="J41" s="599">
        <v>24</v>
      </c>
      <c r="K41" s="600">
        <v>315.60000000000002</v>
      </c>
    </row>
    <row r="42" spans="1:11" ht="14.4" customHeight="1" x14ac:dyDescent="0.3">
      <c r="A42" s="595" t="s">
        <v>496</v>
      </c>
      <c r="B42" s="596" t="s">
        <v>498</v>
      </c>
      <c r="C42" s="597" t="s">
        <v>514</v>
      </c>
      <c r="D42" s="598" t="s">
        <v>515</v>
      </c>
      <c r="E42" s="597" t="s">
        <v>944</v>
      </c>
      <c r="F42" s="598" t="s">
        <v>945</v>
      </c>
      <c r="G42" s="597" t="s">
        <v>966</v>
      </c>
      <c r="H42" s="597" t="s">
        <v>967</v>
      </c>
      <c r="I42" s="599">
        <v>0.3</v>
      </c>
      <c r="J42" s="599">
        <v>9600</v>
      </c>
      <c r="K42" s="600">
        <v>2845.92</v>
      </c>
    </row>
    <row r="43" spans="1:11" ht="14.4" customHeight="1" x14ac:dyDescent="0.3">
      <c r="A43" s="595" t="s">
        <v>496</v>
      </c>
      <c r="B43" s="596" t="s">
        <v>498</v>
      </c>
      <c r="C43" s="597" t="s">
        <v>514</v>
      </c>
      <c r="D43" s="598" t="s">
        <v>515</v>
      </c>
      <c r="E43" s="597" t="s">
        <v>946</v>
      </c>
      <c r="F43" s="598" t="s">
        <v>947</v>
      </c>
      <c r="G43" s="597" t="s">
        <v>1034</v>
      </c>
      <c r="H43" s="597" t="s">
        <v>1035</v>
      </c>
      <c r="I43" s="599">
        <v>16.399999999999999</v>
      </c>
      <c r="J43" s="599">
        <v>1200</v>
      </c>
      <c r="K43" s="600">
        <v>19680</v>
      </c>
    </row>
    <row r="44" spans="1:11" ht="14.4" customHeight="1" x14ac:dyDescent="0.3">
      <c r="A44" s="595" t="s">
        <v>496</v>
      </c>
      <c r="B44" s="596" t="s">
        <v>498</v>
      </c>
      <c r="C44" s="597" t="s">
        <v>514</v>
      </c>
      <c r="D44" s="598" t="s">
        <v>515</v>
      </c>
      <c r="E44" s="597" t="s">
        <v>946</v>
      </c>
      <c r="F44" s="598" t="s">
        <v>947</v>
      </c>
      <c r="G44" s="597" t="s">
        <v>1036</v>
      </c>
      <c r="H44" s="597" t="s">
        <v>1037</v>
      </c>
      <c r="I44" s="599">
        <v>1.42</v>
      </c>
      <c r="J44" s="599">
        <v>200</v>
      </c>
      <c r="K44" s="600">
        <v>284.7</v>
      </c>
    </row>
    <row r="45" spans="1:11" ht="14.4" customHeight="1" x14ac:dyDescent="0.3">
      <c r="A45" s="595" t="s">
        <v>496</v>
      </c>
      <c r="B45" s="596" t="s">
        <v>498</v>
      </c>
      <c r="C45" s="597" t="s">
        <v>514</v>
      </c>
      <c r="D45" s="598" t="s">
        <v>515</v>
      </c>
      <c r="E45" s="597" t="s">
        <v>946</v>
      </c>
      <c r="F45" s="598" t="s">
        <v>947</v>
      </c>
      <c r="G45" s="597" t="s">
        <v>1038</v>
      </c>
      <c r="H45" s="597" t="s">
        <v>1039</v>
      </c>
      <c r="I45" s="599">
        <v>15.925000000000001</v>
      </c>
      <c r="J45" s="599">
        <v>100</v>
      </c>
      <c r="K45" s="600">
        <v>1592.5</v>
      </c>
    </row>
    <row r="46" spans="1:11" ht="14.4" customHeight="1" x14ac:dyDescent="0.3">
      <c r="A46" s="595" t="s">
        <v>496</v>
      </c>
      <c r="B46" s="596" t="s">
        <v>498</v>
      </c>
      <c r="C46" s="597" t="s">
        <v>514</v>
      </c>
      <c r="D46" s="598" t="s">
        <v>515</v>
      </c>
      <c r="E46" s="597" t="s">
        <v>946</v>
      </c>
      <c r="F46" s="598" t="s">
        <v>947</v>
      </c>
      <c r="G46" s="597" t="s">
        <v>970</v>
      </c>
      <c r="H46" s="597" t="s">
        <v>971</v>
      </c>
      <c r="I46" s="599">
        <v>2.4050000000000002</v>
      </c>
      <c r="J46" s="599">
        <v>250</v>
      </c>
      <c r="K46" s="600">
        <v>601.5</v>
      </c>
    </row>
    <row r="47" spans="1:11" ht="14.4" customHeight="1" x14ac:dyDescent="0.3">
      <c r="A47" s="595" t="s">
        <v>496</v>
      </c>
      <c r="B47" s="596" t="s">
        <v>498</v>
      </c>
      <c r="C47" s="597" t="s">
        <v>514</v>
      </c>
      <c r="D47" s="598" t="s">
        <v>515</v>
      </c>
      <c r="E47" s="597" t="s">
        <v>946</v>
      </c>
      <c r="F47" s="598" t="s">
        <v>947</v>
      </c>
      <c r="G47" s="597" t="s">
        <v>1040</v>
      </c>
      <c r="H47" s="597" t="s">
        <v>1041</v>
      </c>
      <c r="I47" s="599">
        <v>28.35</v>
      </c>
      <c r="J47" s="599">
        <v>50</v>
      </c>
      <c r="K47" s="600">
        <v>1417.5</v>
      </c>
    </row>
    <row r="48" spans="1:11" ht="14.4" customHeight="1" x14ac:dyDescent="0.3">
      <c r="A48" s="595" t="s">
        <v>496</v>
      </c>
      <c r="B48" s="596" t="s">
        <v>498</v>
      </c>
      <c r="C48" s="597" t="s">
        <v>514</v>
      </c>
      <c r="D48" s="598" t="s">
        <v>515</v>
      </c>
      <c r="E48" s="597" t="s">
        <v>946</v>
      </c>
      <c r="F48" s="598" t="s">
        <v>947</v>
      </c>
      <c r="G48" s="597" t="s">
        <v>972</v>
      </c>
      <c r="H48" s="597" t="s">
        <v>973</v>
      </c>
      <c r="I48" s="599">
        <v>2.75</v>
      </c>
      <c r="J48" s="599">
        <v>100</v>
      </c>
      <c r="K48" s="600">
        <v>275</v>
      </c>
    </row>
    <row r="49" spans="1:11" ht="14.4" customHeight="1" x14ac:dyDescent="0.3">
      <c r="A49" s="595" t="s">
        <v>496</v>
      </c>
      <c r="B49" s="596" t="s">
        <v>498</v>
      </c>
      <c r="C49" s="597" t="s">
        <v>514</v>
      </c>
      <c r="D49" s="598" t="s">
        <v>515</v>
      </c>
      <c r="E49" s="597" t="s">
        <v>946</v>
      </c>
      <c r="F49" s="598" t="s">
        <v>947</v>
      </c>
      <c r="G49" s="597" t="s">
        <v>974</v>
      </c>
      <c r="H49" s="597" t="s">
        <v>975</v>
      </c>
      <c r="I49" s="599">
        <v>0.93</v>
      </c>
      <c r="J49" s="599">
        <v>100</v>
      </c>
      <c r="K49" s="600">
        <v>93</v>
      </c>
    </row>
    <row r="50" spans="1:11" ht="14.4" customHeight="1" x14ac:dyDescent="0.3">
      <c r="A50" s="595" t="s">
        <v>496</v>
      </c>
      <c r="B50" s="596" t="s">
        <v>498</v>
      </c>
      <c r="C50" s="597" t="s">
        <v>514</v>
      </c>
      <c r="D50" s="598" t="s">
        <v>515</v>
      </c>
      <c r="E50" s="597" t="s">
        <v>946</v>
      </c>
      <c r="F50" s="598" t="s">
        <v>947</v>
      </c>
      <c r="G50" s="597" t="s">
        <v>976</v>
      </c>
      <c r="H50" s="597" t="s">
        <v>977</v>
      </c>
      <c r="I50" s="599">
        <v>1.4350000000000001</v>
      </c>
      <c r="J50" s="599">
        <v>1800</v>
      </c>
      <c r="K50" s="600">
        <v>2584</v>
      </c>
    </row>
    <row r="51" spans="1:11" ht="14.4" customHeight="1" x14ac:dyDescent="0.3">
      <c r="A51" s="595" t="s">
        <v>496</v>
      </c>
      <c r="B51" s="596" t="s">
        <v>498</v>
      </c>
      <c r="C51" s="597" t="s">
        <v>514</v>
      </c>
      <c r="D51" s="598" t="s">
        <v>515</v>
      </c>
      <c r="E51" s="597" t="s">
        <v>946</v>
      </c>
      <c r="F51" s="598" t="s">
        <v>947</v>
      </c>
      <c r="G51" s="597" t="s">
        <v>978</v>
      </c>
      <c r="H51" s="597" t="s">
        <v>979</v>
      </c>
      <c r="I51" s="599">
        <v>0.41</v>
      </c>
      <c r="J51" s="599">
        <v>900</v>
      </c>
      <c r="K51" s="600">
        <v>369</v>
      </c>
    </row>
    <row r="52" spans="1:11" ht="14.4" customHeight="1" x14ac:dyDescent="0.3">
      <c r="A52" s="595" t="s">
        <v>496</v>
      </c>
      <c r="B52" s="596" t="s">
        <v>498</v>
      </c>
      <c r="C52" s="597" t="s">
        <v>514</v>
      </c>
      <c r="D52" s="598" t="s">
        <v>515</v>
      </c>
      <c r="E52" s="597" t="s">
        <v>946</v>
      </c>
      <c r="F52" s="598" t="s">
        <v>947</v>
      </c>
      <c r="G52" s="597" t="s">
        <v>980</v>
      </c>
      <c r="H52" s="597" t="s">
        <v>981</v>
      </c>
      <c r="I52" s="599">
        <v>0.57999999999999996</v>
      </c>
      <c r="J52" s="599">
        <v>100</v>
      </c>
      <c r="K52" s="600">
        <v>58</v>
      </c>
    </row>
    <row r="53" spans="1:11" ht="14.4" customHeight="1" x14ac:dyDescent="0.3">
      <c r="A53" s="595" t="s">
        <v>496</v>
      </c>
      <c r="B53" s="596" t="s">
        <v>498</v>
      </c>
      <c r="C53" s="597" t="s">
        <v>514</v>
      </c>
      <c r="D53" s="598" t="s">
        <v>515</v>
      </c>
      <c r="E53" s="597" t="s">
        <v>946</v>
      </c>
      <c r="F53" s="598" t="s">
        <v>947</v>
      </c>
      <c r="G53" s="597" t="s">
        <v>982</v>
      </c>
      <c r="H53" s="597" t="s">
        <v>983</v>
      </c>
      <c r="I53" s="599">
        <v>3.22</v>
      </c>
      <c r="J53" s="599">
        <v>150</v>
      </c>
      <c r="K53" s="600">
        <v>483</v>
      </c>
    </row>
    <row r="54" spans="1:11" ht="14.4" customHeight="1" x14ac:dyDescent="0.3">
      <c r="A54" s="595" t="s">
        <v>496</v>
      </c>
      <c r="B54" s="596" t="s">
        <v>498</v>
      </c>
      <c r="C54" s="597" t="s">
        <v>514</v>
      </c>
      <c r="D54" s="598" t="s">
        <v>515</v>
      </c>
      <c r="E54" s="597" t="s">
        <v>946</v>
      </c>
      <c r="F54" s="598" t="s">
        <v>947</v>
      </c>
      <c r="G54" s="597" t="s">
        <v>986</v>
      </c>
      <c r="H54" s="597" t="s">
        <v>987</v>
      </c>
      <c r="I54" s="599">
        <v>32.67</v>
      </c>
      <c r="J54" s="599">
        <v>50</v>
      </c>
      <c r="K54" s="600">
        <v>1633.5</v>
      </c>
    </row>
    <row r="55" spans="1:11" ht="14.4" customHeight="1" x14ac:dyDescent="0.3">
      <c r="A55" s="595" t="s">
        <v>496</v>
      </c>
      <c r="B55" s="596" t="s">
        <v>498</v>
      </c>
      <c r="C55" s="597" t="s">
        <v>514</v>
      </c>
      <c r="D55" s="598" t="s">
        <v>515</v>
      </c>
      <c r="E55" s="597" t="s">
        <v>946</v>
      </c>
      <c r="F55" s="598" t="s">
        <v>947</v>
      </c>
      <c r="G55" s="597" t="s">
        <v>1042</v>
      </c>
      <c r="H55" s="597" t="s">
        <v>1043</v>
      </c>
      <c r="I55" s="599">
        <v>5.41</v>
      </c>
      <c r="J55" s="599">
        <v>100</v>
      </c>
      <c r="K55" s="600">
        <v>540.79999999999995</v>
      </c>
    </row>
    <row r="56" spans="1:11" ht="14.4" customHeight="1" x14ac:dyDescent="0.3">
      <c r="A56" s="595" t="s">
        <v>496</v>
      </c>
      <c r="B56" s="596" t="s">
        <v>498</v>
      </c>
      <c r="C56" s="597" t="s">
        <v>514</v>
      </c>
      <c r="D56" s="598" t="s">
        <v>515</v>
      </c>
      <c r="E56" s="597" t="s">
        <v>946</v>
      </c>
      <c r="F56" s="598" t="s">
        <v>947</v>
      </c>
      <c r="G56" s="597" t="s">
        <v>1044</v>
      </c>
      <c r="H56" s="597" t="s">
        <v>1045</v>
      </c>
      <c r="I56" s="599">
        <v>2.86</v>
      </c>
      <c r="J56" s="599">
        <v>300</v>
      </c>
      <c r="K56" s="600">
        <v>858</v>
      </c>
    </row>
    <row r="57" spans="1:11" ht="14.4" customHeight="1" x14ac:dyDescent="0.3">
      <c r="A57" s="595" t="s">
        <v>496</v>
      </c>
      <c r="B57" s="596" t="s">
        <v>498</v>
      </c>
      <c r="C57" s="597" t="s">
        <v>514</v>
      </c>
      <c r="D57" s="598" t="s">
        <v>515</v>
      </c>
      <c r="E57" s="597" t="s">
        <v>946</v>
      </c>
      <c r="F57" s="598" t="s">
        <v>947</v>
      </c>
      <c r="G57" s="597" t="s">
        <v>994</v>
      </c>
      <c r="H57" s="597" t="s">
        <v>995</v>
      </c>
      <c r="I57" s="599">
        <v>2.37</v>
      </c>
      <c r="J57" s="599">
        <v>150</v>
      </c>
      <c r="K57" s="600">
        <v>355.06</v>
      </c>
    </row>
    <row r="58" spans="1:11" ht="14.4" customHeight="1" x14ac:dyDescent="0.3">
      <c r="A58" s="595" t="s">
        <v>496</v>
      </c>
      <c r="B58" s="596" t="s">
        <v>498</v>
      </c>
      <c r="C58" s="597" t="s">
        <v>514</v>
      </c>
      <c r="D58" s="598" t="s">
        <v>515</v>
      </c>
      <c r="E58" s="597" t="s">
        <v>946</v>
      </c>
      <c r="F58" s="598" t="s">
        <v>947</v>
      </c>
      <c r="G58" s="597" t="s">
        <v>998</v>
      </c>
      <c r="H58" s="597" t="s">
        <v>999</v>
      </c>
      <c r="I58" s="599">
        <v>12.1</v>
      </c>
      <c r="J58" s="599">
        <v>55</v>
      </c>
      <c r="K58" s="600">
        <v>665.5</v>
      </c>
    </row>
    <row r="59" spans="1:11" ht="14.4" customHeight="1" x14ac:dyDescent="0.3">
      <c r="A59" s="595" t="s">
        <v>496</v>
      </c>
      <c r="B59" s="596" t="s">
        <v>498</v>
      </c>
      <c r="C59" s="597" t="s">
        <v>514</v>
      </c>
      <c r="D59" s="598" t="s">
        <v>515</v>
      </c>
      <c r="E59" s="597" t="s">
        <v>946</v>
      </c>
      <c r="F59" s="598" t="s">
        <v>947</v>
      </c>
      <c r="G59" s="597" t="s">
        <v>1046</v>
      </c>
      <c r="H59" s="597" t="s">
        <v>1047</v>
      </c>
      <c r="I59" s="599">
        <v>0.47499999999999998</v>
      </c>
      <c r="J59" s="599">
        <v>500</v>
      </c>
      <c r="K59" s="600">
        <v>238</v>
      </c>
    </row>
    <row r="60" spans="1:11" ht="14.4" customHeight="1" x14ac:dyDescent="0.3">
      <c r="A60" s="595" t="s">
        <v>496</v>
      </c>
      <c r="B60" s="596" t="s">
        <v>498</v>
      </c>
      <c r="C60" s="597" t="s">
        <v>514</v>
      </c>
      <c r="D60" s="598" t="s">
        <v>515</v>
      </c>
      <c r="E60" s="597" t="s">
        <v>946</v>
      </c>
      <c r="F60" s="598" t="s">
        <v>947</v>
      </c>
      <c r="G60" s="597" t="s">
        <v>1048</v>
      </c>
      <c r="H60" s="597" t="s">
        <v>1049</v>
      </c>
      <c r="I60" s="599">
        <v>12.1</v>
      </c>
      <c r="J60" s="599">
        <v>50</v>
      </c>
      <c r="K60" s="600">
        <v>605</v>
      </c>
    </row>
    <row r="61" spans="1:11" ht="14.4" customHeight="1" x14ac:dyDescent="0.3">
      <c r="A61" s="595" t="s">
        <v>496</v>
      </c>
      <c r="B61" s="596" t="s">
        <v>498</v>
      </c>
      <c r="C61" s="597" t="s">
        <v>514</v>
      </c>
      <c r="D61" s="598" t="s">
        <v>515</v>
      </c>
      <c r="E61" s="597" t="s">
        <v>946</v>
      </c>
      <c r="F61" s="598" t="s">
        <v>947</v>
      </c>
      <c r="G61" s="597" t="s">
        <v>1050</v>
      </c>
      <c r="H61" s="597" t="s">
        <v>1051</v>
      </c>
      <c r="I61" s="599">
        <v>14.52</v>
      </c>
      <c r="J61" s="599">
        <v>30</v>
      </c>
      <c r="K61" s="600">
        <v>435.6</v>
      </c>
    </row>
    <row r="62" spans="1:11" ht="14.4" customHeight="1" x14ac:dyDescent="0.3">
      <c r="A62" s="595" t="s">
        <v>496</v>
      </c>
      <c r="B62" s="596" t="s">
        <v>498</v>
      </c>
      <c r="C62" s="597" t="s">
        <v>514</v>
      </c>
      <c r="D62" s="598" t="s">
        <v>515</v>
      </c>
      <c r="E62" s="597" t="s">
        <v>946</v>
      </c>
      <c r="F62" s="598" t="s">
        <v>947</v>
      </c>
      <c r="G62" s="597" t="s">
        <v>1052</v>
      </c>
      <c r="H62" s="597" t="s">
        <v>1053</v>
      </c>
      <c r="I62" s="599">
        <v>16.43</v>
      </c>
      <c r="J62" s="599">
        <v>30</v>
      </c>
      <c r="K62" s="600">
        <v>492.95</v>
      </c>
    </row>
    <row r="63" spans="1:11" ht="14.4" customHeight="1" x14ac:dyDescent="0.3">
      <c r="A63" s="595" t="s">
        <v>496</v>
      </c>
      <c r="B63" s="596" t="s">
        <v>498</v>
      </c>
      <c r="C63" s="597" t="s">
        <v>514</v>
      </c>
      <c r="D63" s="598" t="s">
        <v>515</v>
      </c>
      <c r="E63" s="597" t="s">
        <v>946</v>
      </c>
      <c r="F63" s="598" t="s">
        <v>947</v>
      </c>
      <c r="G63" s="597" t="s">
        <v>1008</v>
      </c>
      <c r="H63" s="597" t="s">
        <v>1009</v>
      </c>
      <c r="I63" s="599">
        <v>403.77</v>
      </c>
      <c r="J63" s="599">
        <v>20</v>
      </c>
      <c r="K63" s="600">
        <v>8075.48</v>
      </c>
    </row>
    <row r="64" spans="1:11" ht="14.4" customHeight="1" x14ac:dyDescent="0.3">
      <c r="A64" s="595" t="s">
        <v>496</v>
      </c>
      <c r="B64" s="596" t="s">
        <v>498</v>
      </c>
      <c r="C64" s="597" t="s">
        <v>514</v>
      </c>
      <c r="D64" s="598" t="s">
        <v>515</v>
      </c>
      <c r="E64" s="597" t="s">
        <v>952</v>
      </c>
      <c r="F64" s="598" t="s">
        <v>953</v>
      </c>
      <c r="G64" s="597" t="s">
        <v>1054</v>
      </c>
      <c r="H64" s="597" t="s">
        <v>1055</v>
      </c>
      <c r="I64" s="599">
        <v>210.54</v>
      </c>
      <c r="J64" s="599">
        <v>10</v>
      </c>
      <c r="K64" s="600">
        <v>2105.4</v>
      </c>
    </row>
    <row r="65" spans="1:11" ht="14.4" customHeight="1" x14ac:dyDescent="0.3">
      <c r="A65" s="595" t="s">
        <v>496</v>
      </c>
      <c r="B65" s="596" t="s">
        <v>498</v>
      </c>
      <c r="C65" s="597" t="s">
        <v>514</v>
      </c>
      <c r="D65" s="598" t="s">
        <v>515</v>
      </c>
      <c r="E65" s="597" t="s">
        <v>956</v>
      </c>
      <c r="F65" s="598" t="s">
        <v>957</v>
      </c>
      <c r="G65" s="597" t="s">
        <v>1056</v>
      </c>
      <c r="H65" s="597" t="s">
        <v>1057</v>
      </c>
      <c r="I65" s="599">
        <v>0.3</v>
      </c>
      <c r="J65" s="599">
        <v>200</v>
      </c>
      <c r="K65" s="600">
        <v>60.72</v>
      </c>
    </row>
    <row r="66" spans="1:11" ht="14.4" customHeight="1" x14ac:dyDescent="0.3">
      <c r="A66" s="595" t="s">
        <v>496</v>
      </c>
      <c r="B66" s="596" t="s">
        <v>498</v>
      </c>
      <c r="C66" s="597" t="s">
        <v>514</v>
      </c>
      <c r="D66" s="598" t="s">
        <v>515</v>
      </c>
      <c r="E66" s="597" t="s">
        <v>958</v>
      </c>
      <c r="F66" s="598" t="s">
        <v>959</v>
      </c>
      <c r="G66" s="597" t="s">
        <v>1058</v>
      </c>
      <c r="H66" s="597" t="s">
        <v>1059</v>
      </c>
      <c r="I66" s="599">
        <v>7.51</v>
      </c>
      <c r="J66" s="599">
        <v>100</v>
      </c>
      <c r="K66" s="600">
        <v>751</v>
      </c>
    </row>
    <row r="67" spans="1:11" ht="14.4" customHeight="1" x14ac:dyDescent="0.3">
      <c r="A67" s="595" t="s">
        <v>496</v>
      </c>
      <c r="B67" s="596" t="s">
        <v>498</v>
      </c>
      <c r="C67" s="597" t="s">
        <v>514</v>
      </c>
      <c r="D67" s="598" t="s">
        <v>515</v>
      </c>
      <c r="E67" s="597" t="s">
        <v>958</v>
      </c>
      <c r="F67" s="598" t="s">
        <v>959</v>
      </c>
      <c r="G67" s="597" t="s">
        <v>1018</v>
      </c>
      <c r="H67" s="597" t="s">
        <v>1019</v>
      </c>
      <c r="I67" s="599">
        <v>0.77500000000000002</v>
      </c>
      <c r="J67" s="599">
        <v>5000</v>
      </c>
      <c r="K67" s="600">
        <v>3880</v>
      </c>
    </row>
    <row r="68" spans="1:11" ht="14.4" customHeight="1" x14ac:dyDescent="0.3">
      <c r="A68" s="595" t="s">
        <v>496</v>
      </c>
      <c r="B68" s="596" t="s">
        <v>498</v>
      </c>
      <c r="C68" s="597" t="s">
        <v>516</v>
      </c>
      <c r="D68" s="598" t="s">
        <v>517</v>
      </c>
      <c r="E68" s="597" t="s">
        <v>944</v>
      </c>
      <c r="F68" s="598" t="s">
        <v>945</v>
      </c>
      <c r="G68" s="597" t="s">
        <v>1024</v>
      </c>
      <c r="H68" s="597" t="s">
        <v>1025</v>
      </c>
      <c r="I68" s="599">
        <v>4.3049999999999997</v>
      </c>
      <c r="J68" s="599">
        <v>54</v>
      </c>
      <c r="K68" s="600">
        <v>232.44</v>
      </c>
    </row>
    <row r="69" spans="1:11" ht="14.4" customHeight="1" x14ac:dyDescent="0.3">
      <c r="A69" s="595" t="s">
        <v>496</v>
      </c>
      <c r="B69" s="596" t="s">
        <v>498</v>
      </c>
      <c r="C69" s="597" t="s">
        <v>516</v>
      </c>
      <c r="D69" s="598" t="s">
        <v>517</v>
      </c>
      <c r="E69" s="597" t="s">
        <v>944</v>
      </c>
      <c r="F69" s="598" t="s">
        <v>945</v>
      </c>
      <c r="G69" s="597" t="s">
        <v>1028</v>
      </c>
      <c r="H69" s="597" t="s">
        <v>1029</v>
      </c>
      <c r="I69" s="599">
        <v>0.3</v>
      </c>
      <c r="J69" s="599">
        <v>2700</v>
      </c>
      <c r="K69" s="600">
        <v>822.83</v>
      </c>
    </row>
    <row r="70" spans="1:11" ht="14.4" customHeight="1" x14ac:dyDescent="0.3">
      <c r="A70" s="595" t="s">
        <v>496</v>
      </c>
      <c r="B70" s="596" t="s">
        <v>498</v>
      </c>
      <c r="C70" s="597" t="s">
        <v>516</v>
      </c>
      <c r="D70" s="598" t="s">
        <v>517</v>
      </c>
      <c r="E70" s="597" t="s">
        <v>944</v>
      </c>
      <c r="F70" s="598" t="s">
        <v>945</v>
      </c>
      <c r="G70" s="597" t="s">
        <v>1060</v>
      </c>
      <c r="H70" s="597" t="s">
        <v>1061</v>
      </c>
      <c r="I70" s="599">
        <v>2.7399999999999998</v>
      </c>
      <c r="J70" s="599">
        <v>1190</v>
      </c>
      <c r="K70" s="600">
        <v>3268.9799999999996</v>
      </c>
    </row>
    <row r="71" spans="1:11" ht="14.4" customHeight="1" x14ac:dyDescent="0.3">
      <c r="A71" s="595" t="s">
        <v>496</v>
      </c>
      <c r="B71" s="596" t="s">
        <v>498</v>
      </c>
      <c r="C71" s="597" t="s">
        <v>516</v>
      </c>
      <c r="D71" s="598" t="s">
        <v>517</v>
      </c>
      <c r="E71" s="597" t="s">
        <v>944</v>
      </c>
      <c r="F71" s="598" t="s">
        <v>945</v>
      </c>
      <c r="G71" s="597" t="s">
        <v>1062</v>
      </c>
      <c r="H71" s="597" t="s">
        <v>1063</v>
      </c>
      <c r="I71" s="599">
        <v>0.59</v>
      </c>
      <c r="J71" s="599">
        <v>500</v>
      </c>
      <c r="K71" s="600">
        <v>295</v>
      </c>
    </row>
    <row r="72" spans="1:11" ht="14.4" customHeight="1" x14ac:dyDescent="0.3">
      <c r="A72" s="595" t="s">
        <v>496</v>
      </c>
      <c r="B72" s="596" t="s">
        <v>498</v>
      </c>
      <c r="C72" s="597" t="s">
        <v>516</v>
      </c>
      <c r="D72" s="598" t="s">
        <v>517</v>
      </c>
      <c r="E72" s="597" t="s">
        <v>944</v>
      </c>
      <c r="F72" s="598" t="s">
        <v>945</v>
      </c>
      <c r="G72" s="597" t="s">
        <v>1064</v>
      </c>
      <c r="H72" s="597" t="s">
        <v>1065</v>
      </c>
      <c r="I72" s="599">
        <v>52.84</v>
      </c>
      <c r="J72" s="599">
        <v>10</v>
      </c>
      <c r="K72" s="600">
        <v>528.4</v>
      </c>
    </row>
    <row r="73" spans="1:11" ht="14.4" customHeight="1" x14ac:dyDescent="0.3">
      <c r="A73" s="595" t="s">
        <v>496</v>
      </c>
      <c r="B73" s="596" t="s">
        <v>498</v>
      </c>
      <c r="C73" s="597" t="s">
        <v>516</v>
      </c>
      <c r="D73" s="598" t="s">
        <v>517</v>
      </c>
      <c r="E73" s="597" t="s">
        <v>944</v>
      </c>
      <c r="F73" s="598" t="s">
        <v>945</v>
      </c>
      <c r="G73" s="597" t="s">
        <v>1030</v>
      </c>
      <c r="H73" s="597" t="s">
        <v>1031</v>
      </c>
      <c r="I73" s="599">
        <v>1.25</v>
      </c>
      <c r="J73" s="599">
        <v>900</v>
      </c>
      <c r="K73" s="600">
        <v>1123</v>
      </c>
    </row>
    <row r="74" spans="1:11" ht="14.4" customHeight="1" x14ac:dyDescent="0.3">
      <c r="A74" s="595" t="s">
        <v>496</v>
      </c>
      <c r="B74" s="596" t="s">
        <v>498</v>
      </c>
      <c r="C74" s="597" t="s">
        <v>516</v>
      </c>
      <c r="D74" s="598" t="s">
        <v>517</v>
      </c>
      <c r="E74" s="597" t="s">
        <v>944</v>
      </c>
      <c r="F74" s="598" t="s">
        <v>945</v>
      </c>
      <c r="G74" s="597" t="s">
        <v>1066</v>
      </c>
      <c r="H74" s="597" t="s">
        <v>1067</v>
      </c>
      <c r="I74" s="599">
        <v>120.69</v>
      </c>
      <c r="J74" s="599">
        <v>20</v>
      </c>
      <c r="K74" s="600">
        <v>2413.85</v>
      </c>
    </row>
    <row r="75" spans="1:11" ht="14.4" customHeight="1" x14ac:dyDescent="0.3">
      <c r="A75" s="595" t="s">
        <v>496</v>
      </c>
      <c r="B75" s="596" t="s">
        <v>498</v>
      </c>
      <c r="C75" s="597" t="s">
        <v>516</v>
      </c>
      <c r="D75" s="598" t="s">
        <v>517</v>
      </c>
      <c r="E75" s="597" t="s">
        <v>944</v>
      </c>
      <c r="F75" s="598" t="s">
        <v>945</v>
      </c>
      <c r="G75" s="597" t="s">
        <v>1068</v>
      </c>
      <c r="H75" s="597" t="s">
        <v>1069</v>
      </c>
      <c r="I75" s="599">
        <v>85.42</v>
      </c>
      <c r="J75" s="599">
        <v>15</v>
      </c>
      <c r="K75" s="600">
        <v>1281.33</v>
      </c>
    </row>
    <row r="76" spans="1:11" ht="14.4" customHeight="1" x14ac:dyDescent="0.3">
      <c r="A76" s="595" t="s">
        <v>496</v>
      </c>
      <c r="B76" s="596" t="s">
        <v>498</v>
      </c>
      <c r="C76" s="597" t="s">
        <v>516</v>
      </c>
      <c r="D76" s="598" t="s">
        <v>517</v>
      </c>
      <c r="E76" s="597" t="s">
        <v>944</v>
      </c>
      <c r="F76" s="598" t="s">
        <v>945</v>
      </c>
      <c r="G76" s="597" t="s">
        <v>1032</v>
      </c>
      <c r="H76" s="597" t="s">
        <v>1033</v>
      </c>
      <c r="I76" s="599">
        <v>13.16</v>
      </c>
      <c r="J76" s="599">
        <v>24</v>
      </c>
      <c r="K76" s="600">
        <v>315.83999999999997</v>
      </c>
    </row>
    <row r="77" spans="1:11" ht="14.4" customHeight="1" x14ac:dyDescent="0.3">
      <c r="A77" s="595" t="s">
        <v>496</v>
      </c>
      <c r="B77" s="596" t="s">
        <v>498</v>
      </c>
      <c r="C77" s="597" t="s">
        <v>516</v>
      </c>
      <c r="D77" s="598" t="s">
        <v>517</v>
      </c>
      <c r="E77" s="597" t="s">
        <v>944</v>
      </c>
      <c r="F77" s="598" t="s">
        <v>945</v>
      </c>
      <c r="G77" s="597" t="s">
        <v>966</v>
      </c>
      <c r="H77" s="597" t="s">
        <v>967</v>
      </c>
      <c r="I77" s="599">
        <v>0.3</v>
      </c>
      <c r="J77" s="599">
        <v>12000</v>
      </c>
      <c r="K77" s="600">
        <v>3557.4</v>
      </c>
    </row>
    <row r="78" spans="1:11" ht="14.4" customHeight="1" x14ac:dyDescent="0.3">
      <c r="A78" s="595" t="s">
        <v>496</v>
      </c>
      <c r="B78" s="596" t="s">
        <v>498</v>
      </c>
      <c r="C78" s="597" t="s">
        <v>516</v>
      </c>
      <c r="D78" s="598" t="s">
        <v>517</v>
      </c>
      <c r="E78" s="597" t="s">
        <v>944</v>
      </c>
      <c r="F78" s="598" t="s">
        <v>945</v>
      </c>
      <c r="G78" s="597" t="s">
        <v>1070</v>
      </c>
      <c r="H78" s="597" t="s">
        <v>1071</v>
      </c>
      <c r="I78" s="599">
        <v>67.52</v>
      </c>
      <c r="J78" s="599">
        <v>100</v>
      </c>
      <c r="K78" s="600">
        <v>6751.8</v>
      </c>
    </row>
    <row r="79" spans="1:11" ht="14.4" customHeight="1" x14ac:dyDescent="0.3">
      <c r="A79" s="595" t="s">
        <v>496</v>
      </c>
      <c r="B79" s="596" t="s">
        <v>498</v>
      </c>
      <c r="C79" s="597" t="s">
        <v>516</v>
      </c>
      <c r="D79" s="598" t="s">
        <v>517</v>
      </c>
      <c r="E79" s="597" t="s">
        <v>946</v>
      </c>
      <c r="F79" s="598" t="s">
        <v>947</v>
      </c>
      <c r="G79" s="597" t="s">
        <v>1034</v>
      </c>
      <c r="H79" s="597" t="s">
        <v>1035</v>
      </c>
      <c r="I79" s="599">
        <v>16.387500000000003</v>
      </c>
      <c r="J79" s="599">
        <v>1700</v>
      </c>
      <c r="K79" s="600">
        <v>27863.4</v>
      </c>
    </row>
    <row r="80" spans="1:11" ht="14.4" customHeight="1" x14ac:dyDescent="0.3">
      <c r="A80" s="595" t="s">
        <v>496</v>
      </c>
      <c r="B80" s="596" t="s">
        <v>498</v>
      </c>
      <c r="C80" s="597" t="s">
        <v>516</v>
      </c>
      <c r="D80" s="598" t="s">
        <v>517</v>
      </c>
      <c r="E80" s="597" t="s">
        <v>946</v>
      </c>
      <c r="F80" s="598" t="s">
        <v>947</v>
      </c>
      <c r="G80" s="597" t="s">
        <v>1072</v>
      </c>
      <c r="H80" s="597" t="s">
        <v>1073</v>
      </c>
      <c r="I80" s="599">
        <v>260.02999999999997</v>
      </c>
      <c r="J80" s="599">
        <v>10</v>
      </c>
      <c r="K80" s="600">
        <v>2600.3000000000002</v>
      </c>
    </row>
    <row r="81" spans="1:11" ht="14.4" customHeight="1" x14ac:dyDescent="0.3">
      <c r="A81" s="595" t="s">
        <v>496</v>
      </c>
      <c r="B81" s="596" t="s">
        <v>498</v>
      </c>
      <c r="C81" s="597" t="s">
        <v>516</v>
      </c>
      <c r="D81" s="598" t="s">
        <v>517</v>
      </c>
      <c r="E81" s="597" t="s">
        <v>946</v>
      </c>
      <c r="F81" s="598" t="s">
        <v>947</v>
      </c>
      <c r="G81" s="597" t="s">
        <v>1074</v>
      </c>
      <c r="H81" s="597" t="s">
        <v>1075</v>
      </c>
      <c r="I81" s="599">
        <v>58.37</v>
      </c>
      <c r="J81" s="599">
        <v>100</v>
      </c>
      <c r="K81" s="600">
        <v>5837</v>
      </c>
    </row>
    <row r="82" spans="1:11" ht="14.4" customHeight="1" x14ac:dyDescent="0.3">
      <c r="A82" s="595" t="s">
        <v>496</v>
      </c>
      <c r="B82" s="596" t="s">
        <v>498</v>
      </c>
      <c r="C82" s="597" t="s">
        <v>516</v>
      </c>
      <c r="D82" s="598" t="s">
        <v>517</v>
      </c>
      <c r="E82" s="597" t="s">
        <v>946</v>
      </c>
      <c r="F82" s="598" t="s">
        <v>947</v>
      </c>
      <c r="G82" s="597" t="s">
        <v>1076</v>
      </c>
      <c r="H82" s="597" t="s">
        <v>1077</v>
      </c>
      <c r="I82" s="599">
        <v>5.21</v>
      </c>
      <c r="J82" s="599">
        <v>160</v>
      </c>
      <c r="K82" s="600">
        <v>833.6</v>
      </c>
    </row>
    <row r="83" spans="1:11" ht="14.4" customHeight="1" x14ac:dyDescent="0.3">
      <c r="A83" s="595" t="s">
        <v>496</v>
      </c>
      <c r="B83" s="596" t="s">
        <v>498</v>
      </c>
      <c r="C83" s="597" t="s">
        <v>516</v>
      </c>
      <c r="D83" s="598" t="s">
        <v>517</v>
      </c>
      <c r="E83" s="597" t="s">
        <v>946</v>
      </c>
      <c r="F83" s="598" t="s">
        <v>947</v>
      </c>
      <c r="G83" s="597" t="s">
        <v>1038</v>
      </c>
      <c r="H83" s="597" t="s">
        <v>1039</v>
      </c>
      <c r="I83" s="599">
        <v>15.92</v>
      </c>
      <c r="J83" s="599">
        <v>150</v>
      </c>
      <c r="K83" s="600">
        <v>2388</v>
      </c>
    </row>
    <row r="84" spans="1:11" ht="14.4" customHeight="1" x14ac:dyDescent="0.3">
      <c r="A84" s="595" t="s">
        <v>496</v>
      </c>
      <c r="B84" s="596" t="s">
        <v>498</v>
      </c>
      <c r="C84" s="597" t="s">
        <v>516</v>
      </c>
      <c r="D84" s="598" t="s">
        <v>517</v>
      </c>
      <c r="E84" s="597" t="s">
        <v>946</v>
      </c>
      <c r="F84" s="598" t="s">
        <v>947</v>
      </c>
      <c r="G84" s="597" t="s">
        <v>970</v>
      </c>
      <c r="H84" s="597" t="s">
        <v>971</v>
      </c>
      <c r="I84" s="599">
        <v>2.41</v>
      </c>
      <c r="J84" s="599">
        <v>200</v>
      </c>
      <c r="K84" s="600">
        <v>482</v>
      </c>
    </row>
    <row r="85" spans="1:11" ht="14.4" customHeight="1" x14ac:dyDescent="0.3">
      <c r="A85" s="595" t="s">
        <v>496</v>
      </c>
      <c r="B85" s="596" t="s">
        <v>498</v>
      </c>
      <c r="C85" s="597" t="s">
        <v>516</v>
      </c>
      <c r="D85" s="598" t="s">
        <v>517</v>
      </c>
      <c r="E85" s="597" t="s">
        <v>946</v>
      </c>
      <c r="F85" s="598" t="s">
        <v>947</v>
      </c>
      <c r="G85" s="597" t="s">
        <v>1040</v>
      </c>
      <c r="H85" s="597" t="s">
        <v>1041</v>
      </c>
      <c r="I85" s="599">
        <v>28.35</v>
      </c>
      <c r="J85" s="599">
        <v>300</v>
      </c>
      <c r="K85" s="600">
        <v>8505</v>
      </c>
    </row>
    <row r="86" spans="1:11" ht="14.4" customHeight="1" x14ac:dyDescent="0.3">
      <c r="A86" s="595" t="s">
        <v>496</v>
      </c>
      <c r="B86" s="596" t="s">
        <v>498</v>
      </c>
      <c r="C86" s="597" t="s">
        <v>516</v>
      </c>
      <c r="D86" s="598" t="s">
        <v>517</v>
      </c>
      <c r="E86" s="597" t="s">
        <v>946</v>
      </c>
      <c r="F86" s="598" t="s">
        <v>947</v>
      </c>
      <c r="G86" s="597" t="s">
        <v>972</v>
      </c>
      <c r="H86" s="597" t="s">
        <v>973</v>
      </c>
      <c r="I86" s="599">
        <v>2.75</v>
      </c>
      <c r="J86" s="599">
        <v>1000</v>
      </c>
      <c r="K86" s="600">
        <v>2750</v>
      </c>
    </row>
    <row r="87" spans="1:11" ht="14.4" customHeight="1" x14ac:dyDescent="0.3">
      <c r="A87" s="595" t="s">
        <v>496</v>
      </c>
      <c r="B87" s="596" t="s">
        <v>498</v>
      </c>
      <c r="C87" s="597" t="s">
        <v>516</v>
      </c>
      <c r="D87" s="598" t="s">
        <v>517</v>
      </c>
      <c r="E87" s="597" t="s">
        <v>946</v>
      </c>
      <c r="F87" s="598" t="s">
        <v>947</v>
      </c>
      <c r="G87" s="597" t="s">
        <v>1078</v>
      </c>
      <c r="H87" s="597" t="s">
        <v>1079</v>
      </c>
      <c r="I87" s="599">
        <v>7.43</v>
      </c>
      <c r="J87" s="599">
        <v>500</v>
      </c>
      <c r="K87" s="600">
        <v>3715</v>
      </c>
    </row>
    <row r="88" spans="1:11" ht="14.4" customHeight="1" x14ac:dyDescent="0.3">
      <c r="A88" s="595" t="s">
        <v>496</v>
      </c>
      <c r="B88" s="596" t="s">
        <v>498</v>
      </c>
      <c r="C88" s="597" t="s">
        <v>516</v>
      </c>
      <c r="D88" s="598" t="s">
        <v>517</v>
      </c>
      <c r="E88" s="597" t="s">
        <v>946</v>
      </c>
      <c r="F88" s="598" t="s">
        <v>947</v>
      </c>
      <c r="G88" s="597" t="s">
        <v>974</v>
      </c>
      <c r="H88" s="597" t="s">
        <v>975</v>
      </c>
      <c r="I88" s="599">
        <v>0.93</v>
      </c>
      <c r="J88" s="599">
        <v>500</v>
      </c>
      <c r="K88" s="600">
        <v>465</v>
      </c>
    </row>
    <row r="89" spans="1:11" ht="14.4" customHeight="1" x14ac:dyDescent="0.3">
      <c r="A89" s="595" t="s">
        <v>496</v>
      </c>
      <c r="B89" s="596" t="s">
        <v>498</v>
      </c>
      <c r="C89" s="597" t="s">
        <v>516</v>
      </c>
      <c r="D89" s="598" t="s">
        <v>517</v>
      </c>
      <c r="E89" s="597" t="s">
        <v>946</v>
      </c>
      <c r="F89" s="598" t="s">
        <v>947</v>
      </c>
      <c r="G89" s="597" t="s">
        <v>976</v>
      </c>
      <c r="H89" s="597" t="s">
        <v>977</v>
      </c>
      <c r="I89" s="599">
        <v>1.4366666666666668</v>
      </c>
      <c r="J89" s="599">
        <v>4000</v>
      </c>
      <c r="K89" s="600">
        <v>5744</v>
      </c>
    </row>
    <row r="90" spans="1:11" ht="14.4" customHeight="1" x14ac:dyDescent="0.3">
      <c r="A90" s="595" t="s">
        <v>496</v>
      </c>
      <c r="B90" s="596" t="s">
        <v>498</v>
      </c>
      <c r="C90" s="597" t="s">
        <v>516</v>
      </c>
      <c r="D90" s="598" t="s">
        <v>517</v>
      </c>
      <c r="E90" s="597" t="s">
        <v>946</v>
      </c>
      <c r="F90" s="598" t="s">
        <v>947</v>
      </c>
      <c r="G90" s="597" t="s">
        <v>978</v>
      </c>
      <c r="H90" s="597" t="s">
        <v>979</v>
      </c>
      <c r="I90" s="599">
        <v>0.41</v>
      </c>
      <c r="J90" s="599">
        <v>3700</v>
      </c>
      <c r="K90" s="600">
        <v>1517</v>
      </c>
    </row>
    <row r="91" spans="1:11" ht="14.4" customHeight="1" x14ac:dyDescent="0.3">
      <c r="A91" s="595" t="s">
        <v>496</v>
      </c>
      <c r="B91" s="596" t="s">
        <v>498</v>
      </c>
      <c r="C91" s="597" t="s">
        <v>516</v>
      </c>
      <c r="D91" s="598" t="s">
        <v>517</v>
      </c>
      <c r="E91" s="597" t="s">
        <v>946</v>
      </c>
      <c r="F91" s="598" t="s">
        <v>947</v>
      </c>
      <c r="G91" s="597" t="s">
        <v>980</v>
      </c>
      <c r="H91" s="597" t="s">
        <v>981</v>
      </c>
      <c r="I91" s="599">
        <v>0.57999999999999996</v>
      </c>
      <c r="J91" s="599">
        <v>1300</v>
      </c>
      <c r="K91" s="600">
        <v>754</v>
      </c>
    </row>
    <row r="92" spans="1:11" ht="14.4" customHeight="1" x14ac:dyDescent="0.3">
      <c r="A92" s="595" t="s">
        <v>496</v>
      </c>
      <c r="B92" s="596" t="s">
        <v>498</v>
      </c>
      <c r="C92" s="597" t="s">
        <v>516</v>
      </c>
      <c r="D92" s="598" t="s">
        <v>517</v>
      </c>
      <c r="E92" s="597" t="s">
        <v>946</v>
      </c>
      <c r="F92" s="598" t="s">
        <v>947</v>
      </c>
      <c r="G92" s="597" t="s">
        <v>1080</v>
      </c>
      <c r="H92" s="597" t="s">
        <v>1081</v>
      </c>
      <c r="I92" s="599">
        <v>7064.28</v>
      </c>
      <c r="J92" s="599">
        <v>1</v>
      </c>
      <c r="K92" s="600">
        <v>7064.28</v>
      </c>
    </row>
    <row r="93" spans="1:11" ht="14.4" customHeight="1" x14ac:dyDescent="0.3">
      <c r="A93" s="595" t="s">
        <v>496</v>
      </c>
      <c r="B93" s="596" t="s">
        <v>498</v>
      </c>
      <c r="C93" s="597" t="s">
        <v>516</v>
      </c>
      <c r="D93" s="598" t="s">
        <v>517</v>
      </c>
      <c r="E93" s="597" t="s">
        <v>946</v>
      </c>
      <c r="F93" s="598" t="s">
        <v>947</v>
      </c>
      <c r="G93" s="597" t="s">
        <v>982</v>
      </c>
      <c r="H93" s="597" t="s">
        <v>983</v>
      </c>
      <c r="I93" s="599">
        <v>3.21</v>
      </c>
      <c r="J93" s="599">
        <v>200</v>
      </c>
      <c r="K93" s="600">
        <v>642.54999999999995</v>
      </c>
    </row>
    <row r="94" spans="1:11" ht="14.4" customHeight="1" x14ac:dyDescent="0.3">
      <c r="A94" s="595" t="s">
        <v>496</v>
      </c>
      <c r="B94" s="596" t="s">
        <v>498</v>
      </c>
      <c r="C94" s="597" t="s">
        <v>516</v>
      </c>
      <c r="D94" s="598" t="s">
        <v>517</v>
      </c>
      <c r="E94" s="597" t="s">
        <v>946</v>
      </c>
      <c r="F94" s="598" t="s">
        <v>947</v>
      </c>
      <c r="G94" s="597" t="s">
        <v>1082</v>
      </c>
      <c r="H94" s="597" t="s">
        <v>1083</v>
      </c>
      <c r="I94" s="599">
        <v>81.739999999999995</v>
      </c>
      <c r="J94" s="599">
        <v>45</v>
      </c>
      <c r="K94" s="600">
        <v>3678.1</v>
      </c>
    </row>
    <row r="95" spans="1:11" ht="14.4" customHeight="1" x14ac:dyDescent="0.3">
      <c r="A95" s="595" t="s">
        <v>496</v>
      </c>
      <c r="B95" s="596" t="s">
        <v>498</v>
      </c>
      <c r="C95" s="597" t="s">
        <v>516</v>
      </c>
      <c r="D95" s="598" t="s">
        <v>517</v>
      </c>
      <c r="E95" s="597" t="s">
        <v>946</v>
      </c>
      <c r="F95" s="598" t="s">
        <v>947</v>
      </c>
      <c r="G95" s="597" t="s">
        <v>1084</v>
      </c>
      <c r="H95" s="597" t="s">
        <v>1085</v>
      </c>
      <c r="I95" s="599">
        <v>28.31</v>
      </c>
      <c r="J95" s="599">
        <v>200</v>
      </c>
      <c r="K95" s="600">
        <v>5662</v>
      </c>
    </row>
    <row r="96" spans="1:11" ht="14.4" customHeight="1" x14ac:dyDescent="0.3">
      <c r="A96" s="595" t="s">
        <v>496</v>
      </c>
      <c r="B96" s="596" t="s">
        <v>498</v>
      </c>
      <c r="C96" s="597" t="s">
        <v>516</v>
      </c>
      <c r="D96" s="598" t="s">
        <v>517</v>
      </c>
      <c r="E96" s="597" t="s">
        <v>946</v>
      </c>
      <c r="F96" s="598" t="s">
        <v>947</v>
      </c>
      <c r="G96" s="597" t="s">
        <v>986</v>
      </c>
      <c r="H96" s="597" t="s">
        <v>987</v>
      </c>
      <c r="I96" s="599">
        <v>32.67</v>
      </c>
      <c r="J96" s="599">
        <v>100</v>
      </c>
      <c r="K96" s="600">
        <v>3267</v>
      </c>
    </row>
    <row r="97" spans="1:11" ht="14.4" customHeight="1" x14ac:dyDescent="0.3">
      <c r="A97" s="595" t="s">
        <v>496</v>
      </c>
      <c r="B97" s="596" t="s">
        <v>498</v>
      </c>
      <c r="C97" s="597" t="s">
        <v>516</v>
      </c>
      <c r="D97" s="598" t="s">
        <v>517</v>
      </c>
      <c r="E97" s="597" t="s">
        <v>946</v>
      </c>
      <c r="F97" s="598" t="s">
        <v>947</v>
      </c>
      <c r="G97" s="597" t="s">
        <v>1086</v>
      </c>
      <c r="H97" s="597" t="s">
        <v>1087</v>
      </c>
      <c r="I97" s="599">
        <v>108.3</v>
      </c>
      <c r="J97" s="599">
        <v>20</v>
      </c>
      <c r="K97" s="600">
        <v>2165.9</v>
      </c>
    </row>
    <row r="98" spans="1:11" ht="14.4" customHeight="1" x14ac:dyDescent="0.3">
      <c r="A98" s="595" t="s">
        <v>496</v>
      </c>
      <c r="B98" s="596" t="s">
        <v>498</v>
      </c>
      <c r="C98" s="597" t="s">
        <v>516</v>
      </c>
      <c r="D98" s="598" t="s">
        <v>517</v>
      </c>
      <c r="E98" s="597" t="s">
        <v>946</v>
      </c>
      <c r="F98" s="598" t="s">
        <v>947</v>
      </c>
      <c r="G98" s="597" t="s">
        <v>1088</v>
      </c>
      <c r="H98" s="597" t="s">
        <v>1089</v>
      </c>
      <c r="I98" s="599">
        <v>2.67</v>
      </c>
      <c r="J98" s="599">
        <v>50</v>
      </c>
      <c r="K98" s="600">
        <v>133.71</v>
      </c>
    </row>
    <row r="99" spans="1:11" ht="14.4" customHeight="1" x14ac:dyDescent="0.3">
      <c r="A99" s="595" t="s">
        <v>496</v>
      </c>
      <c r="B99" s="596" t="s">
        <v>498</v>
      </c>
      <c r="C99" s="597" t="s">
        <v>516</v>
      </c>
      <c r="D99" s="598" t="s">
        <v>517</v>
      </c>
      <c r="E99" s="597" t="s">
        <v>946</v>
      </c>
      <c r="F99" s="598" t="s">
        <v>947</v>
      </c>
      <c r="G99" s="597" t="s">
        <v>1090</v>
      </c>
      <c r="H99" s="597" t="s">
        <v>1091</v>
      </c>
      <c r="I99" s="599">
        <v>9.15</v>
      </c>
      <c r="J99" s="599">
        <v>1300</v>
      </c>
      <c r="K99" s="600">
        <v>11890.470000000001</v>
      </c>
    </row>
    <row r="100" spans="1:11" ht="14.4" customHeight="1" x14ac:dyDescent="0.3">
      <c r="A100" s="595" t="s">
        <v>496</v>
      </c>
      <c r="B100" s="596" t="s">
        <v>498</v>
      </c>
      <c r="C100" s="597" t="s">
        <v>516</v>
      </c>
      <c r="D100" s="598" t="s">
        <v>517</v>
      </c>
      <c r="E100" s="597" t="s">
        <v>946</v>
      </c>
      <c r="F100" s="598" t="s">
        <v>947</v>
      </c>
      <c r="G100" s="597" t="s">
        <v>1042</v>
      </c>
      <c r="H100" s="597" t="s">
        <v>1043</v>
      </c>
      <c r="I100" s="599">
        <v>5.41</v>
      </c>
      <c r="J100" s="599">
        <v>500</v>
      </c>
      <c r="K100" s="600">
        <v>2704.8</v>
      </c>
    </row>
    <row r="101" spans="1:11" ht="14.4" customHeight="1" x14ac:dyDescent="0.3">
      <c r="A101" s="595" t="s">
        <v>496</v>
      </c>
      <c r="B101" s="596" t="s">
        <v>498</v>
      </c>
      <c r="C101" s="597" t="s">
        <v>516</v>
      </c>
      <c r="D101" s="598" t="s">
        <v>517</v>
      </c>
      <c r="E101" s="597" t="s">
        <v>946</v>
      </c>
      <c r="F101" s="598" t="s">
        <v>947</v>
      </c>
      <c r="G101" s="597" t="s">
        <v>1092</v>
      </c>
      <c r="H101" s="597" t="s">
        <v>1093</v>
      </c>
      <c r="I101" s="599">
        <v>22.18</v>
      </c>
      <c r="J101" s="599">
        <v>10</v>
      </c>
      <c r="K101" s="600">
        <v>221.8</v>
      </c>
    </row>
    <row r="102" spans="1:11" ht="14.4" customHeight="1" x14ac:dyDescent="0.3">
      <c r="A102" s="595" t="s">
        <v>496</v>
      </c>
      <c r="B102" s="596" t="s">
        <v>498</v>
      </c>
      <c r="C102" s="597" t="s">
        <v>516</v>
      </c>
      <c r="D102" s="598" t="s">
        <v>517</v>
      </c>
      <c r="E102" s="597" t="s">
        <v>946</v>
      </c>
      <c r="F102" s="598" t="s">
        <v>947</v>
      </c>
      <c r="G102" s="597" t="s">
        <v>1094</v>
      </c>
      <c r="H102" s="597" t="s">
        <v>1095</v>
      </c>
      <c r="I102" s="599">
        <v>26.02</v>
      </c>
      <c r="J102" s="599">
        <v>120</v>
      </c>
      <c r="K102" s="600">
        <v>3121.8</v>
      </c>
    </row>
    <row r="103" spans="1:11" ht="14.4" customHeight="1" x14ac:dyDescent="0.3">
      <c r="A103" s="595" t="s">
        <v>496</v>
      </c>
      <c r="B103" s="596" t="s">
        <v>498</v>
      </c>
      <c r="C103" s="597" t="s">
        <v>516</v>
      </c>
      <c r="D103" s="598" t="s">
        <v>517</v>
      </c>
      <c r="E103" s="597" t="s">
        <v>946</v>
      </c>
      <c r="F103" s="598" t="s">
        <v>947</v>
      </c>
      <c r="G103" s="597" t="s">
        <v>1096</v>
      </c>
      <c r="H103" s="597" t="s">
        <v>1097</v>
      </c>
      <c r="I103" s="599">
        <v>115</v>
      </c>
      <c r="J103" s="599">
        <v>5</v>
      </c>
      <c r="K103" s="600">
        <v>575</v>
      </c>
    </row>
    <row r="104" spans="1:11" ht="14.4" customHeight="1" x14ac:dyDescent="0.3">
      <c r="A104" s="595" t="s">
        <v>496</v>
      </c>
      <c r="B104" s="596" t="s">
        <v>498</v>
      </c>
      <c r="C104" s="597" t="s">
        <v>516</v>
      </c>
      <c r="D104" s="598" t="s">
        <v>517</v>
      </c>
      <c r="E104" s="597" t="s">
        <v>946</v>
      </c>
      <c r="F104" s="598" t="s">
        <v>947</v>
      </c>
      <c r="G104" s="597" t="s">
        <v>1098</v>
      </c>
      <c r="H104" s="597" t="s">
        <v>1099</v>
      </c>
      <c r="I104" s="599">
        <v>7893.31</v>
      </c>
      <c r="J104" s="599">
        <v>2</v>
      </c>
      <c r="K104" s="600">
        <v>15786.62</v>
      </c>
    </row>
    <row r="105" spans="1:11" ht="14.4" customHeight="1" x14ac:dyDescent="0.3">
      <c r="A105" s="595" t="s">
        <v>496</v>
      </c>
      <c r="B105" s="596" t="s">
        <v>498</v>
      </c>
      <c r="C105" s="597" t="s">
        <v>516</v>
      </c>
      <c r="D105" s="598" t="s">
        <v>517</v>
      </c>
      <c r="E105" s="597" t="s">
        <v>946</v>
      </c>
      <c r="F105" s="598" t="s">
        <v>947</v>
      </c>
      <c r="G105" s="597" t="s">
        <v>1100</v>
      </c>
      <c r="H105" s="597" t="s">
        <v>1101</v>
      </c>
      <c r="I105" s="599">
        <v>2.37</v>
      </c>
      <c r="J105" s="599">
        <v>50</v>
      </c>
      <c r="K105" s="600">
        <v>118.5</v>
      </c>
    </row>
    <row r="106" spans="1:11" ht="14.4" customHeight="1" x14ac:dyDescent="0.3">
      <c r="A106" s="595" t="s">
        <v>496</v>
      </c>
      <c r="B106" s="596" t="s">
        <v>498</v>
      </c>
      <c r="C106" s="597" t="s">
        <v>516</v>
      </c>
      <c r="D106" s="598" t="s">
        <v>517</v>
      </c>
      <c r="E106" s="597" t="s">
        <v>946</v>
      </c>
      <c r="F106" s="598" t="s">
        <v>947</v>
      </c>
      <c r="G106" s="597" t="s">
        <v>1044</v>
      </c>
      <c r="H106" s="597" t="s">
        <v>1045</v>
      </c>
      <c r="I106" s="599">
        <v>2.85</v>
      </c>
      <c r="J106" s="599">
        <v>100</v>
      </c>
      <c r="K106" s="600">
        <v>285</v>
      </c>
    </row>
    <row r="107" spans="1:11" ht="14.4" customHeight="1" x14ac:dyDescent="0.3">
      <c r="A107" s="595" t="s">
        <v>496</v>
      </c>
      <c r="B107" s="596" t="s">
        <v>498</v>
      </c>
      <c r="C107" s="597" t="s">
        <v>516</v>
      </c>
      <c r="D107" s="598" t="s">
        <v>517</v>
      </c>
      <c r="E107" s="597" t="s">
        <v>946</v>
      </c>
      <c r="F107" s="598" t="s">
        <v>947</v>
      </c>
      <c r="G107" s="597" t="s">
        <v>1102</v>
      </c>
      <c r="H107" s="597" t="s">
        <v>1103</v>
      </c>
      <c r="I107" s="599">
        <v>58.79</v>
      </c>
      <c r="J107" s="599">
        <v>12</v>
      </c>
      <c r="K107" s="600">
        <v>705.43</v>
      </c>
    </row>
    <row r="108" spans="1:11" ht="14.4" customHeight="1" x14ac:dyDescent="0.3">
      <c r="A108" s="595" t="s">
        <v>496</v>
      </c>
      <c r="B108" s="596" t="s">
        <v>498</v>
      </c>
      <c r="C108" s="597" t="s">
        <v>516</v>
      </c>
      <c r="D108" s="598" t="s">
        <v>517</v>
      </c>
      <c r="E108" s="597" t="s">
        <v>946</v>
      </c>
      <c r="F108" s="598" t="s">
        <v>947</v>
      </c>
      <c r="G108" s="597" t="s">
        <v>992</v>
      </c>
      <c r="H108" s="597" t="s">
        <v>993</v>
      </c>
      <c r="I108" s="599">
        <v>2.0499999999999998</v>
      </c>
      <c r="J108" s="599">
        <v>20</v>
      </c>
      <c r="K108" s="600">
        <v>41</v>
      </c>
    </row>
    <row r="109" spans="1:11" ht="14.4" customHeight="1" x14ac:dyDescent="0.3">
      <c r="A109" s="595" t="s">
        <v>496</v>
      </c>
      <c r="B109" s="596" t="s">
        <v>498</v>
      </c>
      <c r="C109" s="597" t="s">
        <v>516</v>
      </c>
      <c r="D109" s="598" t="s">
        <v>517</v>
      </c>
      <c r="E109" s="597" t="s">
        <v>946</v>
      </c>
      <c r="F109" s="598" t="s">
        <v>947</v>
      </c>
      <c r="G109" s="597" t="s">
        <v>1104</v>
      </c>
      <c r="H109" s="597" t="s">
        <v>1105</v>
      </c>
      <c r="I109" s="599">
        <v>335.17</v>
      </c>
      <c r="J109" s="599">
        <v>20</v>
      </c>
      <c r="K109" s="600">
        <v>6703.4</v>
      </c>
    </row>
    <row r="110" spans="1:11" ht="14.4" customHeight="1" x14ac:dyDescent="0.3">
      <c r="A110" s="595" t="s">
        <v>496</v>
      </c>
      <c r="B110" s="596" t="s">
        <v>498</v>
      </c>
      <c r="C110" s="597" t="s">
        <v>516</v>
      </c>
      <c r="D110" s="598" t="s">
        <v>517</v>
      </c>
      <c r="E110" s="597" t="s">
        <v>946</v>
      </c>
      <c r="F110" s="598" t="s">
        <v>947</v>
      </c>
      <c r="G110" s="597" t="s">
        <v>996</v>
      </c>
      <c r="H110" s="597" t="s">
        <v>997</v>
      </c>
      <c r="I110" s="599">
        <v>4.95</v>
      </c>
      <c r="J110" s="599">
        <v>1200</v>
      </c>
      <c r="K110" s="600">
        <v>5937</v>
      </c>
    </row>
    <row r="111" spans="1:11" ht="14.4" customHeight="1" x14ac:dyDescent="0.3">
      <c r="A111" s="595" t="s">
        <v>496</v>
      </c>
      <c r="B111" s="596" t="s">
        <v>498</v>
      </c>
      <c r="C111" s="597" t="s">
        <v>516</v>
      </c>
      <c r="D111" s="598" t="s">
        <v>517</v>
      </c>
      <c r="E111" s="597" t="s">
        <v>946</v>
      </c>
      <c r="F111" s="598" t="s">
        <v>947</v>
      </c>
      <c r="G111" s="597" t="s">
        <v>1106</v>
      </c>
      <c r="H111" s="597" t="s">
        <v>1107</v>
      </c>
      <c r="I111" s="599">
        <v>5.42</v>
      </c>
      <c r="J111" s="599">
        <v>600</v>
      </c>
      <c r="K111" s="600">
        <v>3251.17</v>
      </c>
    </row>
    <row r="112" spans="1:11" ht="14.4" customHeight="1" x14ac:dyDescent="0.3">
      <c r="A112" s="595" t="s">
        <v>496</v>
      </c>
      <c r="B112" s="596" t="s">
        <v>498</v>
      </c>
      <c r="C112" s="597" t="s">
        <v>516</v>
      </c>
      <c r="D112" s="598" t="s">
        <v>517</v>
      </c>
      <c r="E112" s="597" t="s">
        <v>946</v>
      </c>
      <c r="F112" s="598" t="s">
        <v>947</v>
      </c>
      <c r="G112" s="597" t="s">
        <v>998</v>
      </c>
      <c r="H112" s="597" t="s">
        <v>999</v>
      </c>
      <c r="I112" s="599">
        <v>12.105</v>
      </c>
      <c r="J112" s="599">
        <v>300</v>
      </c>
      <c r="K112" s="600">
        <v>3631.5</v>
      </c>
    </row>
    <row r="113" spans="1:11" ht="14.4" customHeight="1" x14ac:dyDescent="0.3">
      <c r="A113" s="595" t="s">
        <v>496</v>
      </c>
      <c r="B113" s="596" t="s">
        <v>498</v>
      </c>
      <c r="C113" s="597" t="s">
        <v>516</v>
      </c>
      <c r="D113" s="598" t="s">
        <v>517</v>
      </c>
      <c r="E113" s="597" t="s">
        <v>946</v>
      </c>
      <c r="F113" s="598" t="s">
        <v>947</v>
      </c>
      <c r="G113" s="597" t="s">
        <v>1108</v>
      </c>
      <c r="H113" s="597" t="s">
        <v>1109</v>
      </c>
      <c r="I113" s="599">
        <v>1.55</v>
      </c>
      <c r="J113" s="599">
        <v>300</v>
      </c>
      <c r="K113" s="600">
        <v>465</v>
      </c>
    </row>
    <row r="114" spans="1:11" ht="14.4" customHeight="1" x14ac:dyDescent="0.3">
      <c r="A114" s="595" t="s">
        <v>496</v>
      </c>
      <c r="B114" s="596" t="s">
        <v>498</v>
      </c>
      <c r="C114" s="597" t="s">
        <v>516</v>
      </c>
      <c r="D114" s="598" t="s">
        <v>517</v>
      </c>
      <c r="E114" s="597" t="s">
        <v>946</v>
      </c>
      <c r="F114" s="598" t="s">
        <v>947</v>
      </c>
      <c r="G114" s="597" t="s">
        <v>1002</v>
      </c>
      <c r="H114" s="597" t="s">
        <v>1003</v>
      </c>
      <c r="I114" s="599">
        <v>21.236666666666665</v>
      </c>
      <c r="J114" s="599">
        <v>400</v>
      </c>
      <c r="K114" s="600">
        <v>8495.5</v>
      </c>
    </row>
    <row r="115" spans="1:11" ht="14.4" customHeight="1" x14ac:dyDescent="0.3">
      <c r="A115" s="595" t="s">
        <v>496</v>
      </c>
      <c r="B115" s="596" t="s">
        <v>498</v>
      </c>
      <c r="C115" s="597" t="s">
        <v>516</v>
      </c>
      <c r="D115" s="598" t="s">
        <v>517</v>
      </c>
      <c r="E115" s="597" t="s">
        <v>946</v>
      </c>
      <c r="F115" s="598" t="s">
        <v>947</v>
      </c>
      <c r="G115" s="597" t="s">
        <v>1110</v>
      </c>
      <c r="H115" s="597" t="s">
        <v>1111</v>
      </c>
      <c r="I115" s="599">
        <v>2.88</v>
      </c>
      <c r="J115" s="599">
        <v>500</v>
      </c>
      <c r="K115" s="600">
        <v>1439.9</v>
      </c>
    </row>
    <row r="116" spans="1:11" ht="14.4" customHeight="1" x14ac:dyDescent="0.3">
      <c r="A116" s="595" t="s">
        <v>496</v>
      </c>
      <c r="B116" s="596" t="s">
        <v>498</v>
      </c>
      <c r="C116" s="597" t="s">
        <v>516</v>
      </c>
      <c r="D116" s="598" t="s">
        <v>517</v>
      </c>
      <c r="E116" s="597" t="s">
        <v>946</v>
      </c>
      <c r="F116" s="598" t="s">
        <v>947</v>
      </c>
      <c r="G116" s="597" t="s">
        <v>1112</v>
      </c>
      <c r="H116" s="597" t="s">
        <v>1113</v>
      </c>
      <c r="I116" s="599">
        <v>1.28</v>
      </c>
      <c r="J116" s="599">
        <v>500</v>
      </c>
      <c r="K116" s="600">
        <v>641.29999999999995</v>
      </c>
    </row>
    <row r="117" spans="1:11" ht="14.4" customHeight="1" x14ac:dyDescent="0.3">
      <c r="A117" s="595" t="s">
        <v>496</v>
      </c>
      <c r="B117" s="596" t="s">
        <v>498</v>
      </c>
      <c r="C117" s="597" t="s">
        <v>516</v>
      </c>
      <c r="D117" s="598" t="s">
        <v>517</v>
      </c>
      <c r="E117" s="597" t="s">
        <v>946</v>
      </c>
      <c r="F117" s="598" t="s">
        <v>947</v>
      </c>
      <c r="G117" s="597" t="s">
        <v>1114</v>
      </c>
      <c r="H117" s="597" t="s">
        <v>1115</v>
      </c>
      <c r="I117" s="599">
        <v>0.27</v>
      </c>
      <c r="J117" s="599">
        <v>1000</v>
      </c>
      <c r="K117" s="600">
        <v>266.2</v>
      </c>
    </row>
    <row r="118" spans="1:11" ht="14.4" customHeight="1" x14ac:dyDescent="0.3">
      <c r="A118" s="595" t="s">
        <v>496</v>
      </c>
      <c r="B118" s="596" t="s">
        <v>498</v>
      </c>
      <c r="C118" s="597" t="s">
        <v>516</v>
      </c>
      <c r="D118" s="598" t="s">
        <v>517</v>
      </c>
      <c r="E118" s="597" t="s">
        <v>946</v>
      </c>
      <c r="F118" s="598" t="s">
        <v>947</v>
      </c>
      <c r="G118" s="597" t="s">
        <v>1116</v>
      </c>
      <c r="H118" s="597" t="s">
        <v>1117</v>
      </c>
      <c r="I118" s="599">
        <v>18.149999999999999</v>
      </c>
      <c r="J118" s="599">
        <v>300</v>
      </c>
      <c r="K118" s="600">
        <v>5445</v>
      </c>
    </row>
    <row r="119" spans="1:11" ht="14.4" customHeight="1" x14ac:dyDescent="0.3">
      <c r="A119" s="595" t="s">
        <v>496</v>
      </c>
      <c r="B119" s="596" t="s">
        <v>498</v>
      </c>
      <c r="C119" s="597" t="s">
        <v>516</v>
      </c>
      <c r="D119" s="598" t="s">
        <v>517</v>
      </c>
      <c r="E119" s="597" t="s">
        <v>946</v>
      </c>
      <c r="F119" s="598" t="s">
        <v>947</v>
      </c>
      <c r="G119" s="597" t="s">
        <v>1118</v>
      </c>
      <c r="H119" s="597" t="s">
        <v>1119</v>
      </c>
      <c r="I119" s="599">
        <v>0.47</v>
      </c>
      <c r="J119" s="599">
        <v>800</v>
      </c>
      <c r="K119" s="600">
        <v>376</v>
      </c>
    </row>
    <row r="120" spans="1:11" ht="14.4" customHeight="1" x14ac:dyDescent="0.3">
      <c r="A120" s="595" t="s">
        <v>496</v>
      </c>
      <c r="B120" s="596" t="s">
        <v>498</v>
      </c>
      <c r="C120" s="597" t="s">
        <v>516</v>
      </c>
      <c r="D120" s="598" t="s">
        <v>517</v>
      </c>
      <c r="E120" s="597" t="s">
        <v>946</v>
      </c>
      <c r="F120" s="598" t="s">
        <v>947</v>
      </c>
      <c r="G120" s="597" t="s">
        <v>1120</v>
      </c>
      <c r="H120" s="597" t="s">
        <v>1121</v>
      </c>
      <c r="I120" s="599">
        <v>630</v>
      </c>
      <c r="J120" s="599">
        <v>20</v>
      </c>
      <c r="K120" s="600">
        <v>12600.09</v>
      </c>
    </row>
    <row r="121" spans="1:11" ht="14.4" customHeight="1" x14ac:dyDescent="0.3">
      <c r="A121" s="595" t="s">
        <v>496</v>
      </c>
      <c r="B121" s="596" t="s">
        <v>498</v>
      </c>
      <c r="C121" s="597" t="s">
        <v>516</v>
      </c>
      <c r="D121" s="598" t="s">
        <v>517</v>
      </c>
      <c r="E121" s="597" t="s">
        <v>946</v>
      </c>
      <c r="F121" s="598" t="s">
        <v>947</v>
      </c>
      <c r="G121" s="597" t="s">
        <v>1122</v>
      </c>
      <c r="H121" s="597" t="s">
        <v>1123</v>
      </c>
      <c r="I121" s="599">
        <v>4.0199999999999996</v>
      </c>
      <c r="J121" s="599">
        <v>200</v>
      </c>
      <c r="K121" s="600">
        <v>804</v>
      </c>
    </row>
    <row r="122" spans="1:11" ht="14.4" customHeight="1" x14ac:dyDescent="0.3">
      <c r="A122" s="595" t="s">
        <v>496</v>
      </c>
      <c r="B122" s="596" t="s">
        <v>498</v>
      </c>
      <c r="C122" s="597" t="s">
        <v>516</v>
      </c>
      <c r="D122" s="598" t="s">
        <v>517</v>
      </c>
      <c r="E122" s="597" t="s">
        <v>946</v>
      </c>
      <c r="F122" s="598" t="s">
        <v>947</v>
      </c>
      <c r="G122" s="597" t="s">
        <v>1124</v>
      </c>
      <c r="H122" s="597" t="s">
        <v>1125</v>
      </c>
      <c r="I122" s="599">
        <v>4897.3</v>
      </c>
      <c r="J122" s="599">
        <v>4</v>
      </c>
      <c r="K122" s="600">
        <v>19589.190000000002</v>
      </c>
    </row>
    <row r="123" spans="1:11" ht="14.4" customHeight="1" x14ac:dyDescent="0.3">
      <c r="A123" s="595" t="s">
        <v>496</v>
      </c>
      <c r="B123" s="596" t="s">
        <v>498</v>
      </c>
      <c r="C123" s="597" t="s">
        <v>516</v>
      </c>
      <c r="D123" s="598" t="s">
        <v>517</v>
      </c>
      <c r="E123" s="597" t="s">
        <v>946</v>
      </c>
      <c r="F123" s="598" t="s">
        <v>947</v>
      </c>
      <c r="G123" s="597" t="s">
        <v>1126</v>
      </c>
      <c r="H123" s="597" t="s">
        <v>1127</v>
      </c>
      <c r="I123" s="599">
        <v>400.15</v>
      </c>
      <c r="J123" s="599">
        <v>10</v>
      </c>
      <c r="K123" s="600">
        <v>4001.47</v>
      </c>
    </row>
    <row r="124" spans="1:11" ht="14.4" customHeight="1" x14ac:dyDescent="0.3">
      <c r="A124" s="595" t="s">
        <v>496</v>
      </c>
      <c r="B124" s="596" t="s">
        <v>498</v>
      </c>
      <c r="C124" s="597" t="s">
        <v>516</v>
      </c>
      <c r="D124" s="598" t="s">
        <v>517</v>
      </c>
      <c r="E124" s="597" t="s">
        <v>946</v>
      </c>
      <c r="F124" s="598" t="s">
        <v>947</v>
      </c>
      <c r="G124" s="597" t="s">
        <v>1128</v>
      </c>
      <c r="H124" s="597" t="s">
        <v>1129</v>
      </c>
      <c r="I124" s="599">
        <v>356.34</v>
      </c>
      <c r="J124" s="599">
        <v>40</v>
      </c>
      <c r="K124" s="600">
        <v>14253.8</v>
      </c>
    </row>
    <row r="125" spans="1:11" ht="14.4" customHeight="1" x14ac:dyDescent="0.3">
      <c r="A125" s="595" t="s">
        <v>496</v>
      </c>
      <c r="B125" s="596" t="s">
        <v>498</v>
      </c>
      <c r="C125" s="597" t="s">
        <v>516</v>
      </c>
      <c r="D125" s="598" t="s">
        <v>517</v>
      </c>
      <c r="E125" s="597" t="s">
        <v>946</v>
      </c>
      <c r="F125" s="598" t="s">
        <v>947</v>
      </c>
      <c r="G125" s="597" t="s">
        <v>1130</v>
      </c>
      <c r="H125" s="597" t="s">
        <v>1131</v>
      </c>
      <c r="I125" s="599">
        <v>1310.67</v>
      </c>
      <c r="J125" s="599">
        <v>40</v>
      </c>
      <c r="K125" s="600">
        <v>52426.8</v>
      </c>
    </row>
    <row r="126" spans="1:11" ht="14.4" customHeight="1" x14ac:dyDescent="0.3">
      <c r="A126" s="595" t="s">
        <v>496</v>
      </c>
      <c r="B126" s="596" t="s">
        <v>498</v>
      </c>
      <c r="C126" s="597" t="s">
        <v>516</v>
      </c>
      <c r="D126" s="598" t="s">
        <v>517</v>
      </c>
      <c r="E126" s="597" t="s">
        <v>946</v>
      </c>
      <c r="F126" s="598" t="s">
        <v>947</v>
      </c>
      <c r="G126" s="597" t="s">
        <v>1132</v>
      </c>
      <c r="H126" s="597" t="s">
        <v>1133</v>
      </c>
      <c r="I126" s="599">
        <v>557.57000000000005</v>
      </c>
      <c r="J126" s="599">
        <v>30</v>
      </c>
      <c r="K126" s="600">
        <v>16727.099999999999</v>
      </c>
    </row>
    <row r="127" spans="1:11" ht="14.4" customHeight="1" x14ac:dyDescent="0.3">
      <c r="A127" s="595" t="s">
        <v>496</v>
      </c>
      <c r="B127" s="596" t="s">
        <v>498</v>
      </c>
      <c r="C127" s="597" t="s">
        <v>516</v>
      </c>
      <c r="D127" s="598" t="s">
        <v>517</v>
      </c>
      <c r="E127" s="597" t="s">
        <v>946</v>
      </c>
      <c r="F127" s="598" t="s">
        <v>947</v>
      </c>
      <c r="G127" s="597" t="s">
        <v>1134</v>
      </c>
      <c r="H127" s="597" t="s">
        <v>1135</v>
      </c>
      <c r="I127" s="599">
        <v>10.576666666666666</v>
      </c>
      <c r="J127" s="599">
        <v>288</v>
      </c>
      <c r="K127" s="600">
        <v>3055.2200000000003</v>
      </c>
    </row>
    <row r="128" spans="1:11" ht="14.4" customHeight="1" x14ac:dyDescent="0.3">
      <c r="A128" s="595" t="s">
        <v>496</v>
      </c>
      <c r="B128" s="596" t="s">
        <v>498</v>
      </c>
      <c r="C128" s="597" t="s">
        <v>516</v>
      </c>
      <c r="D128" s="598" t="s">
        <v>517</v>
      </c>
      <c r="E128" s="597" t="s">
        <v>946</v>
      </c>
      <c r="F128" s="598" t="s">
        <v>947</v>
      </c>
      <c r="G128" s="597" t="s">
        <v>1136</v>
      </c>
      <c r="H128" s="597" t="s">
        <v>1137</v>
      </c>
      <c r="I128" s="599">
        <v>146.86000000000001</v>
      </c>
      <c r="J128" s="599">
        <v>75</v>
      </c>
      <c r="K128" s="600">
        <v>11211.57</v>
      </c>
    </row>
    <row r="129" spans="1:11" ht="14.4" customHeight="1" x14ac:dyDescent="0.3">
      <c r="A129" s="595" t="s">
        <v>496</v>
      </c>
      <c r="B129" s="596" t="s">
        <v>498</v>
      </c>
      <c r="C129" s="597" t="s">
        <v>516</v>
      </c>
      <c r="D129" s="598" t="s">
        <v>517</v>
      </c>
      <c r="E129" s="597" t="s">
        <v>946</v>
      </c>
      <c r="F129" s="598" t="s">
        <v>947</v>
      </c>
      <c r="G129" s="597" t="s">
        <v>1138</v>
      </c>
      <c r="H129" s="597" t="s">
        <v>1139</v>
      </c>
      <c r="I129" s="599">
        <v>106.48</v>
      </c>
      <c r="J129" s="599">
        <v>20</v>
      </c>
      <c r="K129" s="600">
        <v>2129.6</v>
      </c>
    </row>
    <row r="130" spans="1:11" ht="14.4" customHeight="1" x14ac:dyDescent="0.3">
      <c r="A130" s="595" t="s">
        <v>496</v>
      </c>
      <c r="B130" s="596" t="s">
        <v>498</v>
      </c>
      <c r="C130" s="597" t="s">
        <v>516</v>
      </c>
      <c r="D130" s="598" t="s">
        <v>517</v>
      </c>
      <c r="E130" s="597" t="s">
        <v>946</v>
      </c>
      <c r="F130" s="598" t="s">
        <v>947</v>
      </c>
      <c r="G130" s="597" t="s">
        <v>1140</v>
      </c>
      <c r="H130" s="597" t="s">
        <v>1141</v>
      </c>
      <c r="I130" s="599">
        <v>9.5</v>
      </c>
      <c r="J130" s="599">
        <v>5</v>
      </c>
      <c r="K130" s="600">
        <v>47.48</v>
      </c>
    </row>
    <row r="131" spans="1:11" ht="14.4" customHeight="1" x14ac:dyDescent="0.3">
      <c r="A131" s="595" t="s">
        <v>496</v>
      </c>
      <c r="B131" s="596" t="s">
        <v>498</v>
      </c>
      <c r="C131" s="597" t="s">
        <v>516</v>
      </c>
      <c r="D131" s="598" t="s">
        <v>517</v>
      </c>
      <c r="E131" s="597" t="s">
        <v>946</v>
      </c>
      <c r="F131" s="598" t="s">
        <v>947</v>
      </c>
      <c r="G131" s="597" t="s">
        <v>1142</v>
      </c>
      <c r="H131" s="597" t="s">
        <v>1143</v>
      </c>
      <c r="I131" s="599">
        <v>810.7</v>
      </c>
      <c r="J131" s="599">
        <v>1</v>
      </c>
      <c r="K131" s="600">
        <v>810.7</v>
      </c>
    </row>
    <row r="132" spans="1:11" ht="14.4" customHeight="1" x14ac:dyDescent="0.3">
      <c r="A132" s="595" t="s">
        <v>496</v>
      </c>
      <c r="B132" s="596" t="s">
        <v>498</v>
      </c>
      <c r="C132" s="597" t="s">
        <v>516</v>
      </c>
      <c r="D132" s="598" t="s">
        <v>517</v>
      </c>
      <c r="E132" s="597" t="s">
        <v>946</v>
      </c>
      <c r="F132" s="598" t="s">
        <v>947</v>
      </c>
      <c r="G132" s="597" t="s">
        <v>1144</v>
      </c>
      <c r="H132" s="597" t="s">
        <v>1145</v>
      </c>
      <c r="I132" s="599">
        <v>59.29</v>
      </c>
      <c r="J132" s="599">
        <v>10</v>
      </c>
      <c r="K132" s="600">
        <v>592.9</v>
      </c>
    </row>
    <row r="133" spans="1:11" ht="14.4" customHeight="1" x14ac:dyDescent="0.3">
      <c r="A133" s="595" t="s">
        <v>496</v>
      </c>
      <c r="B133" s="596" t="s">
        <v>498</v>
      </c>
      <c r="C133" s="597" t="s">
        <v>516</v>
      </c>
      <c r="D133" s="598" t="s">
        <v>517</v>
      </c>
      <c r="E133" s="597" t="s">
        <v>946</v>
      </c>
      <c r="F133" s="598" t="s">
        <v>947</v>
      </c>
      <c r="G133" s="597" t="s">
        <v>1146</v>
      </c>
      <c r="H133" s="597" t="s">
        <v>1147</v>
      </c>
      <c r="I133" s="599">
        <v>160.57</v>
      </c>
      <c r="J133" s="599">
        <v>20</v>
      </c>
      <c r="K133" s="600">
        <v>3211.48</v>
      </c>
    </row>
    <row r="134" spans="1:11" ht="14.4" customHeight="1" x14ac:dyDescent="0.3">
      <c r="A134" s="595" t="s">
        <v>496</v>
      </c>
      <c r="B134" s="596" t="s">
        <v>498</v>
      </c>
      <c r="C134" s="597" t="s">
        <v>516</v>
      </c>
      <c r="D134" s="598" t="s">
        <v>517</v>
      </c>
      <c r="E134" s="597" t="s">
        <v>946</v>
      </c>
      <c r="F134" s="598" t="s">
        <v>947</v>
      </c>
      <c r="G134" s="597" t="s">
        <v>1148</v>
      </c>
      <c r="H134" s="597" t="s">
        <v>1149</v>
      </c>
      <c r="I134" s="599">
        <v>493.42</v>
      </c>
      <c r="J134" s="599">
        <v>20</v>
      </c>
      <c r="K134" s="600">
        <v>9868.41</v>
      </c>
    </row>
    <row r="135" spans="1:11" ht="14.4" customHeight="1" x14ac:dyDescent="0.3">
      <c r="A135" s="595" t="s">
        <v>496</v>
      </c>
      <c r="B135" s="596" t="s">
        <v>498</v>
      </c>
      <c r="C135" s="597" t="s">
        <v>516</v>
      </c>
      <c r="D135" s="598" t="s">
        <v>517</v>
      </c>
      <c r="E135" s="597" t="s">
        <v>946</v>
      </c>
      <c r="F135" s="598" t="s">
        <v>947</v>
      </c>
      <c r="G135" s="597" t="s">
        <v>1150</v>
      </c>
      <c r="H135" s="597" t="s">
        <v>1151</v>
      </c>
      <c r="I135" s="599">
        <v>62.92</v>
      </c>
      <c r="J135" s="599">
        <v>10</v>
      </c>
      <c r="K135" s="600">
        <v>629.20000000000005</v>
      </c>
    </row>
    <row r="136" spans="1:11" ht="14.4" customHeight="1" x14ac:dyDescent="0.3">
      <c r="A136" s="595" t="s">
        <v>496</v>
      </c>
      <c r="B136" s="596" t="s">
        <v>498</v>
      </c>
      <c r="C136" s="597" t="s">
        <v>516</v>
      </c>
      <c r="D136" s="598" t="s">
        <v>517</v>
      </c>
      <c r="E136" s="597" t="s">
        <v>948</v>
      </c>
      <c r="F136" s="598" t="s">
        <v>949</v>
      </c>
      <c r="G136" s="597" t="s">
        <v>1152</v>
      </c>
      <c r="H136" s="597" t="s">
        <v>1153</v>
      </c>
      <c r="I136" s="599">
        <v>123.75</v>
      </c>
      <c r="J136" s="599">
        <v>4</v>
      </c>
      <c r="K136" s="600">
        <v>495</v>
      </c>
    </row>
    <row r="137" spans="1:11" ht="14.4" customHeight="1" x14ac:dyDescent="0.3">
      <c r="A137" s="595" t="s">
        <v>496</v>
      </c>
      <c r="B137" s="596" t="s">
        <v>498</v>
      </c>
      <c r="C137" s="597" t="s">
        <v>516</v>
      </c>
      <c r="D137" s="598" t="s">
        <v>517</v>
      </c>
      <c r="E137" s="597" t="s">
        <v>950</v>
      </c>
      <c r="F137" s="598" t="s">
        <v>951</v>
      </c>
      <c r="G137" s="597" t="s">
        <v>1154</v>
      </c>
      <c r="H137" s="597" t="s">
        <v>1155</v>
      </c>
      <c r="I137" s="599">
        <v>629.20000000000005</v>
      </c>
      <c r="J137" s="599">
        <v>10</v>
      </c>
      <c r="K137" s="600">
        <v>6292</v>
      </c>
    </row>
    <row r="138" spans="1:11" ht="14.4" customHeight="1" x14ac:dyDescent="0.3">
      <c r="A138" s="595" t="s">
        <v>496</v>
      </c>
      <c r="B138" s="596" t="s">
        <v>498</v>
      </c>
      <c r="C138" s="597" t="s">
        <v>516</v>
      </c>
      <c r="D138" s="598" t="s">
        <v>517</v>
      </c>
      <c r="E138" s="597" t="s">
        <v>950</v>
      </c>
      <c r="F138" s="598" t="s">
        <v>951</v>
      </c>
      <c r="G138" s="597" t="s">
        <v>1156</v>
      </c>
      <c r="H138" s="597" t="s">
        <v>1157</v>
      </c>
      <c r="I138" s="599">
        <v>899.64</v>
      </c>
      <c r="J138" s="599">
        <v>10</v>
      </c>
      <c r="K138" s="600">
        <v>8996.35</v>
      </c>
    </row>
    <row r="139" spans="1:11" ht="14.4" customHeight="1" x14ac:dyDescent="0.3">
      <c r="A139" s="595" t="s">
        <v>496</v>
      </c>
      <c r="B139" s="596" t="s">
        <v>498</v>
      </c>
      <c r="C139" s="597" t="s">
        <v>516</v>
      </c>
      <c r="D139" s="598" t="s">
        <v>517</v>
      </c>
      <c r="E139" s="597" t="s">
        <v>952</v>
      </c>
      <c r="F139" s="598" t="s">
        <v>953</v>
      </c>
      <c r="G139" s="597" t="s">
        <v>1158</v>
      </c>
      <c r="H139" s="597" t="s">
        <v>1159</v>
      </c>
      <c r="I139" s="599">
        <v>24.18</v>
      </c>
      <c r="J139" s="599">
        <v>300</v>
      </c>
      <c r="K139" s="600">
        <v>7252.74</v>
      </c>
    </row>
    <row r="140" spans="1:11" ht="14.4" customHeight="1" x14ac:dyDescent="0.3">
      <c r="A140" s="595" t="s">
        <v>496</v>
      </c>
      <c r="B140" s="596" t="s">
        <v>498</v>
      </c>
      <c r="C140" s="597" t="s">
        <v>516</v>
      </c>
      <c r="D140" s="598" t="s">
        <v>517</v>
      </c>
      <c r="E140" s="597" t="s">
        <v>952</v>
      </c>
      <c r="F140" s="598" t="s">
        <v>953</v>
      </c>
      <c r="G140" s="597" t="s">
        <v>1160</v>
      </c>
      <c r="H140" s="597" t="s">
        <v>1161</v>
      </c>
      <c r="I140" s="599">
        <v>6.8550000000000004</v>
      </c>
      <c r="J140" s="599">
        <v>40</v>
      </c>
      <c r="K140" s="600">
        <v>271.10000000000002</v>
      </c>
    </row>
    <row r="141" spans="1:11" ht="14.4" customHeight="1" x14ac:dyDescent="0.3">
      <c r="A141" s="595" t="s">
        <v>496</v>
      </c>
      <c r="B141" s="596" t="s">
        <v>498</v>
      </c>
      <c r="C141" s="597" t="s">
        <v>516</v>
      </c>
      <c r="D141" s="598" t="s">
        <v>517</v>
      </c>
      <c r="E141" s="597" t="s">
        <v>954</v>
      </c>
      <c r="F141" s="598" t="s">
        <v>955</v>
      </c>
      <c r="G141" s="597" t="s">
        <v>1162</v>
      </c>
      <c r="H141" s="597" t="s">
        <v>1163</v>
      </c>
      <c r="I141" s="599">
        <v>55.57</v>
      </c>
      <c r="J141" s="599">
        <v>12</v>
      </c>
      <c r="K141" s="600">
        <v>666.89</v>
      </c>
    </row>
    <row r="142" spans="1:11" ht="14.4" customHeight="1" x14ac:dyDescent="0.3">
      <c r="A142" s="595" t="s">
        <v>496</v>
      </c>
      <c r="B142" s="596" t="s">
        <v>498</v>
      </c>
      <c r="C142" s="597" t="s">
        <v>516</v>
      </c>
      <c r="D142" s="598" t="s">
        <v>517</v>
      </c>
      <c r="E142" s="597" t="s">
        <v>956</v>
      </c>
      <c r="F142" s="598" t="s">
        <v>957</v>
      </c>
      <c r="G142" s="597" t="s">
        <v>1012</v>
      </c>
      <c r="H142" s="597" t="s">
        <v>1013</v>
      </c>
      <c r="I142" s="599">
        <v>0.31</v>
      </c>
      <c r="J142" s="599">
        <v>200</v>
      </c>
      <c r="K142" s="600">
        <v>62</v>
      </c>
    </row>
    <row r="143" spans="1:11" ht="14.4" customHeight="1" x14ac:dyDescent="0.3">
      <c r="A143" s="595" t="s">
        <v>496</v>
      </c>
      <c r="B143" s="596" t="s">
        <v>498</v>
      </c>
      <c r="C143" s="597" t="s">
        <v>516</v>
      </c>
      <c r="D143" s="598" t="s">
        <v>517</v>
      </c>
      <c r="E143" s="597" t="s">
        <v>956</v>
      </c>
      <c r="F143" s="598" t="s">
        <v>957</v>
      </c>
      <c r="G143" s="597" t="s">
        <v>1164</v>
      </c>
      <c r="H143" s="597" t="s">
        <v>1165</v>
      </c>
      <c r="I143" s="599">
        <v>0.47</v>
      </c>
      <c r="J143" s="599">
        <v>400</v>
      </c>
      <c r="K143" s="600">
        <v>188</v>
      </c>
    </row>
    <row r="144" spans="1:11" ht="14.4" customHeight="1" x14ac:dyDescent="0.3">
      <c r="A144" s="595" t="s">
        <v>496</v>
      </c>
      <c r="B144" s="596" t="s">
        <v>498</v>
      </c>
      <c r="C144" s="597" t="s">
        <v>516</v>
      </c>
      <c r="D144" s="598" t="s">
        <v>517</v>
      </c>
      <c r="E144" s="597" t="s">
        <v>956</v>
      </c>
      <c r="F144" s="598" t="s">
        <v>957</v>
      </c>
      <c r="G144" s="597" t="s">
        <v>1166</v>
      </c>
      <c r="H144" s="597" t="s">
        <v>1167</v>
      </c>
      <c r="I144" s="599">
        <v>0.30499999999999999</v>
      </c>
      <c r="J144" s="599">
        <v>1800</v>
      </c>
      <c r="K144" s="600">
        <v>550</v>
      </c>
    </row>
    <row r="145" spans="1:11" ht="14.4" customHeight="1" x14ac:dyDescent="0.3">
      <c r="A145" s="595" t="s">
        <v>496</v>
      </c>
      <c r="B145" s="596" t="s">
        <v>498</v>
      </c>
      <c r="C145" s="597" t="s">
        <v>516</v>
      </c>
      <c r="D145" s="598" t="s">
        <v>517</v>
      </c>
      <c r="E145" s="597" t="s">
        <v>958</v>
      </c>
      <c r="F145" s="598" t="s">
        <v>959</v>
      </c>
      <c r="G145" s="597" t="s">
        <v>1168</v>
      </c>
      <c r="H145" s="597" t="s">
        <v>1169</v>
      </c>
      <c r="I145" s="599">
        <v>11.01</v>
      </c>
      <c r="J145" s="599">
        <v>80</v>
      </c>
      <c r="K145" s="600">
        <v>880.8</v>
      </c>
    </row>
    <row r="146" spans="1:11" ht="14.4" customHeight="1" x14ac:dyDescent="0.3">
      <c r="A146" s="595" t="s">
        <v>496</v>
      </c>
      <c r="B146" s="596" t="s">
        <v>498</v>
      </c>
      <c r="C146" s="597" t="s">
        <v>516</v>
      </c>
      <c r="D146" s="598" t="s">
        <v>517</v>
      </c>
      <c r="E146" s="597" t="s">
        <v>958</v>
      </c>
      <c r="F146" s="598" t="s">
        <v>959</v>
      </c>
      <c r="G146" s="597" t="s">
        <v>1170</v>
      </c>
      <c r="H146" s="597" t="s">
        <v>1171</v>
      </c>
      <c r="I146" s="599">
        <v>11.01</v>
      </c>
      <c r="J146" s="599">
        <v>40</v>
      </c>
      <c r="K146" s="600">
        <v>440.4</v>
      </c>
    </row>
    <row r="147" spans="1:11" ht="14.4" customHeight="1" x14ac:dyDescent="0.3">
      <c r="A147" s="595" t="s">
        <v>496</v>
      </c>
      <c r="B147" s="596" t="s">
        <v>498</v>
      </c>
      <c r="C147" s="597" t="s">
        <v>516</v>
      </c>
      <c r="D147" s="598" t="s">
        <v>517</v>
      </c>
      <c r="E147" s="597" t="s">
        <v>958</v>
      </c>
      <c r="F147" s="598" t="s">
        <v>959</v>
      </c>
      <c r="G147" s="597" t="s">
        <v>1018</v>
      </c>
      <c r="H147" s="597" t="s">
        <v>1019</v>
      </c>
      <c r="I147" s="599">
        <v>0.77500000000000002</v>
      </c>
      <c r="J147" s="599">
        <v>10000</v>
      </c>
      <c r="K147" s="600">
        <v>7750</v>
      </c>
    </row>
    <row r="148" spans="1:11" ht="14.4" customHeight="1" x14ac:dyDescent="0.3">
      <c r="A148" s="595" t="s">
        <v>496</v>
      </c>
      <c r="B148" s="596" t="s">
        <v>498</v>
      </c>
      <c r="C148" s="597" t="s">
        <v>516</v>
      </c>
      <c r="D148" s="598" t="s">
        <v>517</v>
      </c>
      <c r="E148" s="597" t="s">
        <v>942</v>
      </c>
      <c r="F148" s="598" t="s">
        <v>943</v>
      </c>
      <c r="G148" s="597" t="s">
        <v>1172</v>
      </c>
      <c r="H148" s="597" t="s">
        <v>1173</v>
      </c>
      <c r="I148" s="599">
        <v>139.44999999999999</v>
      </c>
      <c r="J148" s="599">
        <v>20</v>
      </c>
      <c r="K148" s="600">
        <v>2789.04</v>
      </c>
    </row>
    <row r="149" spans="1:11" ht="14.4" customHeight="1" x14ac:dyDescent="0.3">
      <c r="A149" s="595" t="s">
        <v>496</v>
      </c>
      <c r="B149" s="596" t="s">
        <v>498</v>
      </c>
      <c r="C149" s="597" t="s">
        <v>516</v>
      </c>
      <c r="D149" s="598" t="s">
        <v>517</v>
      </c>
      <c r="E149" s="597" t="s">
        <v>942</v>
      </c>
      <c r="F149" s="598" t="s">
        <v>943</v>
      </c>
      <c r="G149" s="597" t="s">
        <v>1174</v>
      </c>
      <c r="H149" s="597" t="s">
        <v>1175</v>
      </c>
      <c r="I149" s="599">
        <v>11.65</v>
      </c>
      <c r="J149" s="599">
        <v>20</v>
      </c>
      <c r="K149" s="600">
        <v>233.04</v>
      </c>
    </row>
    <row r="150" spans="1:11" ht="14.4" customHeight="1" x14ac:dyDescent="0.3">
      <c r="A150" s="595" t="s">
        <v>496</v>
      </c>
      <c r="B150" s="596" t="s">
        <v>498</v>
      </c>
      <c r="C150" s="597" t="s">
        <v>516</v>
      </c>
      <c r="D150" s="598" t="s">
        <v>517</v>
      </c>
      <c r="E150" s="597" t="s">
        <v>942</v>
      </c>
      <c r="F150" s="598" t="s">
        <v>943</v>
      </c>
      <c r="G150" s="597" t="s">
        <v>1176</v>
      </c>
      <c r="H150" s="597" t="s">
        <v>1177</v>
      </c>
      <c r="I150" s="599">
        <v>2746.7</v>
      </c>
      <c r="J150" s="599">
        <v>1</v>
      </c>
      <c r="K150" s="600">
        <v>2746.7</v>
      </c>
    </row>
    <row r="151" spans="1:11" ht="14.4" customHeight="1" x14ac:dyDescent="0.3">
      <c r="A151" s="595" t="s">
        <v>496</v>
      </c>
      <c r="B151" s="596" t="s">
        <v>498</v>
      </c>
      <c r="C151" s="597" t="s">
        <v>516</v>
      </c>
      <c r="D151" s="598" t="s">
        <v>517</v>
      </c>
      <c r="E151" s="597" t="s">
        <v>942</v>
      </c>
      <c r="F151" s="598" t="s">
        <v>943</v>
      </c>
      <c r="G151" s="597" t="s">
        <v>1178</v>
      </c>
      <c r="H151" s="597" t="s">
        <v>1179</v>
      </c>
      <c r="I151" s="599">
        <v>6352.5</v>
      </c>
      <c r="J151" s="599">
        <v>1</v>
      </c>
      <c r="K151" s="600">
        <v>6352.5</v>
      </c>
    </row>
    <row r="152" spans="1:11" ht="14.4" customHeight="1" x14ac:dyDescent="0.3">
      <c r="A152" s="595" t="s">
        <v>496</v>
      </c>
      <c r="B152" s="596" t="s">
        <v>498</v>
      </c>
      <c r="C152" s="597" t="s">
        <v>516</v>
      </c>
      <c r="D152" s="598" t="s">
        <v>517</v>
      </c>
      <c r="E152" s="597" t="s">
        <v>942</v>
      </c>
      <c r="F152" s="598" t="s">
        <v>943</v>
      </c>
      <c r="G152" s="597" t="s">
        <v>1180</v>
      </c>
      <c r="H152" s="597" t="s">
        <v>1181</v>
      </c>
      <c r="I152" s="599">
        <v>8470</v>
      </c>
      <c r="J152" s="599">
        <v>1</v>
      </c>
      <c r="K152" s="600">
        <v>8470</v>
      </c>
    </row>
    <row r="153" spans="1:11" ht="14.4" customHeight="1" x14ac:dyDescent="0.3">
      <c r="A153" s="595" t="s">
        <v>496</v>
      </c>
      <c r="B153" s="596" t="s">
        <v>498</v>
      </c>
      <c r="C153" s="597" t="s">
        <v>516</v>
      </c>
      <c r="D153" s="598" t="s">
        <v>517</v>
      </c>
      <c r="E153" s="597" t="s">
        <v>942</v>
      </c>
      <c r="F153" s="598" t="s">
        <v>943</v>
      </c>
      <c r="G153" s="597" t="s">
        <v>1182</v>
      </c>
      <c r="H153" s="597" t="s">
        <v>1183</v>
      </c>
      <c r="I153" s="599">
        <v>363</v>
      </c>
      <c r="J153" s="599">
        <v>4</v>
      </c>
      <c r="K153" s="600">
        <v>1452</v>
      </c>
    </row>
    <row r="154" spans="1:11" ht="14.4" customHeight="1" x14ac:dyDescent="0.3">
      <c r="A154" s="595" t="s">
        <v>496</v>
      </c>
      <c r="B154" s="596" t="s">
        <v>498</v>
      </c>
      <c r="C154" s="597" t="s">
        <v>516</v>
      </c>
      <c r="D154" s="598" t="s">
        <v>517</v>
      </c>
      <c r="E154" s="597" t="s">
        <v>942</v>
      </c>
      <c r="F154" s="598" t="s">
        <v>943</v>
      </c>
      <c r="G154" s="597" t="s">
        <v>1184</v>
      </c>
      <c r="H154" s="597" t="s">
        <v>1185</v>
      </c>
      <c r="I154" s="599">
        <v>786.5</v>
      </c>
      <c r="J154" s="599">
        <v>1</v>
      </c>
      <c r="K154" s="600">
        <v>786.5</v>
      </c>
    </row>
    <row r="155" spans="1:11" ht="14.4" customHeight="1" x14ac:dyDescent="0.3">
      <c r="A155" s="595" t="s">
        <v>496</v>
      </c>
      <c r="B155" s="596" t="s">
        <v>498</v>
      </c>
      <c r="C155" s="597" t="s">
        <v>516</v>
      </c>
      <c r="D155" s="598" t="s">
        <v>517</v>
      </c>
      <c r="E155" s="597" t="s">
        <v>942</v>
      </c>
      <c r="F155" s="598" t="s">
        <v>943</v>
      </c>
      <c r="G155" s="597" t="s">
        <v>1186</v>
      </c>
      <c r="H155" s="597" t="s">
        <v>1187</v>
      </c>
      <c r="I155" s="599">
        <v>1548.8</v>
      </c>
      <c r="J155" s="599">
        <v>1</v>
      </c>
      <c r="K155" s="600">
        <v>1548.8</v>
      </c>
    </row>
    <row r="156" spans="1:11" ht="14.4" customHeight="1" thickBot="1" x14ac:dyDescent="0.35">
      <c r="A156" s="601" t="s">
        <v>496</v>
      </c>
      <c r="B156" s="602" t="s">
        <v>498</v>
      </c>
      <c r="C156" s="603" t="s">
        <v>516</v>
      </c>
      <c r="D156" s="604" t="s">
        <v>517</v>
      </c>
      <c r="E156" s="603" t="s">
        <v>942</v>
      </c>
      <c r="F156" s="604" t="s">
        <v>943</v>
      </c>
      <c r="G156" s="603" t="s">
        <v>1188</v>
      </c>
      <c r="H156" s="603" t="s">
        <v>1189</v>
      </c>
      <c r="I156" s="605">
        <v>847</v>
      </c>
      <c r="J156" s="605">
        <v>2</v>
      </c>
      <c r="K156" s="606">
        <v>1694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4" width="12.21875" customWidth="1"/>
    <col min="5" max="5" width="12.21875" hidden="1" customWidth="1"/>
    <col min="6" max="6" width="12.21875" customWidth="1"/>
    <col min="7" max="8" width="12.21875" hidden="1" customWidth="1"/>
    <col min="9" max="9" width="12.21875" customWidth="1"/>
    <col min="10" max="10" width="12.21875" hidden="1" customWidth="1"/>
    <col min="11" max="11" width="12.21875" customWidth="1"/>
    <col min="12" max="12" width="12.21875" hidden="1" customWidth="1"/>
  </cols>
  <sheetData>
    <row r="1" spans="1:12" ht="18.600000000000001" thickBot="1" x14ac:dyDescent="0.4">
      <c r="A1" s="488" t="s">
        <v>120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</row>
    <row r="2" spans="1:12" ht="15" thickBot="1" x14ac:dyDescent="0.35">
      <c r="A2" s="369" t="s">
        <v>271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</row>
    <row r="3" spans="1:12" x14ac:dyDescent="0.3">
      <c r="A3" s="390" t="s">
        <v>265</v>
      </c>
      <c r="B3" s="490" t="s">
        <v>243</v>
      </c>
      <c r="C3" s="371">
        <v>0</v>
      </c>
      <c r="D3" s="372">
        <v>101</v>
      </c>
      <c r="E3" s="393">
        <v>203</v>
      </c>
      <c r="F3" s="372" t="s">
        <v>223</v>
      </c>
      <c r="G3" s="372" t="s">
        <v>224</v>
      </c>
      <c r="H3" s="372" t="s">
        <v>225</v>
      </c>
      <c r="I3" s="372" t="s">
        <v>226</v>
      </c>
      <c r="J3" s="372" t="s">
        <v>227</v>
      </c>
      <c r="K3" s="372">
        <v>930</v>
      </c>
      <c r="L3" s="373">
        <v>940</v>
      </c>
    </row>
    <row r="4" spans="1:12" ht="60.6" outlineLevel="1" thickBot="1" x14ac:dyDescent="0.35">
      <c r="A4" s="391">
        <v>2014</v>
      </c>
      <c r="B4" s="491"/>
      <c r="C4" s="374" t="s">
        <v>244</v>
      </c>
      <c r="D4" s="375" t="s">
        <v>245</v>
      </c>
      <c r="E4" s="394" t="s">
        <v>246</v>
      </c>
      <c r="F4" s="375" t="s">
        <v>247</v>
      </c>
      <c r="G4" s="375" t="s">
        <v>248</v>
      </c>
      <c r="H4" s="375" t="s">
        <v>249</v>
      </c>
      <c r="I4" s="375" t="s">
        <v>250</v>
      </c>
      <c r="J4" s="375" t="s">
        <v>251</v>
      </c>
      <c r="K4" s="375" t="s">
        <v>252</v>
      </c>
      <c r="L4" s="376" t="s">
        <v>253</v>
      </c>
    </row>
    <row r="5" spans="1:12" x14ac:dyDescent="0.3">
      <c r="A5" s="377" t="s">
        <v>254</v>
      </c>
      <c r="B5" s="421"/>
      <c r="C5" s="422"/>
      <c r="D5" s="423"/>
      <c r="E5" s="423"/>
      <c r="F5" s="423"/>
      <c r="G5" s="423"/>
      <c r="H5" s="423"/>
      <c r="I5" s="423"/>
      <c r="J5" s="423"/>
      <c r="K5" s="423"/>
      <c r="L5" s="424"/>
    </row>
    <row r="6" spans="1:12" ht="15" collapsed="1" thickBot="1" x14ac:dyDescent="0.35">
      <c r="A6" s="378" t="s">
        <v>84</v>
      </c>
      <c r="B6" s="425">
        <f xml:space="preserve">
TRUNC(IF($A$4&lt;=12,SUMIFS('ON Data'!D:D,'ON Data'!$B:$B,$A$4,'ON Data'!$C:$C,1),SUMIFS('ON Data'!D:D,'ON Data'!$C:$C,1)/'ON Data'!$B$3),1)</f>
        <v>67</v>
      </c>
      <c r="C6" s="426">
        <f xml:space="preserve">
TRUNC(IF($A$4&lt;=12,SUMIFS('ON Data'!E:E,'ON Data'!$B:$B,$A$4,'ON Data'!$C:$C,1),SUMIFS('ON Data'!E:E,'ON Data'!$C:$C,1)/'ON Data'!$B$3),1)</f>
        <v>0</v>
      </c>
      <c r="D6" s="427">
        <f xml:space="preserve">
TRUNC(IF($A$4&lt;=12,SUMIFS('ON Data'!F:F,'ON Data'!$B:$B,$A$4,'ON Data'!$C:$C,1),SUMIFS('ON Data'!F:F,'ON Data'!$C:$C,1)/'ON Data'!$B$3),1)</f>
        <v>8.5</v>
      </c>
      <c r="E6" s="427">
        <f xml:space="preserve">
TRUNC(IF($A$4&lt;=12,SUMIFS('ON Data'!H:H,'ON Data'!$B:$B,$A$4,'ON Data'!$C:$C,1),SUMIFS('ON Data'!H:H,'ON Data'!$C:$C,1)/'ON Data'!$B$3),1)</f>
        <v>0</v>
      </c>
      <c r="F6" s="427">
        <f xml:space="preserve">
TRUNC(IF($A$4&lt;=12,SUMIFS('ON Data'!I:I,'ON Data'!$B:$B,$A$4,'ON Data'!$C:$C,1),SUMIFS('ON Data'!I:I,'ON Data'!$C:$C,1)/'ON Data'!$B$3),1)</f>
        <v>53.5</v>
      </c>
      <c r="G6" s="427">
        <f xml:space="preserve">
TRUNC(IF($A$4&lt;=12,SUMIFS('ON Data'!J:J,'ON Data'!$B:$B,$A$4,'ON Data'!$C:$C,1),SUMIFS('ON Data'!J:J,'ON Data'!$C:$C,1)/'ON Data'!$B$3),1)</f>
        <v>0</v>
      </c>
      <c r="H6" s="427">
        <f xml:space="preserve">
TRUNC(IF($A$4&lt;=12,SUMIFS('ON Data'!K:K,'ON Data'!$B:$B,$A$4,'ON Data'!$C:$C,1),SUMIFS('ON Data'!K:K,'ON Data'!$C:$C,1)/'ON Data'!$B$3),1)</f>
        <v>0</v>
      </c>
      <c r="I6" s="427">
        <f xml:space="preserve">
TRUNC(IF($A$4&lt;=12,SUMIFS('ON Data'!L:L,'ON Data'!$B:$B,$A$4,'ON Data'!$C:$C,1),SUMIFS('ON Data'!L:L,'ON Data'!$C:$C,1)/'ON Data'!$B$3),1)</f>
        <v>4</v>
      </c>
      <c r="J6" s="427">
        <f xml:space="preserve">
TRUNC(IF($A$4&lt;=12,SUMIFS('ON Data'!M:M,'ON Data'!$B:$B,$A$4,'ON Data'!$C:$C,1),SUMIFS('ON Data'!M:M,'ON Data'!$C:$C,1)/'ON Data'!$B$3),1)</f>
        <v>0</v>
      </c>
      <c r="K6" s="427">
        <f xml:space="preserve">
TRUNC(IF($A$4&lt;=12,SUMIFS('ON Data'!N:N,'ON Data'!$B:$B,$A$4,'ON Data'!$C:$C,1),SUMIFS('ON Data'!N:N,'ON Data'!$C:$C,1)/'ON Data'!$B$3),1)</f>
        <v>1</v>
      </c>
      <c r="L6" s="428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378" t="s">
        <v>121</v>
      </c>
      <c r="B7" s="425"/>
      <c r="C7" s="429"/>
      <c r="D7" s="427"/>
      <c r="E7" s="427"/>
      <c r="F7" s="427"/>
      <c r="G7" s="427"/>
      <c r="H7" s="427"/>
      <c r="I7" s="427"/>
      <c r="J7" s="427"/>
      <c r="K7" s="427"/>
      <c r="L7" s="428"/>
    </row>
    <row r="8" spans="1:12" ht="15" hidden="1" outlineLevel="1" thickBot="1" x14ac:dyDescent="0.35">
      <c r="A8" s="378" t="s">
        <v>86</v>
      </c>
      <c r="B8" s="425"/>
      <c r="C8" s="429"/>
      <c r="D8" s="427"/>
      <c r="E8" s="427"/>
      <c r="F8" s="427"/>
      <c r="G8" s="427"/>
      <c r="H8" s="427"/>
      <c r="I8" s="427"/>
      <c r="J8" s="427"/>
      <c r="K8" s="427"/>
      <c r="L8" s="428"/>
    </row>
    <row r="9" spans="1:12" ht="15" hidden="1" outlineLevel="1" thickBot="1" x14ac:dyDescent="0.35">
      <c r="A9" s="379" t="s">
        <v>59</v>
      </c>
      <c r="B9" s="430"/>
      <c r="C9" s="431"/>
      <c r="D9" s="432"/>
      <c r="E9" s="432"/>
      <c r="F9" s="432"/>
      <c r="G9" s="432"/>
      <c r="H9" s="432"/>
      <c r="I9" s="432"/>
      <c r="J9" s="432"/>
      <c r="K9" s="432"/>
      <c r="L9" s="433"/>
    </row>
    <row r="10" spans="1:12" x14ac:dyDescent="0.3">
      <c r="A10" s="380" t="s">
        <v>255</v>
      </c>
      <c r="B10" s="395"/>
      <c r="C10" s="396"/>
      <c r="D10" s="397"/>
      <c r="E10" s="397"/>
      <c r="F10" s="397"/>
      <c r="G10" s="397"/>
      <c r="H10" s="397"/>
      <c r="I10" s="397"/>
      <c r="J10" s="397"/>
      <c r="K10" s="397"/>
      <c r="L10" s="398"/>
    </row>
    <row r="11" spans="1:12" x14ac:dyDescent="0.3">
      <c r="A11" s="381" t="s">
        <v>256</v>
      </c>
      <c r="B11" s="399">
        <f xml:space="preserve">
IF($A$4&lt;=12,SUMIFS('ON Data'!D:D,'ON Data'!$B:$B,$A$4,'ON Data'!$C:$C,2),SUMIFS('ON Data'!D:D,'ON Data'!$C:$C,2))</f>
        <v>19773.379999999997</v>
      </c>
      <c r="C11" s="400">
        <f xml:space="preserve">
IF($A$4&lt;=12,SUMIFS('ON Data'!E:E,'ON Data'!$B:$B,$A$4,'ON Data'!$C:$C,2),SUMIFS('ON Data'!E:E,'ON Data'!$C:$C,2))</f>
        <v>0</v>
      </c>
      <c r="D11" s="401">
        <f xml:space="preserve">
IF($A$4&lt;=12,SUMIFS('ON Data'!F:F,'ON Data'!$B:$B,$A$4,'ON Data'!$C:$C,2),SUMIFS('ON Data'!F:F,'ON Data'!$C:$C,2))</f>
        <v>2860</v>
      </c>
      <c r="E11" s="401">
        <f xml:space="preserve">
IF($A$4&lt;=12,SUMIFS('ON Data'!H:H,'ON Data'!$B:$B,$A$4,'ON Data'!$C:$C,2),SUMIFS('ON Data'!H:H,'ON Data'!$C:$C,2))</f>
        <v>0</v>
      </c>
      <c r="F11" s="401">
        <f xml:space="preserve">
IF($A$4&lt;=12,SUMIFS('ON Data'!I:I,'ON Data'!$B:$B,$A$4,'ON Data'!$C:$C,2),SUMIFS('ON Data'!I:I,'ON Data'!$C:$C,2))</f>
        <v>15265.38</v>
      </c>
      <c r="G11" s="401">
        <f xml:space="preserve">
IF($A$4&lt;=12,SUMIFS('ON Data'!J:J,'ON Data'!$B:$B,$A$4,'ON Data'!$C:$C,2),SUMIFS('ON Data'!J:J,'ON Data'!$C:$C,2))</f>
        <v>0</v>
      </c>
      <c r="H11" s="401">
        <f xml:space="preserve">
IF($A$4&lt;=12,SUMIFS('ON Data'!K:K,'ON Data'!$B:$B,$A$4,'ON Data'!$C:$C,2),SUMIFS('ON Data'!K:K,'ON Data'!$C:$C,2))</f>
        <v>0</v>
      </c>
      <c r="I11" s="401">
        <f xml:space="preserve">
IF($A$4&lt;=12,SUMIFS('ON Data'!L:L,'ON Data'!$B:$B,$A$4,'ON Data'!$C:$C,2),SUMIFS('ON Data'!L:L,'ON Data'!$C:$C,2))</f>
        <v>1312</v>
      </c>
      <c r="J11" s="401">
        <f xml:space="preserve">
IF($A$4&lt;=12,SUMIFS('ON Data'!M:M,'ON Data'!$B:$B,$A$4,'ON Data'!$C:$C,2),SUMIFS('ON Data'!M:M,'ON Data'!$C:$C,2))</f>
        <v>0</v>
      </c>
      <c r="K11" s="401">
        <f xml:space="preserve">
IF($A$4&lt;=12,SUMIFS('ON Data'!N:N,'ON Data'!$B:$B,$A$4,'ON Data'!$C:$C,2),SUMIFS('ON Data'!N:N,'ON Data'!$C:$C,2))</f>
        <v>336</v>
      </c>
      <c r="L11" s="402">
        <f xml:space="preserve">
IF($A$4&lt;=12,SUMIFS('ON Data'!O:O,'ON Data'!$B:$B,$A$4,'ON Data'!$C:$C,2),SUMIFS('ON Data'!O:O,'ON Data'!$C:$C,2))</f>
        <v>0</v>
      </c>
    </row>
    <row r="12" spans="1:12" x14ac:dyDescent="0.3">
      <c r="A12" s="381" t="s">
        <v>257</v>
      </c>
      <c r="B12" s="399">
        <f xml:space="preserve">
IF($A$4&lt;=12,SUMIFS('ON Data'!D:D,'ON Data'!$B:$B,$A$4,'ON Data'!$C:$C,3),SUMIFS('ON Data'!D:D,'ON Data'!$C:$C,3))</f>
        <v>84</v>
      </c>
      <c r="C12" s="400">
        <f xml:space="preserve">
IF($A$4&lt;=12,SUMIFS('ON Data'!E:E,'ON Data'!$B:$B,$A$4,'ON Data'!$C:$C,3),SUMIFS('ON Data'!E:E,'ON Data'!$C:$C,3))</f>
        <v>0</v>
      </c>
      <c r="D12" s="401">
        <f xml:space="preserve">
IF($A$4&lt;=12,SUMIFS('ON Data'!F:F,'ON Data'!$B:$B,$A$4,'ON Data'!$C:$C,3),SUMIFS('ON Data'!F:F,'ON Data'!$C:$C,3))</f>
        <v>72</v>
      </c>
      <c r="E12" s="401">
        <f xml:space="preserve">
IF($A$4&lt;=12,SUMIFS('ON Data'!H:H,'ON Data'!$B:$B,$A$4,'ON Data'!$C:$C,3),SUMIFS('ON Data'!H:H,'ON Data'!$C:$C,3))</f>
        <v>0</v>
      </c>
      <c r="F12" s="401">
        <f xml:space="preserve">
IF($A$4&lt;=12,SUMIFS('ON Data'!I:I,'ON Data'!$B:$B,$A$4,'ON Data'!$C:$C,3),SUMIFS('ON Data'!I:I,'ON Data'!$C:$C,3))</f>
        <v>12</v>
      </c>
      <c r="G12" s="401">
        <f xml:space="preserve">
IF($A$4&lt;=12,SUMIFS('ON Data'!J:J,'ON Data'!$B:$B,$A$4,'ON Data'!$C:$C,3),SUMIFS('ON Data'!J:J,'ON Data'!$C:$C,3))</f>
        <v>0</v>
      </c>
      <c r="H12" s="401">
        <f xml:space="preserve">
IF($A$4&lt;=12,SUMIFS('ON Data'!K:K,'ON Data'!$B:$B,$A$4,'ON Data'!$C:$C,3),SUMIFS('ON Data'!K:K,'ON Data'!$C:$C,3))</f>
        <v>0</v>
      </c>
      <c r="I12" s="401">
        <f xml:space="preserve">
IF($A$4&lt;=12,SUMIFS('ON Data'!L:L,'ON Data'!$B:$B,$A$4,'ON Data'!$C:$C,3),SUMIFS('ON Data'!L:L,'ON Data'!$C:$C,3))</f>
        <v>0</v>
      </c>
      <c r="J12" s="401">
        <f xml:space="preserve">
IF($A$4&lt;=12,SUMIFS('ON Data'!M:M,'ON Data'!$B:$B,$A$4,'ON Data'!$C:$C,3),SUMIFS('ON Data'!M:M,'ON Data'!$C:$C,3))</f>
        <v>0</v>
      </c>
      <c r="K12" s="401">
        <f xml:space="preserve">
IF($A$4&lt;=12,SUMIFS('ON Data'!N:N,'ON Data'!$B:$B,$A$4,'ON Data'!$C:$C,3),SUMIFS('ON Data'!N:N,'ON Data'!$C:$C,3))</f>
        <v>0</v>
      </c>
      <c r="L12" s="402">
        <f xml:space="preserve">
IF($A$4&lt;=12,SUMIFS('ON Data'!O:O,'ON Data'!$B:$B,$A$4,'ON Data'!$C:$C,3),SUMIFS('ON Data'!O:O,'ON Data'!$C:$C,3))</f>
        <v>0</v>
      </c>
    </row>
    <row r="13" spans="1:12" x14ac:dyDescent="0.3">
      <c r="A13" s="381" t="s">
        <v>266</v>
      </c>
      <c r="B13" s="399">
        <f xml:space="preserve">
IF($A$4&lt;=12,SUMIFS('ON Data'!D:D,'ON Data'!$B:$B,$A$4,'ON Data'!$C:$C,4),SUMIFS('ON Data'!D:D,'ON Data'!$C:$C,4))</f>
        <v>442</v>
      </c>
      <c r="C13" s="400">
        <f xml:space="preserve">
IF($A$4&lt;=12,SUMIFS('ON Data'!E:E,'ON Data'!$B:$B,$A$4,'ON Data'!$C:$C,4),SUMIFS('ON Data'!E:E,'ON Data'!$C:$C,4))</f>
        <v>0</v>
      </c>
      <c r="D13" s="401">
        <f xml:space="preserve">
IF($A$4&lt;=12,SUMIFS('ON Data'!F:F,'ON Data'!$B:$B,$A$4,'ON Data'!$C:$C,4),SUMIFS('ON Data'!F:F,'ON Data'!$C:$C,4))</f>
        <v>432</v>
      </c>
      <c r="E13" s="401">
        <f xml:space="preserve">
IF($A$4&lt;=12,SUMIFS('ON Data'!H:H,'ON Data'!$B:$B,$A$4,'ON Data'!$C:$C,4),SUMIFS('ON Data'!H:H,'ON Data'!$C:$C,4))</f>
        <v>0</v>
      </c>
      <c r="F13" s="401">
        <f xml:space="preserve">
IF($A$4&lt;=12,SUMIFS('ON Data'!I:I,'ON Data'!$B:$B,$A$4,'ON Data'!$C:$C,4),SUMIFS('ON Data'!I:I,'ON Data'!$C:$C,4))</f>
        <v>0</v>
      </c>
      <c r="G13" s="401">
        <f xml:space="preserve">
IF($A$4&lt;=12,SUMIFS('ON Data'!J:J,'ON Data'!$B:$B,$A$4,'ON Data'!$C:$C,4),SUMIFS('ON Data'!J:J,'ON Data'!$C:$C,4))</f>
        <v>0</v>
      </c>
      <c r="H13" s="401">
        <f xml:space="preserve">
IF($A$4&lt;=12,SUMIFS('ON Data'!K:K,'ON Data'!$B:$B,$A$4,'ON Data'!$C:$C,4),SUMIFS('ON Data'!K:K,'ON Data'!$C:$C,4))</f>
        <v>0</v>
      </c>
      <c r="I13" s="401">
        <f xml:space="preserve">
IF($A$4&lt;=12,SUMIFS('ON Data'!L:L,'ON Data'!$B:$B,$A$4,'ON Data'!$C:$C,4),SUMIFS('ON Data'!L:L,'ON Data'!$C:$C,4))</f>
        <v>10</v>
      </c>
      <c r="J13" s="401">
        <f xml:space="preserve">
IF($A$4&lt;=12,SUMIFS('ON Data'!M:M,'ON Data'!$B:$B,$A$4,'ON Data'!$C:$C,4),SUMIFS('ON Data'!M:M,'ON Data'!$C:$C,4))</f>
        <v>0</v>
      </c>
      <c r="K13" s="401">
        <f xml:space="preserve">
IF($A$4&lt;=12,SUMIFS('ON Data'!N:N,'ON Data'!$B:$B,$A$4,'ON Data'!$C:$C,4),SUMIFS('ON Data'!N:N,'ON Data'!$C:$C,4))</f>
        <v>0</v>
      </c>
      <c r="L13" s="402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382" t="s">
        <v>258</v>
      </c>
      <c r="B14" s="403">
        <f xml:space="preserve">
IF($A$4&lt;=12,SUMIFS('ON Data'!D:D,'ON Data'!$B:$B,$A$4,'ON Data'!$C:$C,5),SUMIFS('ON Data'!D:D,'ON Data'!$C:$C,5))</f>
        <v>48</v>
      </c>
      <c r="C14" s="404">
        <f xml:space="preserve">
IF($A$4&lt;=12,SUMIFS('ON Data'!E:E,'ON Data'!$B:$B,$A$4,'ON Data'!$C:$C,5),SUMIFS('ON Data'!E:E,'ON Data'!$C:$C,5))</f>
        <v>48</v>
      </c>
      <c r="D14" s="405">
        <f xml:space="preserve">
IF($A$4&lt;=12,SUMIFS('ON Data'!F:F,'ON Data'!$B:$B,$A$4,'ON Data'!$C:$C,5),SUMIFS('ON Data'!F:F,'ON Data'!$C:$C,5))</f>
        <v>0</v>
      </c>
      <c r="E14" s="405">
        <f xml:space="preserve">
IF($A$4&lt;=12,SUMIFS('ON Data'!H:H,'ON Data'!$B:$B,$A$4,'ON Data'!$C:$C,5),SUMIFS('ON Data'!H:H,'ON Data'!$C:$C,5))</f>
        <v>0</v>
      </c>
      <c r="F14" s="405">
        <f xml:space="preserve">
IF($A$4&lt;=12,SUMIFS('ON Data'!I:I,'ON Data'!$B:$B,$A$4,'ON Data'!$C:$C,5),SUMIFS('ON Data'!I:I,'ON Data'!$C:$C,5))</f>
        <v>0</v>
      </c>
      <c r="G14" s="405">
        <f xml:space="preserve">
IF($A$4&lt;=12,SUMIFS('ON Data'!J:J,'ON Data'!$B:$B,$A$4,'ON Data'!$C:$C,5),SUMIFS('ON Data'!J:J,'ON Data'!$C:$C,5))</f>
        <v>0</v>
      </c>
      <c r="H14" s="405">
        <f xml:space="preserve">
IF($A$4&lt;=12,SUMIFS('ON Data'!K:K,'ON Data'!$B:$B,$A$4,'ON Data'!$C:$C,5),SUMIFS('ON Data'!K:K,'ON Data'!$C:$C,5))</f>
        <v>0</v>
      </c>
      <c r="I14" s="405">
        <f xml:space="preserve">
IF($A$4&lt;=12,SUMIFS('ON Data'!L:L,'ON Data'!$B:$B,$A$4,'ON Data'!$C:$C,5),SUMIFS('ON Data'!L:L,'ON Data'!$C:$C,5))</f>
        <v>0</v>
      </c>
      <c r="J14" s="405">
        <f xml:space="preserve">
IF($A$4&lt;=12,SUMIFS('ON Data'!M:M,'ON Data'!$B:$B,$A$4,'ON Data'!$C:$C,5),SUMIFS('ON Data'!M:M,'ON Data'!$C:$C,5))</f>
        <v>0</v>
      </c>
      <c r="K14" s="405">
        <f xml:space="preserve">
IF($A$4&lt;=12,SUMIFS('ON Data'!N:N,'ON Data'!$B:$B,$A$4,'ON Data'!$C:$C,5),SUMIFS('ON Data'!N:N,'ON Data'!$C:$C,5))</f>
        <v>0</v>
      </c>
      <c r="L14" s="406">
        <f xml:space="preserve">
IF($A$4&lt;=12,SUMIFS('ON Data'!O:O,'ON Data'!$B:$B,$A$4,'ON Data'!$C:$C,5),SUMIFS('ON Data'!O:O,'ON Data'!$C:$C,5))</f>
        <v>0</v>
      </c>
    </row>
    <row r="15" spans="1:12" x14ac:dyDescent="0.3">
      <c r="A15" s="279" t="s">
        <v>270</v>
      </c>
      <c r="B15" s="407"/>
      <c r="C15" s="408"/>
      <c r="D15" s="409"/>
      <c r="E15" s="409"/>
      <c r="F15" s="409"/>
      <c r="G15" s="409"/>
      <c r="H15" s="409"/>
      <c r="I15" s="409"/>
      <c r="J15" s="409"/>
      <c r="K15" s="409"/>
      <c r="L15" s="410"/>
    </row>
    <row r="16" spans="1:12" x14ac:dyDescent="0.3">
      <c r="A16" s="383" t="s">
        <v>259</v>
      </c>
      <c r="B16" s="399">
        <f xml:space="preserve">
IF($A$4&lt;=12,SUMIFS('ON Data'!D:D,'ON Data'!$B:$B,$A$4,'ON Data'!$C:$C,7),SUMIFS('ON Data'!D:D,'ON Data'!$C:$C,7))</f>
        <v>0</v>
      </c>
      <c r="C16" s="400">
        <f xml:space="preserve">
IF($A$4&lt;=12,SUMIFS('ON Data'!E:E,'ON Data'!$B:$B,$A$4,'ON Data'!$C:$C,7),SUMIFS('ON Data'!E:E,'ON Data'!$C:$C,7))</f>
        <v>0</v>
      </c>
      <c r="D16" s="401">
        <f xml:space="preserve">
IF($A$4&lt;=12,SUMIFS('ON Data'!F:F,'ON Data'!$B:$B,$A$4,'ON Data'!$C:$C,7),SUMIFS('ON Data'!F:F,'ON Data'!$C:$C,7))</f>
        <v>0</v>
      </c>
      <c r="E16" s="401">
        <f xml:space="preserve">
IF($A$4&lt;=12,SUMIFS('ON Data'!H:H,'ON Data'!$B:$B,$A$4,'ON Data'!$C:$C,7),SUMIFS('ON Data'!H:H,'ON Data'!$C:$C,7))</f>
        <v>0</v>
      </c>
      <c r="F16" s="401">
        <f xml:space="preserve">
IF($A$4&lt;=12,SUMIFS('ON Data'!I:I,'ON Data'!$B:$B,$A$4,'ON Data'!$C:$C,7),SUMIFS('ON Data'!I:I,'ON Data'!$C:$C,7))</f>
        <v>0</v>
      </c>
      <c r="G16" s="401">
        <f xml:space="preserve">
IF($A$4&lt;=12,SUMIFS('ON Data'!J:J,'ON Data'!$B:$B,$A$4,'ON Data'!$C:$C,7),SUMIFS('ON Data'!J:J,'ON Data'!$C:$C,7))</f>
        <v>0</v>
      </c>
      <c r="H16" s="401">
        <f xml:space="preserve">
IF($A$4&lt;=12,SUMIFS('ON Data'!K:K,'ON Data'!$B:$B,$A$4,'ON Data'!$C:$C,7),SUMIFS('ON Data'!K:K,'ON Data'!$C:$C,7))</f>
        <v>0</v>
      </c>
      <c r="I16" s="401">
        <f xml:space="preserve">
IF($A$4&lt;=12,SUMIFS('ON Data'!L:L,'ON Data'!$B:$B,$A$4,'ON Data'!$C:$C,7),SUMIFS('ON Data'!L:L,'ON Data'!$C:$C,7))</f>
        <v>0</v>
      </c>
      <c r="J16" s="401">
        <f xml:space="preserve">
IF($A$4&lt;=12,SUMIFS('ON Data'!M:M,'ON Data'!$B:$B,$A$4,'ON Data'!$C:$C,7),SUMIFS('ON Data'!M:M,'ON Data'!$C:$C,7))</f>
        <v>0</v>
      </c>
      <c r="K16" s="401">
        <f xml:space="preserve">
IF($A$4&lt;=12,SUMIFS('ON Data'!N:N,'ON Data'!$B:$B,$A$4,'ON Data'!$C:$C,7),SUMIFS('ON Data'!N:N,'ON Data'!$C:$C,7))</f>
        <v>0</v>
      </c>
      <c r="L16" s="402">
        <f xml:space="preserve">
IF($A$4&lt;=12,SUMIFS('ON Data'!O:O,'ON Data'!$B:$B,$A$4,'ON Data'!$C:$C,7),SUMIFS('ON Data'!O:O,'ON Data'!$C:$C,7))</f>
        <v>0</v>
      </c>
    </row>
    <row r="17" spans="1:12" x14ac:dyDescent="0.3">
      <c r="A17" s="383" t="s">
        <v>260</v>
      </c>
      <c r="B17" s="399">
        <f xml:space="preserve">
IF($A$4&lt;=12,SUMIFS('ON Data'!D:D,'ON Data'!$B:$B,$A$4,'ON Data'!$C:$C,8),SUMIFS('ON Data'!D:D,'ON Data'!$C:$C,8))</f>
        <v>0</v>
      </c>
      <c r="C17" s="400">
        <f xml:space="preserve">
IF($A$4&lt;=12,SUMIFS('ON Data'!E:E,'ON Data'!$B:$B,$A$4,'ON Data'!$C:$C,8),SUMIFS('ON Data'!E:E,'ON Data'!$C:$C,8))</f>
        <v>0</v>
      </c>
      <c r="D17" s="401">
        <f xml:space="preserve">
IF($A$4&lt;=12,SUMIFS('ON Data'!F:F,'ON Data'!$B:$B,$A$4,'ON Data'!$C:$C,8),SUMIFS('ON Data'!F:F,'ON Data'!$C:$C,8))</f>
        <v>0</v>
      </c>
      <c r="E17" s="401">
        <f xml:space="preserve">
IF($A$4&lt;=12,SUMIFS('ON Data'!H:H,'ON Data'!$B:$B,$A$4,'ON Data'!$C:$C,8),SUMIFS('ON Data'!H:H,'ON Data'!$C:$C,8))</f>
        <v>0</v>
      </c>
      <c r="F17" s="401">
        <f xml:space="preserve">
IF($A$4&lt;=12,SUMIFS('ON Data'!I:I,'ON Data'!$B:$B,$A$4,'ON Data'!$C:$C,8),SUMIFS('ON Data'!I:I,'ON Data'!$C:$C,8))</f>
        <v>0</v>
      </c>
      <c r="G17" s="401">
        <f xml:space="preserve">
IF($A$4&lt;=12,SUMIFS('ON Data'!J:J,'ON Data'!$B:$B,$A$4,'ON Data'!$C:$C,8),SUMIFS('ON Data'!J:J,'ON Data'!$C:$C,8))</f>
        <v>0</v>
      </c>
      <c r="H17" s="401">
        <f xml:space="preserve">
IF($A$4&lt;=12,SUMIFS('ON Data'!K:K,'ON Data'!$B:$B,$A$4,'ON Data'!$C:$C,8),SUMIFS('ON Data'!K:K,'ON Data'!$C:$C,8))</f>
        <v>0</v>
      </c>
      <c r="I17" s="401">
        <f xml:space="preserve">
IF($A$4&lt;=12,SUMIFS('ON Data'!L:L,'ON Data'!$B:$B,$A$4,'ON Data'!$C:$C,8),SUMIFS('ON Data'!L:L,'ON Data'!$C:$C,8))</f>
        <v>0</v>
      </c>
      <c r="J17" s="401">
        <f xml:space="preserve">
IF($A$4&lt;=12,SUMIFS('ON Data'!M:M,'ON Data'!$B:$B,$A$4,'ON Data'!$C:$C,8),SUMIFS('ON Data'!M:M,'ON Data'!$C:$C,8))</f>
        <v>0</v>
      </c>
      <c r="K17" s="401">
        <f xml:space="preserve">
IF($A$4&lt;=12,SUMIFS('ON Data'!N:N,'ON Data'!$B:$B,$A$4,'ON Data'!$C:$C,8),SUMIFS('ON Data'!N:N,'ON Data'!$C:$C,8))</f>
        <v>0</v>
      </c>
      <c r="L17" s="402">
        <f xml:space="preserve">
IF($A$4&lt;=12,SUMIFS('ON Data'!O:O,'ON Data'!$B:$B,$A$4,'ON Data'!$C:$C,8),SUMIFS('ON Data'!O:O,'ON Data'!$C:$C,8))</f>
        <v>0</v>
      </c>
    </row>
    <row r="18" spans="1:12" x14ac:dyDescent="0.3">
      <c r="A18" s="383" t="s">
        <v>261</v>
      </c>
      <c r="B18" s="399">
        <f xml:space="preserve">
B19-B16-B17</f>
        <v>0</v>
      </c>
      <c r="C18" s="400">
        <f t="shared" ref="C18:L18" si="0" xml:space="preserve">
C19-C16-C17</f>
        <v>0</v>
      </c>
      <c r="D18" s="401">
        <f t="shared" si="0"/>
        <v>0</v>
      </c>
      <c r="E18" s="401">
        <f t="shared" si="0"/>
        <v>0</v>
      </c>
      <c r="F18" s="401">
        <f t="shared" si="0"/>
        <v>0</v>
      </c>
      <c r="G18" s="401">
        <f t="shared" si="0"/>
        <v>0</v>
      </c>
      <c r="H18" s="401">
        <f t="shared" si="0"/>
        <v>0</v>
      </c>
      <c r="I18" s="401">
        <f t="shared" si="0"/>
        <v>0</v>
      </c>
      <c r="J18" s="401">
        <f t="shared" si="0"/>
        <v>0</v>
      </c>
      <c r="K18" s="401">
        <f t="shared" si="0"/>
        <v>0</v>
      </c>
      <c r="L18" s="402">
        <f t="shared" si="0"/>
        <v>0</v>
      </c>
    </row>
    <row r="19" spans="1:12" ht="15" thickBot="1" x14ac:dyDescent="0.35">
      <c r="A19" s="384" t="s">
        <v>262</v>
      </c>
      <c r="B19" s="411">
        <f xml:space="preserve">
IF($A$4&lt;=12,SUMIFS('ON Data'!D:D,'ON Data'!$B:$B,$A$4,'ON Data'!$C:$C,9),SUMIFS('ON Data'!D:D,'ON Data'!$C:$C,9))</f>
        <v>0</v>
      </c>
      <c r="C19" s="412">
        <f xml:space="preserve">
IF($A$4&lt;=12,SUMIFS('ON Data'!E:E,'ON Data'!$B:$B,$A$4,'ON Data'!$C:$C,9),SUMIFS('ON Data'!E:E,'ON Data'!$C:$C,9))</f>
        <v>0</v>
      </c>
      <c r="D19" s="413">
        <f xml:space="preserve">
IF($A$4&lt;=12,SUMIFS('ON Data'!F:F,'ON Data'!$B:$B,$A$4,'ON Data'!$C:$C,9),SUMIFS('ON Data'!F:F,'ON Data'!$C:$C,9))</f>
        <v>0</v>
      </c>
      <c r="E19" s="413">
        <f xml:space="preserve">
IF($A$4&lt;=12,SUMIFS('ON Data'!H:H,'ON Data'!$B:$B,$A$4,'ON Data'!$C:$C,9),SUMIFS('ON Data'!H:H,'ON Data'!$C:$C,9))</f>
        <v>0</v>
      </c>
      <c r="F19" s="413">
        <f xml:space="preserve">
IF($A$4&lt;=12,SUMIFS('ON Data'!I:I,'ON Data'!$B:$B,$A$4,'ON Data'!$C:$C,9),SUMIFS('ON Data'!I:I,'ON Data'!$C:$C,9))</f>
        <v>0</v>
      </c>
      <c r="G19" s="413">
        <f xml:space="preserve">
IF($A$4&lt;=12,SUMIFS('ON Data'!J:J,'ON Data'!$B:$B,$A$4,'ON Data'!$C:$C,9),SUMIFS('ON Data'!J:J,'ON Data'!$C:$C,9))</f>
        <v>0</v>
      </c>
      <c r="H19" s="413">
        <f xml:space="preserve">
IF($A$4&lt;=12,SUMIFS('ON Data'!K:K,'ON Data'!$B:$B,$A$4,'ON Data'!$C:$C,9),SUMIFS('ON Data'!K:K,'ON Data'!$C:$C,9))</f>
        <v>0</v>
      </c>
      <c r="I19" s="413">
        <f xml:space="preserve">
IF($A$4&lt;=12,SUMIFS('ON Data'!L:L,'ON Data'!$B:$B,$A$4,'ON Data'!$C:$C,9),SUMIFS('ON Data'!L:L,'ON Data'!$C:$C,9))</f>
        <v>0</v>
      </c>
      <c r="J19" s="413">
        <f xml:space="preserve">
IF($A$4&lt;=12,SUMIFS('ON Data'!M:M,'ON Data'!$B:$B,$A$4,'ON Data'!$C:$C,9),SUMIFS('ON Data'!M:M,'ON Data'!$C:$C,9))</f>
        <v>0</v>
      </c>
      <c r="K19" s="413">
        <f xml:space="preserve">
IF($A$4&lt;=12,SUMIFS('ON Data'!N:N,'ON Data'!$B:$B,$A$4,'ON Data'!$C:$C,9),SUMIFS('ON Data'!N:N,'ON Data'!$C:$C,9))</f>
        <v>0</v>
      </c>
      <c r="L19" s="414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385" t="s">
        <v>84</v>
      </c>
      <c r="B20" s="415">
        <f xml:space="preserve">
IF($A$4&lt;=12,SUMIFS('ON Data'!D:D,'ON Data'!$B:$B,$A$4,'ON Data'!$C:$C,6),SUMIFS('ON Data'!D:D,'ON Data'!$C:$C,6))</f>
        <v>4598167</v>
      </c>
      <c r="C20" s="416">
        <f xml:space="preserve">
IF($A$4&lt;=12,SUMIFS('ON Data'!E:E,'ON Data'!$B:$B,$A$4,'ON Data'!$C:$C,6),SUMIFS('ON Data'!E:E,'ON Data'!$C:$C,6))</f>
        <v>12120</v>
      </c>
      <c r="D20" s="417">
        <f xml:space="preserve">
IF($A$4&lt;=12,SUMIFS('ON Data'!F:F,'ON Data'!$B:$B,$A$4,'ON Data'!$C:$C,6),SUMIFS('ON Data'!F:F,'ON Data'!$C:$C,6))</f>
        <v>1299930</v>
      </c>
      <c r="E20" s="417">
        <f xml:space="preserve">
IF($A$4&lt;=12,SUMIFS('ON Data'!H:H,'ON Data'!$B:$B,$A$4,'ON Data'!$C:$C,6),SUMIFS('ON Data'!H:H,'ON Data'!$C:$C,6))</f>
        <v>0</v>
      </c>
      <c r="F20" s="417">
        <f xml:space="preserve">
IF($A$4&lt;=12,SUMIFS('ON Data'!I:I,'ON Data'!$B:$B,$A$4,'ON Data'!$C:$C,6),SUMIFS('ON Data'!I:I,'ON Data'!$C:$C,6))</f>
        <v>3124074</v>
      </c>
      <c r="G20" s="417">
        <f xml:space="preserve">
IF($A$4&lt;=12,SUMIFS('ON Data'!J:J,'ON Data'!$B:$B,$A$4,'ON Data'!$C:$C,6),SUMIFS('ON Data'!J:J,'ON Data'!$C:$C,6))</f>
        <v>0</v>
      </c>
      <c r="H20" s="417">
        <f xml:space="preserve">
IF($A$4&lt;=12,SUMIFS('ON Data'!K:K,'ON Data'!$B:$B,$A$4,'ON Data'!$C:$C,6),SUMIFS('ON Data'!K:K,'ON Data'!$C:$C,6))</f>
        <v>0</v>
      </c>
      <c r="I20" s="417">
        <f xml:space="preserve">
IF($A$4&lt;=12,SUMIFS('ON Data'!L:L,'ON Data'!$B:$B,$A$4,'ON Data'!$C:$C,6),SUMIFS('ON Data'!L:L,'ON Data'!$C:$C,6))</f>
        <v>118537</v>
      </c>
      <c r="J20" s="417">
        <f xml:space="preserve">
IF($A$4&lt;=12,SUMIFS('ON Data'!M:M,'ON Data'!$B:$B,$A$4,'ON Data'!$C:$C,6),SUMIFS('ON Data'!M:M,'ON Data'!$C:$C,6))</f>
        <v>0</v>
      </c>
      <c r="K20" s="417">
        <f xml:space="preserve">
IF($A$4&lt;=12,SUMIFS('ON Data'!N:N,'ON Data'!$B:$B,$A$4,'ON Data'!$C:$C,6),SUMIFS('ON Data'!N:N,'ON Data'!$C:$C,6))</f>
        <v>43506</v>
      </c>
      <c r="L20" s="418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378" t="s">
        <v>121</v>
      </c>
      <c r="B21" s="399"/>
      <c r="C21" s="400"/>
      <c r="D21" s="401"/>
      <c r="E21" s="401"/>
      <c r="F21" s="401"/>
      <c r="G21" s="401"/>
      <c r="H21" s="401"/>
      <c r="I21" s="401"/>
      <c r="J21" s="401"/>
      <c r="K21" s="401"/>
      <c r="L21" s="402"/>
    </row>
    <row r="22" spans="1:12" ht="15" hidden="1" outlineLevel="1" thickBot="1" x14ac:dyDescent="0.35">
      <c r="A22" s="378" t="s">
        <v>86</v>
      </c>
      <c r="B22" s="399"/>
      <c r="C22" s="400"/>
      <c r="D22" s="401"/>
      <c r="E22" s="401"/>
      <c r="F22" s="401"/>
      <c r="G22" s="401"/>
      <c r="H22" s="401"/>
      <c r="I22" s="401"/>
      <c r="J22" s="401"/>
      <c r="K22" s="401"/>
      <c r="L22" s="402"/>
    </row>
    <row r="23" spans="1:12" ht="15" hidden="1" outlineLevel="1" thickBot="1" x14ac:dyDescent="0.35">
      <c r="A23" s="386" t="s">
        <v>59</v>
      </c>
      <c r="B23" s="403"/>
      <c r="C23" s="404"/>
      <c r="D23" s="405"/>
      <c r="E23" s="405"/>
      <c r="F23" s="405"/>
      <c r="G23" s="405"/>
      <c r="H23" s="405"/>
      <c r="I23" s="405"/>
      <c r="J23" s="405"/>
      <c r="K23" s="405"/>
      <c r="L23" s="406"/>
    </row>
    <row r="24" spans="1:12" x14ac:dyDescent="0.3">
      <c r="A24" s="380" t="s">
        <v>263</v>
      </c>
      <c r="B24" s="395"/>
      <c r="C24" s="396"/>
      <c r="D24" s="440" t="s">
        <v>245</v>
      </c>
      <c r="E24" s="493" t="s">
        <v>264</v>
      </c>
      <c r="F24" s="493"/>
      <c r="G24" s="493"/>
      <c r="H24" s="493"/>
      <c r="I24" s="397"/>
      <c r="J24" s="397"/>
      <c r="K24" s="397"/>
      <c r="L24" s="398"/>
    </row>
    <row r="25" spans="1:12" ht="15" collapsed="1" thickBot="1" x14ac:dyDescent="0.35">
      <c r="A25" s="381" t="s">
        <v>84</v>
      </c>
      <c r="B25" s="399">
        <f>SUM(D25:H25)</f>
        <v>0</v>
      </c>
      <c r="C25" s="419">
        <v>0</v>
      </c>
      <c r="D25" s="439">
        <v>0</v>
      </c>
      <c r="E25" s="492">
        <v>0</v>
      </c>
      <c r="F25" s="492"/>
      <c r="G25" s="492"/>
      <c r="H25" s="492"/>
      <c r="I25" s="401">
        <v>0</v>
      </c>
      <c r="J25" s="401">
        <v>0</v>
      </c>
      <c r="K25" s="401">
        <v>0</v>
      </c>
      <c r="L25" s="402">
        <v>0</v>
      </c>
    </row>
    <row r="26" spans="1:12" ht="14.4" hidden="1" customHeight="1" outlineLevel="1" x14ac:dyDescent="0.35">
      <c r="A26" s="387" t="s">
        <v>121</v>
      </c>
      <c r="B26" s="411">
        <f t="shared" ref="B26:B28" si="1">SUM(D26:H26)</f>
        <v>0</v>
      </c>
      <c r="C26" s="419">
        <v>0</v>
      </c>
      <c r="D26" s="439">
        <v>0</v>
      </c>
      <c r="E26" s="492">
        <v>0</v>
      </c>
      <c r="F26" s="492"/>
      <c r="G26" s="492"/>
      <c r="H26" s="492"/>
      <c r="I26" s="401">
        <v>0</v>
      </c>
      <c r="J26" s="401">
        <v>0</v>
      </c>
      <c r="K26" s="401">
        <v>0</v>
      </c>
      <c r="L26" s="402">
        <v>0</v>
      </c>
    </row>
    <row r="27" spans="1:12" ht="14.4" hidden="1" customHeight="1" outlineLevel="1" x14ac:dyDescent="0.35">
      <c r="A27" s="387" t="s">
        <v>86</v>
      </c>
      <c r="B27" s="411">
        <f t="shared" si="1"/>
        <v>0</v>
      </c>
      <c r="C27" s="419">
        <v>0</v>
      </c>
      <c r="D27" s="439">
        <v>0</v>
      </c>
      <c r="E27" s="492">
        <v>0</v>
      </c>
      <c r="F27" s="492"/>
      <c r="G27" s="492"/>
      <c r="H27" s="492"/>
      <c r="I27" s="401">
        <v>0</v>
      </c>
      <c r="J27" s="401">
        <v>0</v>
      </c>
      <c r="K27" s="401">
        <v>0</v>
      </c>
      <c r="L27" s="402">
        <v>0</v>
      </c>
    </row>
    <row r="28" spans="1:12" ht="15" hidden="1" customHeight="1" outlineLevel="1" thickBot="1" x14ac:dyDescent="0.35">
      <c r="A28" s="387" t="s">
        <v>59</v>
      </c>
      <c r="B28" s="411">
        <f t="shared" si="1"/>
        <v>0</v>
      </c>
      <c r="C28" s="420">
        <v>0</v>
      </c>
      <c r="D28" s="438">
        <v>0</v>
      </c>
      <c r="E28" s="487">
        <v>0</v>
      </c>
      <c r="F28" s="487"/>
      <c r="G28" s="487"/>
      <c r="H28" s="487"/>
      <c r="I28" s="405">
        <v>0</v>
      </c>
      <c r="J28" s="405">
        <v>0</v>
      </c>
      <c r="K28" s="405">
        <v>0</v>
      </c>
      <c r="L28" s="406">
        <v>0</v>
      </c>
    </row>
    <row r="29" spans="1:12" x14ac:dyDescent="0.3">
      <c r="A29" s="388"/>
      <c r="B29" s="388"/>
      <c r="C29" s="389"/>
      <c r="D29" s="388"/>
      <c r="E29" s="389"/>
      <c r="F29" s="388"/>
      <c r="G29" s="388"/>
      <c r="H29" s="388"/>
      <c r="I29" s="388"/>
      <c r="J29" s="388"/>
      <c r="K29" s="388"/>
      <c r="L29" s="388"/>
    </row>
    <row r="30" spans="1:12" x14ac:dyDescent="0.3">
      <c r="A30" s="218" t="s">
        <v>181</v>
      </c>
      <c r="B30" s="246"/>
      <c r="C30" s="246"/>
      <c r="D30" s="246"/>
      <c r="E30" s="246"/>
      <c r="F30" s="246"/>
      <c r="G30" s="246"/>
      <c r="H30" s="267"/>
      <c r="I30" s="267"/>
      <c r="J30" s="267"/>
      <c r="K30" s="267"/>
      <c r="L30" s="267"/>
    </row>
    <row r="31" spans="1:12" ht="14.4" customHeight="1" x14ac:dyDescent="0.3">
      <c r="A31" s="436" t="s">
        <v>269</v>
      </c>
      <c r="B31" s="437"/>
      <c r="C31" s="437"/>
      <c r="D31" s="437"/>
      <c r="E31" s="437"/>
      <c r="F31" s="437"/>
      <c r="G31" s="437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365"/>
  </cols>
  <sheetData>
    <row r="1" spans="1:18" x14ac:dyDescent="0.3">
      <c r="A1" s="365" t="s">
        <v>1191</v>
      </c>
    </row>
    <row r="2" spans="1:18" x14ac:dyDescent="0.3">
      <c r="A2" s="369" t="s">
        <v>271</v>
      </c>
    </row>
    <row r="3" spans="1:18" x14ac:dyDescent="0.3">
      <c r="B3" s="366">
        <f>MAX(B5:B1048576)</f>
        <v>2</v>
      </c>
      <c r="D3" s="366">
        <f t="shared" ref="D3:G3" si="0">SUM(D5:D1048576)</f>
        <v>4618648.38</v>
      </c>
      <c r="E3" s="366">
        <f t="shared" si="0"/>
        <v>12168</v>
      </c>
      <c r="F3" s="366">
        <f t="shared" si="0"/>
        <v>1303311</v>
      </c>
      <c r="G3" s="366">
        <f t="shared" si="0"/>
        <v>0</v>
      </c>
      <c r="H3" s="366">
        <f t="shared" ref="H3:O3" si="1">SUM(H5:H1048576)</f>
        <v>0</v>
      </c>
      <c r="I3" s="366">
        <f t="shared" si="1"/>
        <v>3139458.38</v>
      </c>
      <c r="J3" s="366">
        <f t="shared" si="1"/>
        <v>0</v>
      </c>
      <c r="K3" s="366">
        <f t="shared" si="1"/>
        <v>0</v>
      </c>
      <c r="L3" s="366">
        <f t="shared" si="1"/>
        <v>119867</v>
      </c>
      <c r="M3" s="366">
        <f t="shared" si="1"/>
        <v>0</v>
      </c>
      <c r="N3" s="366">
        <f t="shared" si="1"/>
        <v>43844</v>
      </c>
      <c r="O3" s="366">
        <f t="shared" si="1"/>
        <v>0</v>
      </c>
      <c r="Q3" s="365" t="s">
        <v>230</v>
      </c>
      <c r="R3" s="392">
        <v>2014</v>
      </c>
    </row>
    <row r="4" spans="1:18" x14ac:dyDescent="0.3">
      <c r="A4" s="367" t="s">
        <v>8</v>
      </c>
      <c r="B4" s="368" t="s">
        <v>58</v>
      </c>
      <c r="C4" s="368" t="s">
        <v>218</v>
      </c>
      <c r="D4" s="368" t="s">
        <v>6</v>
      </c>
      <c r="E4" s="368" t="s">
        <v>219</v>
      </c>
      <c r="F4" s="368" t="s">
        <v>220</v>
      </c>
      <c r="G4" s="368" t="s">
        <v>221</v>
      </c>
      <c r="H4" s="368" t="s">
        <v>222</v>
      </c>
      <c r="I4" s="368" t="s">
        <v>223</v>
      </c>
      <c r="J4" s="368" t="s">
        <v>224</v>
      </c>
      <c r="K4" s="368" t="s">
        <v>225</v>
      </c>
      <c r="L4" s="368" t="s">
        <v>226</v>
      </c>
      <c r="M4" s="368" t="s">
        <v>227</v>
      </c>
      <c r="N4" s="368" t="s">
        <v>228</v>
      </c>
      <c r="O4" s="368" t="s">
        <v>229</v>
      </c>
      <c r="Q4" s="365" t="s">
        <v>231</v>
      </c>
      <c r="R4" s="392">
        <v>1</v>
      </c>
    </row>
    <row r="5" spans="1:18" x14ac:dyDescent="0.3">
      <c r="A5" s="365">
        <v>9</v>
      </c>
      <c r="B5" s="365">
        <v>1</v>
      </c>
      <c r="C5" s="365">
        <v>1</v>
      </c>
      <c r="D5" s="365">
        <v>67.25</v>
      </c>
      <c r="E5" s="365">
        <v>0</v>
      </c>
      <c r="F5" s="365">
        <v>8.5</v>
      </c>
      <c r="G5" s="365">
        <v>0</v>
      </c>
      <c r="H5" s="365">
        <v>0</v>
      </c>
      <c r="I5" s="365">
        <v>53.75</v>
      </c>
      <c r="J5" s="365">
        <v>0</v>
      </c>
      <c r="K5" s="365">
        <v>0</v>
      </c>
      <c r="L5" s="365">
        <v>4</v>
      </c>
      <c r="M5" s="365">
        <v>0</v>
      </c>
      <c r="N5" s="365">
        <v>1</v>
      </c>
      <c r="O5" s="365">
        <v>0</v>
      </c>
      <c r="Q5" s="365" t="s">
        <v>232</v>
      </c>
      <c r="R5" s="392">
        <v>2</v>
      </c>
    </row>
    <row r="6" spans="1:18" x14ac:dyDescent="0.3">
      <c r="A6" s="365">
        <v>9</v>
      </c>
      <c r="B6" s="365">
        <v>1</v>
      </c>
      <c r="C6" s="365">
        <v>2</v>
      </c>
      <c r="D6" s="365">
        <v>11056.63</v>
      </c>
      <c r="E6" s="365">
        <v>0</v>
      </c>
      <c r="F6" s="365">
        <v>1516</v>
      </c>
      <c r="G6" s="365">
        <v>0</v>
      </c>
      <c r="H6" s="365">
        <v>0</v>
      </c>
      <c r="I6" s="365">
        <v>8660.6299999999992</v>
      </c>
      <c r="J6" s="365">
        <v>0</v>
      </c>
      <c r="K6" s="365">
        <v>0</v>
      </c>
      <c r="L6" s="365">
        <v>704</v>
      </c>
      <c r="M6" s="365">
        <v>0</v>
      </c>
      <c r="N6" s="365">
        <v>176</v>
      </c>
      <c r="O6" s="365">
        <v>0</v>
      </c>
      <c r="Q6" s="365" t="s">
        <v>233</v>
      </c>
      <c r="R6" s="392">
        <v>3</v>
      </c>
    </row>
    <row r="7" spans="1:18" x14ac:dyDescent="0.3">
      <c r="A7" s="365">
        <v>9</v>
      </c>
      <c r="B7" s="365">
        <v>1</v>
      </c>
      <c r="C7" s="365">
        <v>3</v>
      </c>
      <c r="D7" s="365">
        <v>36</v>
      </c>
      <c r="E7" s="365">
        <v>0</v>
      </c>
      <c r="F7" s="365">
        <v>36</v>
      </c>
      <c r="G7" s="365">
        <v>0</v>
      </c>
      <c r="H7" s="365">
        <v>0</v>
      </c>
      <c r="I7" s="365">
        <v>0</v>
      </c>
      <c r="J7" s="365">
        <v>0</v>
      </c>
      <c r="K7" s="365">
        <v>0</v>
      </c>
      <c r="L7" s="365">
        <v>0</v>
      </c>
      <c r="M7" s="365">
        <v>0</v>
      </c>
      <c r="N7" s="365">
        <v>0</v>
      </c>
      <c r="O7" s="365">
        <v>0</v>
      </c>
      <c r="Q7" s="365" t="s">
        <v>234</v>
      </c>
      <c r="R7" s="392">
        <v>4</v>
      </c>
    </row>
    <row r="8" spans="1:18" x14ac:dyDescent="0.3">
      <c r="A8" s="365">
        <v>9</v>
      </c>
      <c r="B8" s="365">
        <v>1</v>
      </c>
      <c r="C8" s="365">
        <v>4</v>
      </c>
      <c r="D8" s="365">
        <v>226</v>
      </c>
      <c r="E8" s="365">
        <v>0</v>
      </c>
      <c r="F8" s="365">
        <v>216</v>
      </c>
      <c r="G8" s="365">
        <v>0</v>
      </c>
      <c r="H8" s="365">
        <v>0</v>
      </c>
      <c r="I8" s="365">
        <v>0</v>
      </c>
      <c r="J8" s="365">
        <v>0</v>
      </c>
      <c r="K8" s="365">
        <v>0</v>
      </c>
      <c r="L8" s="365">
        <v>10</v>
      </c>
      <c r="M8" s="365">
        <v>0</v>
      </c>
      <c r="N8" s="365">
        <v>0</v>
      </c>
      <c r="O8" s="365">
        <v>0</v>
      </c>
      <c r="Q8" s="365" t="s">
        <v>235</v>
      </c>
      <c r="R8" s="392">
        <v>5</v>
      </c>
    </row>
    <row r="9" spans="1:18" x14ac:dyDescent="0.3">
      <c r="A9" s="365">
        <v>9</v>
      </c>
      <c r="B9" s="365">
        <v>1</v>
      </c>
      <c r="C9" s="365">
        <v>5</v>
      </c>
      <c r="D9" s="365">
        <v>36</v>
      </c>
      <c r="E9" s="365">
        <v>36</v>
      </c>
      <c r="F9" s="365">
        <v>0</v>
      </c>
      <c r="G9" s="365">
        <v>0</v>
      </c>
      <c r="H9" s="365">
        <v>0</v>
      </c>
      <c r="I9" s="365">
        <v>0</v>
      </c>
      <c r="J9" s="365">
        <v>0</v>
      </c>
      <c r="K9" s="365">
        <v>0</v>
      </c>
      <c r="L9" s="365">
        <v>0</v>
      </c>
      <c r="M9" s="365">
        <v>0</v>
      </c>
      <c r="N9" s="365">
        <v>0</v>
      </c>
      <c r="O9" s="365">
        <v>0</v>
      </c>
      <c r="Q9" s="365" t="s">
        <v>236</v>
      </c>
      <c r="R9" s="392">
        <v>6</v>
      </c>
    </row>
    <row r="10" spans="1:18" x14ac:dyDescent="0.3">
      <c r="A10" s="365">
        <v>9</v>
      </c>
      <c r="B10" s="365">
        <v>1</v>
      </c>
      <c r="C10" s="365">
        <v>6</v>
      </c>
      <c r="D10" s="365">
        <v>2323475</v>
      </c>
      <c r="E10" s="365">
        <v>9120</v>
      </c>
      <c r="F10" s="365">
        <v>654787</v>
      </c>
      <c r="G10" s="365">
        <v>0</v>
      </c>
      <c r="H10" s="365">
        <v>0</v>
      </c>
      <c r="I10" s="365">
        <v>1576701</v>
      </c>
      <c r="J10" s="365">
        <v>0</v>
      </c>
      <c r="K10" s="365">
        <v>0</v>
      </c>
      <c r="L10" s="365">
        <v>60921</v>
      </c>
      <c r="M10" s="365">
        <v>0</v>
      </c>
      <c r="N10" s="365">
        <v>21946</v>
      </c>
      <c r="O10" s="365">
        <v>0</v>
      </c>
      <c r="Q10" s="365" t="s">
        <v>237</v>
      </c>
      <c r="R10" s="392">
        <v>7</v>
      </c>
    </row>
    <row r="11" spans="1:18" x14ac:dyDescent="0.3">
      <c r="A11" s="365">
        <v>9</v>
      </c>
      <c r="B11" s="365">
        <v>2</v>
      </c>
      <c r="C11" s="365">
        <v>1</v>
      </c>
      <c r="D11" s="365">
        <v>66.75</v>
      </c>
      <c r="E11" s="365">
        <v>0</v>
      </c>
      <c r="F11" s="365">
        <v>8.5</v>
      </c>
      <c r="G11" s="365">
        <v>0</v>
      </c>
      <c r="H11" s="365">
        <v>0</v>
      </c>
      <c r="I11" s="365">
        <v>53.25</v>
      </c>
      <c r="J11" s="365">
        <v>0</v>
      </c>
      <c r="K11" s="365">
        <v>0</v>
      </c>
      <c r="L11" s="365">
        <v>4</v>
      </c>
      <c r="M11" s="365">
        <v>0</v>
      </c>
      <c r="N11" s="365">
        <v>1</v>
      </c>
      <c r="O11" s="365">
        <v>0</v>
      </c>
      <c r="Q11" s="365" t="s">
        <v>238</v>
      </c>
      <c r="R11" s="392">
        <v>8</v>
      </c>
    </row>
    <row r="12" spans="1:18" x14ac:dyDescent="0.3">
      <c r="A12" s="365">
        <v>9</v>
      </c>
      <c r="B12" s="365">
        <v>2</v>
      </c>
      <c r="C12" s="365">
        <v>2</v>
      </c>
      <c r="D12" s="365">
        <v>8716.75</v>
      </c>
      <c r="E12" s="365">
        <v>0</v>
      </c>
      <c r="F12" s="365">
        <v>1344</v>
      </c>
      <c r="G12" s="365">
        <v>0</v>
      </c>
      <c r="H12" s="365">
        <v>0</v>
      </c>
      <c r="I12" s="365">
        <v>6604.75</v>
      </c>
      <c r="J12" s="365">
        <v>0</v>
      </c>
      <c r="K12" s="365">
        <v>0</v>
      </c>
      <c r="L12" s="365">
        <v>608</v>
      </c>
      <c r="M12" s="365">
        <v>0</v>
      </c>
      <c r="N12" s="365">
        <v>160</v>
      </c>
      <c r="O12" s="365">
        <v>0</v>
      </c>
      <c r="Q12" s="365" t="s">
        <v>239</v>
      </c>
      <c r="R12" s="392">
        <v>9</v>
      </c>
    </row>
    <row r="13" spans="1:18" x14ac:dyDescent="0.3">
      <c r="A13" s="365">
        <v>9</v>
      </c>
      <c r="B13" s="365">
        <v>2</v>
      </c>
      <c r="C13" s="365">
        <v>3</v>
      </c>
      <c r="D13" s="365">
        <v>48</v>
      </c>
      <c r="E13" s="365">
        <v>0</v>
      </c>
      <c r="F13" s="365">
        <v>36</v>
      </c>
      <c r="G13" s="365">
        <v>0</v>
      </c>
      <c r="H13" s="365">
        <v>0</v>
      </c>
      <c r="I13" s="365">
        <v>12</v>
      </c>
      <c r="J13" s="365">
        <v>0</v>
      </c>
      <c r="K13" s="365">
        <v>0</v>
      </c>
      <c r="L13" s="365">
        <v>0</v>
      </c>
      <c r="M13" s="365">
        <v>0</v>
      </c>
      <c r="N13" s="365">
        <v>0</v>
      </c>
      <c r="O13" s="365">
        <v>0</v>
      </c>
      <c r="Q13" s="365" t="s">
        <v>240</v>
      </c>
      <c r="R13" s="392">
        <v>10</v>
      </c>
    </row>
    <row r="14" spans="1:18" x14ac:dyDescent="0.3">
      <c r="A14" s="365">
        <v>9</v>
      </c>
      <c r="B14" s="365">
        <v>2</v>
      </c>
      <c r="C14" s="365">
        <v>4</v>
      </c>
      <c r="D14" s="365">
        <v>216</v>
      </c>
      <c r="E14" s="365">
        <v>0</v>
      </c>
      <c r="F14" s="365">
        <v>216</v>
      </c>
      <c r="G14" s="365">
        <v>0</v>
      </c>
      <c r="H14" s="365">
        <v>0</v>
      </c>
      <c r="I14" s="365">
        <v>0</v>
      </c>
      <c r="J14" s="365">
        <v>0</v>
      </c>
      <c r="K14" s="365">
        <v>0</v>
      </c>
      <c r="L14" s="365">
        <v>0</v>
      </c>
      <c r="M14" s="365">
        <v>0</v>
      </c>
      <c r="N14" s="365">
        <v>0</v>
      </c>
      <c r="O14" s="365">
        <v>0</v>
      </c>
      <c r="Q14" s="365" t="s">
        <v>241</v>
      </c>
      <c r="R14" s="392">
        <v>11</v>
      </c>
    </row>
    <row r="15" spans="1:18" x14ac:dyDescent="0.3">
      <c r="A15" s="365">
        <v>9</v>
      </c>
      <c r="B15" s="365">
        <v>2</v>
      </c>
      <c r="C15" s="365">
        <v>5</v>
      </c>
      <c r="D15" s="365">
        <v>12</v>
      </c>
      <c r="E15" s="365">
        <v>12</v>
      </c>
      <c r="F15" s="365">
        <v>0</v>
      </c>
      <c r="G15" s="365">
        <v>0</v>
      </c>
      <c r="H15" s="365">
        <v>0</v>
      </c>
      <c r="I15" s="365">
        <v>0</v>
      </c>
      <c r="J15" s="365">
        <v>0</v>
      </c>
      <c r="K15" s="365">
        <v>0</v>
      </c>
      <c r="L15" s="365">
        <v>0</v>
      </c>
      <c r="M15" s="365">
        <v>0</v>
      </c>
      <c r="N15" s="365">
        <v>0</v>
      </c>
      <c r="O15" s="365">
        <v>0</v>
      </c>
      <c r="Q15" s="365" t="s">
        <v>242</v>
      </c>
      <c r="R15" s="392">
        <v>12</v>
      </c>
    </row>
    <row r="16" spans="1:18" x14ac:dyDescent="0.3">
      <c r="A16" s="365">
        <v>9</v>
      </c>
      <c r="B16" s="365">
        <v>2</v>
      </c>
      <c r="C16" s="365">
        <v>6</v>
      </c>
      <c r="D16" s="365">
        <v>2274692</v>
      </c>
      <c r="E16" s="365">
        <v>3000</v>
      </c>
      <c r="F16" s="365">
        <v>645143</v>
      </c>
      <c r="G16" s="365">
        <v>0</v>
      </c>
      <c r="H16" s="365">
        <v>0</v>
      </c>
      <c r="I16" s="365">
        <v>1547373</v>
      </c>
      <c r="J16" s="365">
        <v>0</v>
      </c>
      <c r="K16" s="365">
        <v>0</v>
      </c>
      <c r="L16" s="365">
        <v>57616</v>
      </c>
      <c r="M16" s="365">
        <v>0</v>
      </c>
      <c r="N16" s="365">
        <v>21560</v>
      </c>
      <c r="O16" s="365">
        <v>0</v>
      </c>
      <c r="Q16" s="365" t="s">
        <v>230</v>
      </c>
      <c r="R16" s="392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46" bestFit="1" customWidth="1"/>
    <col min="2" max="2" width="7.77734375" style="211" customWidth="1"/>
    <col min="3" max="3" width="0.109375" style="246" hidden="1" customWidth="1"/>
    <col min="4" max="4" width="7.77734375" style="211" customWidth="1"/>
    <col min="5" max="5" width="5.44140625" style="246" hidden="1" customWidth="1"/>
    <col min="6" max="6" width="7.77734375" style="211" customWidth="1"/>
    <col min="7" max="7" width="7.77734375" style="330" customWidth="1"/>
    <col min="8" max="8" width="7.77734375" style="211" customWidth="1"/>
    <col min="9" max="9" width="5.44140625" style="246" hidden="1" customWidth="1"/>
    <col min="10" max="10" width="7.77734375" style="211" customWidth="1"/>
    <col min="11" max="11" width="5.44140625" style="246" hidden="1" customWidth="1"/>
    <col min="12" max="12" width="7.77734375" style="211" customWidth="1"/>
    <col min="13" max="13" width="7.77734375" style="330" customWidth="1"/>
    <col min="14" max="14" width="7.77734375" style="211" customWidth="1"/>
    <col min="15" max="15" width="5" style="246" hidden="1" customWidth="1"/>
    <col min="16" max="16" width="7.77734375" style="211" customWidth="1"/>
    <col min="17" max="17" width="5" style="246" hidden="1" customWidth="1"/>
    <col min="18" max="18" width="7.77734375" style="211" customWidth="1"/>
    <col min="19" max="19" width="7.77734375" style="330" customWidth="1"/>
    <col min="20" max="16384" width="8.88671875" style="246"/>
  </cols>
  <sheetData>
    <row r="1" spans="1:19" ht="18.600000000000001" customHeight="1" thickBot="1" x14ac:dyDescent="0.4">
      <c r="A1" s="454" t="s">
        <v>143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</row>
    <row r="2" spans="1:19" ht="14.4" customHeight="1" thickBot="1" x14ac:dyDescent="0.35">
      <c r="A2" s="369" t="s">
        <v>271</v>
      </c>
      <c r="B2" s="342"/>
      <c r="C2" s="216"/>
      <c r="D2" s="342"/>
      <c r="E2" s="216"/>
      <c r="F2" s="342"/>
      <c r="G2" s="343"/>
      <c r="H2" s="342"/>
      <c r="I2" s="216"/>
      <c r="J2" s="342"/>
      <c r="K2" s="216"/>
      <c r="L2" s="342"/>
      <c r="M2" s="343"/>
      <c r="N2" s="342"/>
      <c r="O2" s="216"/>
      <c r="P2" s="342"/>
      <c r="Q2" s="216"/>
      <c r="R2" s="342"/>
      <c r="S2" s="343"/>
    </row>
    <row r="3" spans="1:19" ht="14.4" customHeight="1" thickBot="1" x14ac:dyDescent="0.35">
      <c r="A3" s="336" t="s">
        <v>145</v>
      </c>
      <c r="B3" s="337">
        <f>SUBTOTAL(9,B6:B1048576)</f>
        <v>9852571</v>
      </c>
      <c r="C3" s="338">
        <f t="shared" ref="C3:R3" si="0">SUBTOTAL(9,C6:C1048576)</f>
        <v>1</v>
      </c>
      <c r="D3" s="338">
        <f t="shared" si="0"/>
        <v>11158045</v>
      </c>
      <c r="E3" s="338">
        <f t="shared" si="0"/>
        <v>1.1325008467333044</v>
      </c>
      <c r="F3" s="338">
        <f t="shared" si="0"/>
        <v>9848065</v>
      </c>
      <c r="G3" s="341">
        <f>IF(B3&lt;&gt;0,F3/B3,"")</f>
        <v>0.9995426574444376</v>
      </c>
      <c r="H3" s="337">
        <f t="shared" si="0"/>
        <v>190375.24000000002</v>
      </c>
      <c r="I3" s="338">
        <f t="shared" si="0"/>
        <v>1</v>
      </c>
      <c r="J3" s="338">
        <f t="shared" si="0"/>
        <v>95768.930000000037</v>
      </c>
      <c r="K3" s="338">
        <f t="shared" si="0"/>
        <v>0.50305349582225101</v>
      </c>
      <c r="L3" s="338">
        <f t="shared" si="0"/>
        <v>128662.54000000002</v>
      </c>
      <c r="M3" s="339">
        <f>IF(H3&lt;&gt;0,L3/H3,"")</f>
        <v>0.67583652159808183</v>
      </c>
      <c r="N3" s="340">
        <f t="shared" si="0"/>
        <v>48111.38</v>
      </c>
      <c r="O3" s="338">
        <f t="shared" si="0"/>
        <v>1</v>
      </c>
      <c r="P3" s="338">
        <f t="shared" si="0"/>
        <v>0</v>
      </c>
      <c r="Q3" s="338">
        <f t="shared" si="0"/>
        <v>0</v>
      </c>
      <c r="R3" s="338">
        <f t="shared" si="0"/>
        <v>0</v>
      </c>
      <c r="S3" s="339">
        <f>IF(N3&lt;&gt;0,R3/N3,"")</f>
        <v>0</v>
      </c>
    </row>
    <row r="4" spans="1:19" ht="14.4" customHeight="1" x14ac:dyDescent="0.3">
      <c r="A4" s="495" t="s">
        <v>119</v>
      </c>
      <c r="B4" s="496" t="s">
        <v>113</v>
      </c>
      <c r="C4" s="497"/>
      <c r="D4" s="497"/>
      <c r="E4" s="497"/>
      <c r="F4" s="497"/>
      <c r="G4" s="498"/>
      <c r="H4" s="496" t="s">
        <v>114</v>
      </c>
      <c r="I4" s="497"/>
      <c r="J4" s="497"/>
      <c r="K4" s="497"/>
      <c r="L4" s="497"/>
      <c r="M4" s="498"/>
      <c r="N4" s="496" t="s">
        <v>115</v>
      </c>
      <c r="O4" s="497"/>
      <c r="P4" s="497"/>
      <c r="Q4" s="497"/>
      <c r="R4" s="497"/>
      <c r="S4" s="498"/>
    </row>
    <row r="5" spans="1:19" ht="14.4" customHeight="1" thickBot="1" x14ac:dyDescent="0.35">
      <c r="A5" s="629"/>
      <c r="B5" s="630">
        <v>2012</v>
      </c>
      <c r="C5" s="631"/>
      <c r="D5" s="631">
        <v>2013</v>
      </c>
      <c r="E5" s="631"/>
      <c r="F5" s="631">
        <v>2014</v>
      </c>
      <c r="G5" s="632" t="s">
        <v>5</v>
      </c>
      <c r="H5" s="630">
        <v>2012</v>
      </c>
      <c r="I5" s="631"/>
      <c r="J5" s="631">
        <v>2013</v>
      </c>
      <c r="K5" s="631"/>
      <c r="L5" s="631">
        <v>2014</v>
      </c>
      <c r="M5" s="632" t="s">
        <v>5</v>
      </c>
      <c r="N5" s="630">
        <v>2012</v>
      </c>
      <c r="O5" s="631"/>
      <c r="P5" s="631">
        <v>2013</v>
      </c>
      <c r="Q5" s="631"/>
      <c r="R5" s="631">
        <v>2014</v>
      </c>
      <c r="S5" s="632" t="s">
        <v>5</v>
      </c>
    </row>
    <row r="6" spans="1:19" ht="14.4" customHeight="1" thickBot="1" x14ac:dyDescent="0.35">
      <c r="A6" s="636" t="s">
        <v>1192</v>
      </c>
      <c r="B6" s="633">
        <v>9852571</v>
      </c>
      <c r="C6" s="634">
        <v>1</v>
      </c>
      <c r="D6" s="633">
        <v>11158045</v>
      </c>
      <c r="E6" s="634">
        <v>1.1325008467333044</v>
      </c>
      <c r="F6" s="633">
        <v>9848065</v>
      </c>
      <c r="G6" s="617">
        <v>0.9995426574444376</v>
      </c>
      <c r="H6" s="633">
        <v>190375.24000000002</v>
      </c>
      <c r="I6" s="634">
        <v>1</v>
      </c>
      <c r="J6" s="633">
        <v>95768.930000000037</v>
      </c>
      <c r="K6" s="634">
        <v>0.50305349582225101</v>
      </c>
      <c r="L6" s="633">
        <v>128662.54000000002</v>
      </c>
      <c r="M6" s="617">
        <v>0.67583652159808183</v>
      </c>
      <c r="N6" s="633">
        <v>48111.38</v>
      </c>
      <c r="O6" s="634">
        <v>1</v>
      </c>
      <c r="P6" s="633"/>
      <c r="Q6" s="634"/>
      <c r="R6" s="633"/>
      <c r="S6" s="63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46" bestFit="1" customWidth="1"/>
    <col min="2" max="2" width="8.6640625" style="246" bestFit="1" customWidth="1"/>
    <col min="3" max="3" width="2.109375" style="246" bestFit="1" customWidth="1"/>
    <col min="4" max="4" width="8" style="246" bestFit="1" customWidth="1"/>
    <col min="5" max="5" width="52.88671875" style="246" bestFit="1" customWidth="1"/>
    <col min="6" max="7" width="11.109375" style="327" customWidth="1"/>
    <col min="8" max="9" width="9.33203125" style="327" hidden="1" customWidth="1"/>
    <col min="10" max="11" width="11.109375" style="327" customWidth="1"/>
    <col min="12" max="13" width="9.33203125" style="327" hidden="1" customWidth="1"/>
    <col min="14" max="15" width="11.109375" style="327" customWidth="1"/>
    <col min="16" max="16" width="11.109375" style="330" customWidth="1"/>
    <col min="17" max="17" width="11.109375" style="327" customWidth="1"/>
    <col min="18" max="16384" width="8.88671875" style="246"/>
  </cols>
  <sheetData>
    <row r="1" spans="1:17" ht="18.600000000000001" customHeight="1" thickBot="1" x14ac:dyDescent="0.4">
      <c r="A1" s="445" t="s">
        <v>1317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</row>
    <row r="2" spans="1:17" ht="14.4" customHeight="1" thickBot="1" x14ac:dyDescent="0.35">
      <c r="A2" s="369" t="s">
        <v>271</v>
      </c>
      <c r="B2" s="247"/>
      <c r="C2" s="247"/>
      <c r="D2" s="247"/>
      <c r="E2" s="247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5"/>
      <c r="Q2" s="344"/>
    </row>
    <row r="3" spans="1:17" ht="14.4" customHeight="1" thickBot="1" x14ac:dyDescent="0.35">
      <c r="E3" s="99" t="s">
        <v>145</v>
      </c>
      <c r="F3" s="203">
        <f t="shared" ref="F3:O3" si="0">SUBTOTAL(9,F6:F1048576)</f>
        <v>4010.9999999999995</v>
      </c>
      <c r="G3" s="204">
        <f t="shared" si="0"/>
        <v>10091057.619999999</v>
      </c>
      <c r="H3" s="204"/>
      <c r="I3" s="204"/>
      <c r="J3" s="204">
        <f t="shared" si="0"/>
        <v>5169.68</v>
      </c>
      <c r="K3" s="204">
        <f t="shared" si="0"/>
        <v>11253813.93</v>
      </c>
      <c r="L3" s="204"/>
      <c r="M3" s="204"/>
      <c r="N3" s="204">
        <f t="shared" si="0"/>
        <v>4298.0599999999995</v>
      </c>
      <c r="O3" s="204">
        <f t="shared" si="0"/>
        <v>9976727.5399999991</v>
      </c>
      <c r="P3" s="70">
        <f>IF(G3=0,0,O3/G3)</f>
        <v>0.98867015883712694</v>
      </c>
      <c r="Q3" s="205">
        <f>IF(N3=0,0,O3/N3)</f>
        <v>2321.2164418365496</v>
      </c>
    </row>
    <row r="4" spans="1:17" ht="14.4" customHeight="1" x14ac:dyDescent="0.3">
      <c r="A4" s="501" t="s">
        <v>64</v>
      </c>
      <c r="B4" s="500" t="s">
        <v>109</v>
      </c>
      <c r="C4" s="501" t="s">
        <v>110</v>
      </c>
      <c r="D4" s="502" t="s">
        <v>111</v>
      </c>
      <c r="E4" s="503" t="s">
        <v>71</v>
      </c>
      <c r="F4" s="504">
        <v>2012</v>
      </c>
      <c r="G4" s="505"/>
      <c r="H4" s="206"/>
      <c r="I4" s="206"/>
      <c r="J4" s="504">
        <v>2013</v>
      </c>
      <c r="K4" s="505"/>
      <c r="L4" s="206"/>
      <c r="M4" s="206"/>
      <c r="N4" s="504">
        <v>2014</v>
      </c>
      <c r="O4" s="505"/>
      <c r="P4" s="506" t="s">
        <v>5</v>
      </c>
      <c r="Q4" s="499" t="s">
        <v>112</v>
      </c>
    </row>
    <row r="5" spans="1:17" ht="14.4" customHeight="1" thickBot="1" x14ac:dyDescent="0.35">
      <c r="A5" s="637"/>
      <c r="B5" s="638"/>
      <c r="C5" s="637"/>
      <c r="D5" s="639"/>
      <c r="E5" s="640"/>
      <c r="F5" s="641" t="s">
        <v>81</v>
      </c>
      <c r="G5" s="642" t="s">
        <v>17</v>
      </c>
      <c r="H5" s="643"/>
      <c r="I5" s="643"/>
      <c r="J5" s="641" t="s">
        <v>81</v>
      </c>
      <c r="K5" s="642" t="s">
        <v>17</v>
      </c>
      <c r="L5" s="643"/>
      <c r="M5" s="643"/>
      <c r="N5" s="641" t="s">
        <v>81</v>
      </c>
      <c r="O5" s="642" t="s">
        <v>17</v>
      </c>
      <c r="P5" s="644"/>
      <c r="Q5" s="645"/>
    </row>
    <row r="6" spans="1:17" ht="14.4" customHeight="1" x14ac:dyDescent="0.3">
      <c r="A6" s="589" t="s">
        <v>496</v>
      </c>
      <c r="B6" s="590" t="s">
        <v>1193</v>
      </c>
      <c r="C6" s="590" t="s">
        <v>1194</v>
      </c>
      <c r="D6" s="590" t="s">
        <v>1195</v>
      </c>
      <c r="E6" s="590" t="s">
        <v>1196</v>
      </c>
      <c r="F6" s="593">
        <v>1.4000000000000001</v>
      </c>
      <c r="G6" s="593">
        <v>163.79999999999998</v>
      </c>
      <c r="H6" s="593">
        <v>1</v>
      </c>
      <c r="I6" s="593">
        <v>116.99999999999997</v>
      </c>
      <c r="J6" s="593">
        <v>1.6</v>
      </c>
      <c r="K6" s="593">
        <v>188.64</v>
      </c>
      <c r="L6" s="593">
        <v>1.1516483516483518</v>
      </c>
      <c r="M6" s="593">
        <v>117.89999999999999</v>
      </c>
      <c r="N6" s="593">
        <v>0.3</v>
      </c>
      <c r="O6" s="593">
        <v>42.36</v>
      </c>
      <c r="P6" s="611">
        <v>0.25860805860805863</v>
      </c>
      <c r="Q6" s="594">
        <v>141.20000000000002</v>
      </c>
    </row>
    <row r="7" spans="1:17" ht="14.4" customHeight="1" x14ac:dyDescent="0.3">
      <c r="A7" s="595" t="s">
        <v>496</v>
      </c>
      <c r="B7" s="596" t="s">
        <v>1193</v>
      </c>
      <c r="C7" s="596" t="s">
        <v>1194</v>
      </c>
      <c r="D7" s="596" t="s">
        <v>1197</v>
      </c>
      <c r="E7" s="596" t="s">
        <v>693</v>
      </c>
      <c r="F7" s="599"/>
      <c r="G7" s="599"/>
      <c r="H7" s="599"/>
      <c r="I7" s="599"/>
      <c r="J7" s="599"/>
      <c r="K7" s="599"/>
      <c r="L7" s="599"/>
      <c r="M7" s="599"/>
      <c r="N7" s="599">
        <v>0.4</v>
      </c>
      <c r="O7" s="599">
        <v>100.6</v>
      </c>
      <c r="P7" s="612"/>
      <c r="Q7" s="600">
        <v>251.49999999999997</v>
      </c>
    </row>
    <row r="8" spans="1:17" ht="14.4" customHeight="1" x14ac:dyDescent="0.3">
      <c r="A8" s="595" t="s">
        <v>496</v>
      </c>
      <c r="B8" s="596" t="s">
        <v>1193</v>
      </c>
      <c r="C8" s="596" t="s">
        <v>1194</v>
      </c>
      <c r="D8" s="596" t="s">
        <v>1198</v>
      </c>
      <c r="E8" s="596" t="s">
        <v>1199</v>
      </c>
      <c r="F8" s="599"/>
      <c r="G8" s="599"/>
      <c r="H8" s="599"/>
      <c r="I8" s="599"/>
      <c r="J8" s="599">
        <v>0.2</v>
      </c>
      <c r="K8" s="599">
        <v>88.64</v>
      </c>
      <c r="L8" s="599"/>
      <c r="M8" s="599">
        <v>443.2</v>
      </c>
      <c r="N8" s="599"/>
      <c r="O8" s="599"/>
      <c r="P8" s="612"/>
      <c r="Q8" s="600"/>
    </row>
    <row r="9" spans="1:17" ht="14.4" customHeight="1" x14ac:dyDescent="0.3">
      <c r="A9" s="595" t="s">
        <v>496</v>
      </c>
      <c r="B9" s="596" t="s">
        <v>1193</v>
      </c>
      <c r="C9" s="596" t="s">
        <v>1194</v>
      </c>
      <c r="D9" s="596" t="s">
        <v>1200</v>
      </c>
      <c r="E9" s="596" t="s">
        <v>1201</v>
      </c>
      <c r="F9" s="599"/>
      <c r="G9" s="599"/>
      <c r="H9" s="599"/>
      <c r="I9" s="599"/>
      <c r="J9" s="599">
        <v>1</v>
      </c>
      <c r="K9" s="599">
        <v>114.58</v>
      </c>
      <c r="L9" s="599"/>
      <c r="M9" s="599">
        <v>114.58</v>
      </c>
      <c r="N9" s="599"/>
      <c r="O9" s="599"/>
      <c r="P9" s="612"/>
      <c r="Q9" s="600"/>
    </row>
    <row r="10" spans="1:17" ht="14.4" customHeight="1" x14ac:dyDescent="0.3">
      <c r="A10" s="595" t="s">
        <v>496</v>
      </c>
      <c r="B10" s="596" t="s">
        <v>1193</v>
      </c>
      <c r="C10" s="596" t="s">
        <v>1194</v>
      </c>
      <c r="D10" s="596" t="s">
        <v>1202</v>
      </c>
      <c r="E10" s="596" t="s">
        <v>1203</v>
      </c>
      <c r="F10" s="599">
        <v>1.8</v>
      </c>
      <c r="G10" s="599">
        <v>137.69999999999999</v>
      </c>
      <c r="H10" s="599">
        <v>1</v>
      </c>
      <c r="I10" s="599">
        <v>76.499999999999986</v>
      </c>
      <c r="J10" s="599">
        <v>1.7000000000000002</v>
      </c>
      <c r="K10" s="599">
        <v>82.28</v>
      </c>
      <c r="L10" s="599">
        <v>0.59753086419753088</v>
      </c>
      <c r="M10" s="599">
        <v>48.4</v>
      </c>
      <c r="N10" s="599">
        <v>0.4</v>
      </c>
      <c r="O10" s="599">
        <v>19.36</v>
      </c>
      <c r="P10" s="612">
        <v>0.14059549745824257</v>
      </c>
      <c r="Q10" s="600">
        <v>48.4</v>
      </c>
    </row>
    <row r="11" spans="1:17" ht="14.4" customHeight="1" x14ac:dyDescent="0.3">
      <c r="A11" s="595" t="s">
        <v>496</v>
      </c>
      <c r="B11" s="596" t="s">
        <v>1193</v>
      </c>
      <c r="C11" s="596" t="s">
        <v>1194</v>
      </c>
      <c r="D11" s="596" t="s">
        <v>1204</v>
      </c>
      <c r="E11" s="596" t="s">
        <v>1205</v>
      </c>
      <c r="F11" s="599"/>
      <c r="G11" s="599"/>
      <c r="H11" s="599"/>
      <c r="I11" s="599"/>
      <c r="J11" s="599">
        <v>0.4</v>
      </c>
      <c r="K11" s="599">
        <v>1451.2</v>
      </c>
      <c r="L11" s="599"/>
      <c r="M11" s="599">
        <v>3628</v>
      </c>
      <c r="N11" s="599"/>
      <c r="O11" s="599"/>
      <c r="P11" s="612"/>
      <c r="Q11" s="600"/>
    </row>
    <row r="12" spans="1:17" ht="14.4" customHeight="1" x14ac:dyDescent="0.3">
      <c r="A12" s="595" t="s">
        <v>496</v>
      </c>
      <c r="B12" s="596" t="s">
        <v>1193</v>
      </c>
      <c r="C12" s="596" t="s">
        <v>1206</v>
      </c>
      <c r="D12" s="596" t="s">
        <v>1207</v>
      </c>
      <c r="E12" s="596" t="s">
        <v>1208</v>
      </c>
      <c r="F12" s="599">
        <v>3</v>
      </c>
      <c r="G12" s="599">
        <v>4638.72</v>
      </c>
      <c r="H12" s="599">
        <v>1</v>
      </c>
      <c r="I12" s="599">
        <v>1546.24</v>
      </c>
      <c r="J12" s="599">
        <v>2</v>
      </c>
      <c r="K12" s="599">
        <v>3092.48</v>
      </c>
      <c r="L12" s="599">
        <v>0.66666666666666663</v>
      </c>
      <c r="M12" s="599">
        <v>1546.24</v>
      </c>
      <c r="N12" s="599"/>
      <c r="O12" s="599"/>
      <c r="P12" s="612"/>
      <c r="Q12" s="600"/>
    </row>
    <row r="13" spans="1:17" ht="14.4" customHeight="1" x14ac:dyDescent="0.3">
      <c r="A13" s="595" t="s">
        <v>496</v>
      </c>
      <c r="B13" s="596" t="s">
        <v>1193</v>
      </c>
      <c r="C13" s="596" t="s">
        <v>1206</v>
      </c>
      <c r="D13" s="596" t="s">
        <v>1209</v>
      </c>
      <c r="E13" s="596" t="s">
        <v>1210</v>
      </c>
      <c r="F13" s="599">
        <v>3</v>
      </c>
      <c r="G13" s="599">
        <v>10958.85</v>
      </c>
      <c r="H13" s="599">
        <v>1</v>
      </c>
      <c r="I13" s="599">
        <v>3652.9500000000003</v>
      </c>
      <c r="J13" s="599"/>
      <c r="K13" s="599"/>
      <c r="L13" s="599"/>
      <c r="M13" s="599"/>
      <c r="N13" s="599"/>
      <c r="O13" s="599"/>
      <c r="P13" s="612"/>
      <c r="Q13" s="600"/>
    </row>
    <row r="14" spans="1:17" ht="14.4" customHeight="1" x14ac:dyDescent="0.3">
      <c r="A14" s="595" t="s">
        <v>496</v>
      </c>
      <c r="B14" s="596" t="s">
        <v>1193</v>
      </c>
      <c r="C14" s="596" t="s">
        <v>1206</v>
      </c>
      <c r="D14" s="596" t="s">
        <v>1211</v>
      </c>
      <c r="E14" s="596" t="s">
        <v>1212</v>
      </c>
      <c r="F14" s="599">
        <v>3</v>
      </c>
      <c r="G14" s="599">
        <v>568.31999999999994</v>
      </c>
      <c r="H14" s="599">
        <v>1</v>
      </c>
      <c r="I14" s="599">
        <v>189.43999999999997</v>
      </c>
      <c r="J14" s="599">
        <v>2</v>
      </c>
      <c r="K14" s="599">
        <v>470.38</v>
      </c>
      <c r="L14" s="599">
        <v>0.82766751126126137</v>
      </c>
      <c r="M14" s="599">
        <v>235.19</v>
      </c>
      <c r="N14" s="599"/>
      <c r="O14" s="599"/>
      <c r="P14" s="612"/>
      <c r="Q14" s="600"/>
    </row>
    <row r="15" spans="1:17" ht="14.4" customHeight="1" x14ac:dyDescent="0.3">
      <c r="A15" s="595" t="s">
        <v>496</v>
      </c>
      <c r="B15" s="596" t="s">
        <v>1193</v>
      </c>
      <c r="C15" s="596" t="s">
        <v>1213</v>
      </c>
      <c r="D15" s="596" t="s">
        <v>1214</v>
      </c>
      <c r="E15" s="596" t="s">
        <v>1215</v>
      </c>
      <c r="F15" s="599">
        <v>57</v>
      </c>
      <c r="G15" s="599">
        <v>9747</v>
      </c>
      <c r="H15" s="599">
        <v>1</v>
      </c>
      <c r="I15" s="599">
        <v>171</v>
      </c>
      <c r="J15" s="599">
        <v>81</v>
      </c>
      <c r="K15" s="599">
        <v>14013</v>
      </c>
      <c r="L15" s="599">
        <v>1.4376731301939059</v>
      </c>
      <c r="M15" s="599">
        <v>173</v>
      </c>
      <c r="N15" s="599">
        <v>117</v>
      </c>
      <c r="O15" s="599">
        <v>20241</v>
      </c>
      <c r="P15" s="612">
        <v>2.0766389658356417</v>
      </c>
      <c r="Q15" s="600">
        <v>173</v>
      </c>
    </row>
    <row r="16" spans="1:17" ht="14.4" customHeight="1" x14ac:dyDescent="0.3">
      <c r="A16" s="595" t="s">
        <v>496</v>
      </c>
      <c r="B16" s="596" t="s">
        <v>1193</v>
      </c>
      <c r="C16" s="596" t="s">
        <v>1213</v>
      </c>
      <c r="D16" s="596" t="s">
        <v>1216</v>
      </c>
      <c r="E16" s="596" t="s">
        <v>1217</v>
      </c>
      <c r="F16" s="599">
        <v>3</v>
      </c>
      <c r="G16" s="599">
        <v>555</v>
      </c>
      <c r="H16" s="599">
        <v>1</v>
      </c>
      <c r="I16" s="599">
        <v>185</v>
      </c>
      <c r="J16" s="599">
        <v>2</v>
      </c>
      <c r="K16" s="599">
        <v>370</v>
      </c>
      <c r="L16" s="599">
        <v>0.66666666666666663</v>
      </c>
      <c r="M16" s="599">
        <v>185</v>
      </c>
      <c r="N16" s="599"/>
      <c r="O16" s="599"/>
      <c r="P16" s="612"/>
      <c r="Q16" s="600"/>
    </row>
    <row r="17" spans="1:17" ht="14.4" customHeight="1" x14ac:dyDescent="0.3">
      <c r="A17" s="595" t="s">
        <v>496</v>
      </c>
      <c r="B17" s="596" t="s">
        <v>1193</v>
      </c>
      <c r="C17" s="596" t="s">
        <v>1213</v>
      </c>
      <c r="D17" s="596" t="s">
        <v>1218</v>
      </c>
      <c r="E17" s="596" t="s">
        <v>1219</v>
      </c>
      <c r="F17" s="599">
        <v>2</v>
      </c>
      <c r="G17" s="599">
        <v>1956</v>
      </c>
      <c r="H17" s="599">
        <v>1</v>
      </c>
      <c r="I17" s="599">
        <v>978</v>
      </c>
      <c r="J17" s="599">
        <v>4</v>
      </c>
      <c r="K17" s="599">
        <v>3920</v>
      </c>
      <c r="L17" s="599">
        <v>2.0040899795501024</v>
      </c>
      <c r="M17" s="599">
        <v>980</v>
      </c>
      <c r="N17" s="599"/>
      <c r="O17" s="599"/>
      <c r="P17" s="612"/>
      <c r="Q17" s="600"/>
    </row>
    <row r="18" spans="1:17" ht="14.4" customHeight="1" x14ac:dyDescent="0.3">
      <c r="A18" s="595" t="s">
        <v>496</v>
      </c>
      <c r="B18" s="596" t="s">
        <v>1193</v>
      </c>
      <c r="C18" s="596" t="s">
        <v>1213</v>
      </c>
      <c r="D18" s="596" t="s">
        <v>1220</v>
      </c>
      <c r="E18" s="596" t="s">
        <v>1221</v>
      </c>
      <c r="F18" s="599">
        <v>0</v>
      </c>
      <c r="G18" s="599">
        <v>0</v>
      </c>
      <c r="H18" s="599"/>
      <c r="I18" s="599"/>
      <c r="J18" s="599">
        <v>0</v>
      </c>
      <c r="K18" s="599">
        <v>0</v>
      </c>
      <c r="L18" s="599"/>
      <c r="M18" s="599"/>
      <c r="N18" s="599">
        <v>0</v>
      </c>
      <c r="O18" s="599">
        <v>0</v>
      </c>
      <c r="P18" s="612"/>
      <c r="Q18" s="600"/>
    </row>
    <row r="19" spans="1:17" ht="14.4" customHeight="1" x14ac:dyDescent="0.3">
      <c r="A19" s="595" t="s">
        <v>496</v>
      </c>
      <c r="B19" s="596" t="s">
        <v>1193</v>
      </c>
      <c r="C19" s="596" t="s">
        <v>1213</v>
      </c>
      <c r="D19" s="596" t="s">
        <v>1222</v>
      </c>
      <c r="E19" s="596" t="s">
        <v>1223</v>
      </c>
      <c r="F19" s="599">
        <v>378</v>
      </c>
      <c r="G19" s="599">
        <v>0</v>
      </c>
      <c r="H19" s="599"/>
      <c r="I19" s="599">
        <v>0</v>
      </c>
      <c r="J19" s="599">
        <v>767</v>
      </c>
      <c r="K19" s="599">
        <v>0</v>
      </c>
      <c r="L19" s="599"/>
      <c r="M19" s="599">
        <v>0</v>
      </c>
      <c r="N19" s="599">
        <v>552</v>
      </c>
      <c r="O19" s="599">
        <v>0</v>
      </c>
      <c r="P19" s="612"/>
      <c r="Q19" s="600">
        <v>0</v>
      </c>
    </row>
    <row r="20" spans="1:17" ht="14.4" customHeight="1" x14ac:dyDescent="0.3">
      <c r="A20" s="595" t="s">
        <v>496</v>
      </c>
      <c r="B20" s="596" t="s">
        <v>1193</v>
      </c>
      <c r="C20" s="596" t="s">
        <v>1213</v>
      </c>
      <c r="D20" s="596" t="s">
        <v>1224</v>
      </c>
      <c r="E20" s="596" t="s">
        <v>1225</v>
      </c>
      <c r="F20" s="599">
        <v>6</v>
      </c>
      <c r="G20" s="599">
        <v>0</v>
      </c>
      <c r="H20" s="599"/>
      <c r="I20" s="599">
        <v>0</v>
      </c>
      <c r="J20" s="599">
        <v>24</v>
      </c>
      <c r="K20" s="599">
        <v>0</v>
      </c>
      <c r="L20" s="599"/>
      <c r="M20" s="599">
        <v>0</v>
      </c>
      <c r="N20" s="599">
        <v>8</v>
      </c>
      <c r="O20" s="599">
        <v>0</v>
      </c>
      <c r="P20" s="612"/>
      <c r="Q20" s="600">
        <v>0</v>
      </c>
    </row>
    <row r="21" spans="1:17" ht="14.4" customHeight="1" x14ac:dyDescent="0.3">
      <c r="A21" s="595" t="s">
        <v>496</v>
      </c>
      <c r="B21" s="596" t="s">
        <v>1193</v>
      </c>
      <c r="C21" s="596" t="s">
        <v>1213</v>
      </c>
      <c r="D21" s="596" t="s">
        <v>1226</v>
      </c>
      <c r="E21" s="596" t="s">
        <v>1227</v>
      </c>
      <c r="F21" s="599">
        <v>291</v>
      </c>
      <c r="G21" s="599">
        <v>0</v>
      </c>
      <c r="H21" s="599"/>
      <c r="I21" s="599">
        <v>0</v>
      </c>
      <c r="J21" s="599">
        <v>299</v>
      </c>
      <c r="K21" s="599">
        <v>0</v>
      </c>
      <c r="L21" s="599"/>
      <c r="M21" s="599">
        <v>0</v>
      </c>
      <c r="N21" s="599">
        <v>276</v>
      </c>
      <c r="O21" s="599">
        <v>0</v>
      </c>
      <c r="P21" s="612"/>
      <c r="Q21" s="600">
        <v>0</v>
      </c>
    </row>
    <row r="22" spans="1:17" ht="14.4" customHeight="1" x14ac:dyDescent="0.3">
      <c r="A22" s="595" t="s">
        <v>496</v>
      </c>
      <c r="B22" s="596" t="s">
        <v>1193</v>
      </c>
      <c r="C22" s="596" t="s">
        <v>1213</v>
      </c>
      <c r="D22" s="596" t="s">
        <v>1228</v>
      </c>
      <c r="E22" s="596" t="s">
        <v>1229</v>
      </c>
      <c r="F22" s="599">
        <v>6</v>
      </c>
      <c r="G22" s="599">
        <v>0</v>
      </c>
      <c r="H22" s="599"/>
      <c r="I22" s="599">
        <v>0</v>
      </c>
      <c r="J22" s="599">
        <v>1</v>
      </c>
      <c r="K22" s="599">
        <v>0</v>
      </c>
      <c r="L22" s="599"/>
      <c r="M22" s="599">
        <v>0</v>
      </c>
      <c r="N22" s="599"/>
      <c r="O22" s="599"/>
      <c r="P22" s="612"/>
      <c r="Q22" s="600"/>
    </row>
    <row r="23" spans="1:17" ht="14.4" customHeight="1" x14ac:dyDescent="0.3">
      <c r="A23" s="595" t="s">
        <v>496</v>
      </c>
      <c r="B23" s="596" t="s">
        <v>1193</v>
      </c>
      <c r="C23" s="596" t="s">
        <v>1213</v>
      </c>
      <c r="D23" s="596" t="s">
        <v>1230</v>
      </c>
      <c r="E23" s="596" t="s">
        <v>1231</v>
      </c>
      <c r="F23" s="599">
        <v>307</v>
      </c>
      <c r="G23" s="599">
        <v>100690</v>
      </c>
      <c r="H23" s="599">
        <v>1</v>
      </c>
      <c r="I23" s="599">
        <v>327.98045602605862</v>
      </c>
      <c r="J23" s="599">
        <v>347</v>
      </c>
      <c r="K23" s="599">
        <v>113470</v>
      </c>
      <c r="L23" s="599">
        <v>1.1269242228622505</v>
      </c>
      <c r="M23" s="599">
        <v>327.0028818443804</v>
      </c>
      <c r="N23" s="599">
        <v>317</v>
      </c>
      <c r="O23" s="599">
        <v>103659</v>
      </c>
      <c r="P23" s="612">
        <v>1.0294865428543052</v>
      </c>
      <c r="Q23" s="600">
        <v>327</v>
      </c>
    </row>
    <row r="24" spans="1:17" ht="14.4" customHeight="1" x14ac:dyDescent="0.3">
      <c r="A24" s="595" t="s">
        <v>496</v>
      </c>
      <c r="B24" s="596" t="s">
        <v>1193</v>
      </c>
      <c r="C24" s="596" t="s">
        <v>1213</v>
      </c>
      <c r="D24" s="596" t="s">
        <v>1232</v>
      </c>
      <c r="E24" s="596" t="s">
        <v>1233</v>
      </c>
      <c r="F24" s="599">
        <v>293</v>
      </c>
      <c r="G24" s="599">
        <v>188656</v>
      </c>
      <c r="H24" s="599">
        <v>1</v>
      </c>
      <c r="I24" s="599">
        <v>643.87713310580205</v>
      </c>
      <c r="J24" s="599">
        <v>321</v>
      </c>
      <c r="K24" s="599">
        <v>207028</v>
      </c>
      <c r="L24" s="599">
        <v>1.0973835976592317</v>
      </c>
      <c r="M24" s="599">
        <v>644.94704049844233</v>
      </c>
      <c r="N24" s="599">
        <v>285</v>
      </c>
      <c r="O24" s="599">
        <v>183825</v>
      </c>
      <c r="P24" s="612">
        <v>0.97439254516156393</v>
      </c>
      <c r="Q24" s="600">
        <v>645</v>
      </c>
    </row>
    <row r="25" spans="1:17" ht="14.4" customHeight="1" x14ac:dyDescent="0.3">
      <c r="A25" s="595" t="s">
        <v>496</v>
      </c>
      <c r="B25" s="596" t="s">
        <v>1193</v>
      </c>
      <c r="C25" s="596" t="s">
        <v>1213</v>
      </c>
      <c r="D25" s="596" t="s">
        <v>1234</v>
      </c>
      <c r="E25" s="596" t="s">
        <v>1235</v>
      </c>
      <c r="F25" s="599">
        <v>3</v>
      </c>
      <c r="G25" s="599">
        <v>0</v>
      </c>
      <c r="H25" s="599"/>
      <c r="I25" s="599">
        <v>0</v>
      </c>
      <c r="J25" s="599">
        <v>5</v>
      </c>
      <c r="K25" s="599">
        <v>0</v>
      </c>
      <c r="L25" s="599"/>
      <c r="M25" s="599">
        <v>0</v>
      </c>
      <c r="N25" s="599">
        <v>2</v>
      </c>
      <c r="O25" s="599">
        <v>0</v>
      </c>
      <c r="P25" s="612"/>
      <c r="Q25" s="600">
        <v>0</v>
      </c>
    </row>
    <row r="26" spans="1:17" ht="14.4" customHeight="1" x14ac:dyDescent="0.3">
      <c r="A26" s="595" t="s">
        <v>496</v>
      </c>
      <c r="B26" s="596" t="s">
        <v>1193</v>
      </c>
      <c r="C26" s="596" t="s">
        <v>1213</v>
      </c>
      <c r="D26" s="596" t="s">
        <v>1236</v>
      </c>
      <c r="E26" s="596" t="s">
        <v>1237</v>
      </c>
      <c r="F26" s="599">
        <v>42</v>
      </c>
      <c r="G26" s="599">
        <v>6048</v>
      </c>
      <c r="H26" s="599">
        <v>1</v>
      </c>
      <c r="I26" s="599">
        <v>144</v>
      </c>
      <c r="J26" s="599">
        <v>46</v>
      </c>
      <c r="K26" s="599">
        <v>6669</v>
      </c>
      <c r="L26" s="599">
        <v>1.1026785714285714</v>
      </c>
      <c r="M26" s="599">
        <v>144.97826086956522</v>
      </c>
      <c r="N26" s="599">
        <v>65</v>
      </c>
      <c r="O26" s="599">
        <v>9425</v>
      </c>
      <c r="P26" s="612">
        <v>1.5583664021164021</v>
      </c>
      <c r="Q26" s="600">
        <v>145</v>
      </c>
    </row>
    <row r="27" spans="1:17" ht="14.4" customHeight="1" x14ac:dyDescent="0.3">
      <c r="A27" s="595" t="s">
        <v>496</v>
      </c>
      <c r="B27" s="596" t="s">
        <v>1193</v>
      </c>
      <c r="C27" s="596" t="s">
        <v>1213</v>
      </c>
      <c r="D27" s="596" t="s">
        <v>1238</v>
      </c>
      <c r="E27" s="596" t="s">
        <v>1239</v>
      </c>
      <c r="F27" s="599">
        <v>1401</v>
      </c>
      <c r="G27" s="599">
        <v>1315539</v>
      </c>
      <c r="H27" s="599">
        <v>1</v>
      </c>
      <c r="I27" s="599">
        <v>939</v>
      </c>
      <c r="J27" s="599">
        <v>1657</v>
      </c>
      <c r="K27" s="599">
        <v>1570699</v>
      </c>
      <c r="L27" s="599">
        <v>1.1939585219442372</v>
      </c>
      <c r="M27" s="599">
        <v>947.91732045866024</v>
      </c>
      <c r="N27" s="599">
        <v>1323</v>
      </c>
      <c r="O27" s="599">
        <v>1255527</v>
      </c>
      <c r="P27" s="612">
        <v>0.95438219619486764</v>
      </c>
      <c r="Q27" s="600">
        <v>949</v>
      </c>
    </row>
    <row r="28" spans="1:17" ht="14.4" customHeight="1" x14ac:dyDescent="0.3">
      <c r="A28" s="595" t="s">
        <v>496</v>
      </c>
      <c r="B28" s="596" t="s">
        <v>1240</v>
      </c>
      <c r="C28" s="596" t="s">
        <v>1194</v>
      </c>
      <c r="D28" s="596" t="s">
        <v>1241</v>
      </c>
      <c r="E28" s="596" t="s">
        <v>1242</v>
      </c>
      <c r="F28" s="599">
        <v>12</v>
      </c>
      <c r="G28" s="599">
        <v>1916.04</v>
      </c>
      <c r="H28" s="599">
        <v>1</v>
      </c>
      <c r="I28" s="599">
        <v>159.66999999999999</v>
      </c>
      <c r="J28" s="599"/>
      <c r="K28" s="599"/>
      <c r="L28" s="599"/>
      <c r="M28" s="599"/>
      <c r="N28" s="599"/>
      <c r="O28" s="599"/>
      <c r="P28" s="612"/>
      <c r="Q28" s="600"/>
    </row>
    <row r="29" spans="1:17" ht="14.4" customHeight="1" x14ac:dyDescent="0.3">
      <c r="A29" s="595" t="s">
        <v>496</v>
      </c>
      <c r="B29" s="596" t="s">
        <v>1240</v>
      </c>
      <c r="C29" s="596" t="s">
        <v>1194</v>
      </c>
      <c r="D29" s="596" t="s">
        <v>1243</v>
      </c>
      <c r="E29" s="596" t="s">
        <v>936</v>
      </c>
      <c r="F29" s="599">
        <v>19</v>
      </c>
      <c r="G29" s="599">
        <v>15442.1</v>
      </c>
      <c r="H29" s="599">
        <v>1</v>
      </c>
      <c r="I29" s="599">
        <v>812.7421052631579</v>
      </c>
      <c r="J29" s="599">
        <v>25</v>
      </c>
      <c r="K29" s="599">
        <v>13280.899999999998</v>
      </c>
      <c r="L29" s="599">
        <v>0.86004494207394055</v>
      </c>
      <c r="M29" s="599">
        <v>531.23599999999988</v>
      </c>
      <c r="N29" s="599">
        <v>10</v>
      </c>
      <c r="O29" s="599">
        <v>5321.6</v>
      </c>
      <c r="P29" s="612">
        <v>0.34461634104169769</v>
      </c>
      <c r="Q29" s="600">
        <v>532.16000000000008</v>
      </c>
    </row>
    <row r="30" spans="1:17" ht="14.4" customHeight="1" x14ac:dyDescent="0.3">
      <c r="A30" s="595" t="s">
        <v>496</v>
      </c>
      <c r="B30" s="596" t="s">
        <v>1240</v>
      </c>
      <c r="C30" s="596" t="s">
        <v>1194</v>
      </c>
      <c r="D30" s="596" t="s">
        <v>1244</v>
      </c>
      <c r="E30" s="596" t="s">
        <v>1245</v>
      </c>
      <c r="F30" s="599"/>
      <c r="G30" s="599"/>
      <c r="H30" s="599"/>
      <c r="I30" s="599"/>
      <c r="J30" s="599"/>
      <c r="K30" s="599"/>
      <c r="L30" s="599"/>
      <c r="M30" s="599"/>
      <c r="N30" s="599">
        <v>0.5</v>
      </c>
      <c r="O30" s="599">
        <v>319.95999999999998</v>
      </c>
      <c r="P30" s="612"/>
      <c r="Q30" s="600">
        <v>639.91999999999996</v>
      </c>
    </row>
    <row r="31" spans="1:17" ht="14.4" customHeight="1" x14ac:dyDescent="0.3">
      <c r="A31" s="595" t="s">
        <v>496</v>
      </c>
      <c r="B31" s="596" t="s">
        <v>1240</v>
      </c>
      <c r="C31" s="596" t="s">
        <v>1194</v>
      </c>
      <c r="D31" s="596" t="s">
        <v>1246</v>
      </c>
      <c r="E31" s="596" t="s">
        <v>1247</v>
      </c>
      <c r="F31" s="599">
        <v>5.4</v>
      </c>
      <c r="G31" s="599">
        <v>11436.630000000001</v>
      </c>
      <c r="H31" s="599">
        <v>1</v>
      </c>
      <c r="I31" s="599">
        <v>2117.8944444444446</v>
      </c>
      <c r="J31" s="599">
        <v>5.3999999999999995</v>
      </c>
      <c r="K31" s="599">
        <v>5828.22</v>
      </c>
      <c r="L31" s="599">
        <v>0.50960991131128663</v>
      </c>
      <c r="M31" s="599">
        <v>1079.3000000000002</v>
      </c>
      <c r="N31" s="599">
        <v>3.6</v>
      </c>
      <c r="O31" s="599">
        <v>3885.48</v>
      </c>
      <c r="P31" s="612">
        <v>0.33973994087419107</v>
      </c>
      <c r="Q31" s="600">
        <v>1079.3</v>
      </c>
    </row>
    <row r="32" spans="1:17" ht="14.4" customHeight="1" x14ac:dyDescent="0.3">
      <c r="A32" s="595" t="s">
        <v>496</v>
      </c>
      <c r="B32" s="596" t="s">
        <v>1240</v>
      </c>
      <c r="C32" s="596" t="s">
        <v>1194</v>
      </c>
      <c r="D32" s="596" t="s">
        <v>1248</v>
      </c>
      <c r="E32" s="596" t="s">
        <v>1249</v>
      </c>
      <c r="F32" s="599">
        <v>8</v>
      </c>
      <c r="G32" s="599">
        <v>10415.439999999999</v>
      </c>
      <c r="H32" s="599">
        <v>1</v>
      </c>
      <c r="I32" s="599">
        <v>1301.9299999999998</v>
      </c>
      <c r="J32" s="599"/>
      <c r="K32" s="599"/>
      <c r="L32" s="599"/>
      <c r="M32" s="599"/>
      <c r="N32" s="599">
        <v>3</v>
      </c>
      <c r="O32" s="599">
        <v>3882</v>
      </c>
      <c r="P32" s="612">
        <v>0.37271589102332697</v>
      </c>
      <c r="Q32" s="600">
        <v>1294</v>
      </c>
    </row>
    <row r="33" spans="1:17" ht="14.4" customHeight="1" x14ac:dyDescent="0.3">
      <c r="A33" s="595" t="s">
        <v>496</v>
      </c>
      <c r="B33" s="596" t="s">
        <v>1240</v>
      </c>
      <c r="C33" s="596" t="s">
        <v>1194</v>
      </c>
      <c r="D33" s="596" t="s">
        <v>1250</v>
      </c>
      <c r="E33" s="596" t="s">
        <v>1251</v>
      </c>
      <c r="F33" s="599">
        <v>0</v>
      </c>
      <c r="G33" s="599">
        <v>0</v>
      </c>
      <c r="H33" s="599"/>
      <c r="I33" s="599"/>
      <c r="J33" s="599"/>
      <c r="K33" s="599"/>
      <c r="L33" s="599"/>
      <c r="M33" s="599"/>
      <c r="N33" s="599"/>
      <c r="O33" s="599"/>
      <c r="P33" s="612"/>
      <c r="Q33" s="600"/>
    </row>
    <row r="34" spans="1:17" ht="14.4" customHeight="1" x14ac:dyDescent="0.3">
      <c r="A34" s="595" t="s">
        <v>496</v>
      </c>
      <c r="B34" s="596" t="s">
        <v>1240</v>
      </c>
      <c r="C34" s="596" t="s">
        <v>1194</v>
      </c>
      <c r="D34" s="596" t="s">
        <v>1250</v>
      </c>
      <c r="E34" s="596" t="s">
        <v>1252</v>
      </c>
      <c r="F34" s="599">
        <v>2</v>
      </c>
      <c r="G34" s="599">
        <v>48111.38</v>
      </c>
      <c r="H34" s="599">
        <v>1</v>
      </c>
      <c r="I34" s="599">
        <v>24055.69</v>
      </c>
      <c r="J34" s="599"/>
      <c r="K34" s="599"/>
      <c r="L34" s="599"/>
      <c r="M34" s="599"/>
      <c r="N34" s="599"/>
      <c r="O34" s="599"/>
      <c r="P34" s="612"/>
      <c r="Q34" s="600"/>
    </row>
    <row r="35" spans="1:17" ht="14.4" customHeight="1" x14ac:dyDescent="0.3">
      <c r="A35" s="595" t="s">
        <v>496</v>
      </c>
      <c r="B35" s="596" t="s">
        <v>1240</v>
      </c>
      <c r="C35" s="596" t="s">
        <v>1194</v>
      </c>
      <c r="D35" s="596" t="s">
        <v>1253</v>
      </c>
      <c r="E35" s="596" t="s">
        <v>1254</v>
      </c>
      <c r="F35" s="599">
        <v>34</v>
      </c>
      <c r="G35" s="599">
        <v>4543</v>
      </c>
      <c r="H35" s="599">
        <v>1</v>
      </c>
      <c r="I35" s="599">
        <v>133.61764705882354</v>
      </c>
      <c r="J35" s="599">
        <v>7</v>
      </c>
      <c r="K35" s="599">
        <v>942.13</v>
      </c>
      <c r="L35" s="599">
        <v>0.20738058551617874</v>
      </c>
      <c r="M35" s="599">
        <v>134.59</v>
      </c>
      <c r="N35" s="599">
        <v>18</v>
      </c>
      <c r="O35" s="599">
        <v>2422.62</v>
      </c>
      <c r="P35" s="612">
        <v>0.53326436275588818</v>
      </c>
      <c r="Q35" s="600">
        <v>134.59</v>
      </c>
    </row>
    <row r="36" spans="1:17" ht="14.4" customHeight="1" x14ac:dyDescent="0.3">
      <c r="A36" s="595" t="s">
        <v>496</v>
      </c>
      <c r="B36" s="596" t="s">
        <v>1240</v>
      </c>
      <c r="C36" s="596" t="s">
        <v>1194</v>
      </c>
      <c r="D36" s="596" t="s">
        <v>1255</v>
      </c>
      <c r="E36" s="596" t="s">
        <v>1256</v>
      </c>
      <c r="F36" s="599">
        <v>0.1</v>
      </c>
      <c r="G36" s="599">
        <v>68.25</v>
      </c>
      <c r="H36" s="599">
        <v>1</v>
      </c>
      <c r="I36" s="599">
        <v>682.5</v>
      </c>
      <c r="J36" s="599"/>
      <c r="K36" s="599"/>
      <c r="L36" s="599"/>
      <c r="M36" s="599"/>
      <c r="N36" s="599"/>
      <c r="O36" s="599"/>
      <c r="P36" s="612"/>
      <c r="Q36" s="600"/>
    </row>
    <row r="37" spans="1:17" ht="14.4" customHeight="1" x14ac:dyDescent="0.3">
      <c r="A37" s="595" t="s">
        <v>496</v>
      </c>
      <c r="B37" s="596" t="s">
        <v>1240</v>
      </c>
      <c r="C37" s="596" t="s">
        <v>1194</v>
      </c>
      <c r="D37" s="596" t="s">
        <v>1257</v>
      </c>
      <c r="E37" s="596" t="s">
        <v>1258</v>
      </c>
      <c r="F37" s="599">
        <v>3</v>
      </c>
      <c r="G37" s="599">
        <v>672.39</v>
      </c>
      <c r="H37" s="599">
        <v>1</v>
      </c>
      <c r="I37" s="599">
        <v>224.13</v>
      </c>
      <c r="J37" s="599">
        <v>1.6</v>
      </c>
      <c r="K37" s="599">
        <v>76</v>
      </c>
      <c r="L37" s="599">
        <v>0.11302964053599845</v>
      </c>
      <c r="M37" s="599">
        <v>47.5</v>
      </c>
      <c r="N37" s="599"/>
      <c r="O37" s="599"/>
      <c r="P37" s="612"/>
      <c r="Q37" s="600"/>
    </row>
    <row r="38" spans="1:17" ht="14.4" customHeight="1" x14ac:dyDescent="0.3">
      <c r="A38" s="595" t="s">
        <v>496</v>
      </c>
      <c r="B38" s="596" t="s">
        <v>1240</v>
      </c>
      <c r="C38" s="596" t="s">
        <v>1194</v>
      </c>
      <c r="D38" s="596" t="s">
        <v>1259</v>
      </c>
      <c r="E38" s="596" t="s">
        <v>1260</v>
      </c>
      <c r="F38" s="599">
        <v>2.4</v>
      </c>
      <c r="G38" s="599">
        <v>7418.6399999999994</v>
      </c>
      <c r="H38" s="599">
        <v>1</v>
      </c>
      <c r="I38" s="599">
        <v>3091.1</v>
      </c>
      <c r="J38" s="599"/>
      <c r="K38" s="599"/>
      <c r="L38" s="599"/>
      <c r="M38" s="599"/>
      <c r="N38" s="599"/>
      <c r="O38" s="599"/>
      <c r="P38" s="612"/>
      <c r="Q38" s="600"/>
    </row>
    <row r="39" spans="1:17" ht="14.4" customHeight="1" x14ac:dyDescent="0.3">
      <c r="A39" s="595" t="s">
        <v>496</v>
      </c>
      <c r="B39" s="596" t="s">
        <v>1240</v>
      </c>
      <c r="C39" s="596" t="s">
        <v>1194</v>
      </c>
      <c r="D39" s="596" t="s">
        <v>1261</v>
      </c>
      <c r="E39" s="596" t="s">
        <v>810</v>
      </c>
      <c r="F39" s="599">
        <v>3</v>
      </c>
      <c r="G39" s="599">
        <v>32417.279999999999</v>
      </c>
      <c r="H39" s="599">
        <v>1</v>
      </c>
      <c r="I39" s="599">
        <v>10805.76</v>
      </c>
      <c r="J39" s="599">
        <v>1.5</v>
      </c>
      <c r="K39" s="599">
        <v>24384.05</v>
      </c>
      <c r="L39" s="599">
        <v>0.75219296622048493</v>
      </c>
      <c r="M39" s="599">
        <v>16256.033333333333</v>
      </c>
      <c r="N39" s="599">
        <v>3.5</v>
      </c>
      <c r="O39" s="599">
        <v>57156.79</v>
      </c>
      <c r="P39" s="612">
        <v>1.7631581058003634</v>
      </c>
      <c r="Q39" s="600">
        <v>16330.511428571428</v>
      </c>
    </row>
    <row r="40" spans="1:17" ht="14.4" customHeight="1" x14ac:dyDescent="0.3">
      <c r="A40" s="595" t="s">
        <v>496</v>
      </c>
      <c r="B40" s="596" t="s">
        <v>1240</v>
      </c>
      <c r="C40" s="596" t="s">
        <v>1194</v>
      </c>
      <c r="D40" s="596" t="s">
        <v>1198</v>
      </c>
      <c r="E40" s="596" t="s">
        <v>1199</v>
      </c>
      <c r="F40" s="599">
        <v>0.7</v>
      </c>
      <c r="G40" s="599">
        <v>411.5</v>
      </c>
      <c r="H40" s="599">
        <v>1</v>
      </c>
      <c r="I40" s="599">
        <v>587.85714285714289</v>
      </c>
      <c r="J40" s="599">
        <v>0.5</v>
      </c>
      <c r="K40" s="599">
        <v>224.11</v>
      </c>
      <c r="L40" s="599">
        <v>0.54461725394896721</v>
      </c>
      <c r="M40" s="599">
        <v>448.22</v>
      </c>
      <c r="N40" s="599">
        <v>0.5</v>
      </c>
      <c r="O40" s="599">
        <v>221.6</v>
      </c>
      <c r="P40" s="612">
        <v>0.5385176184690158</v>
      </c>
      <c r="Q40" s="600">
        <v>443.2</v>
      </c>
    </row>
    <row r="41" spans="1:17" ht="14.4" customHeight="1" x14ac:dyDescent="0.3">
      <c r="A41" s="595" t="s">
        <v>496</v>
      </c>
      <c r="B41" s="596" t="s">
        <v>1240</v>
      </c>
      <c r="C41" s="596" t="s">
        <v>1194</v>
      </c>
      <c r="D41" s="596" t="s">
        <v>1200</v>
      </c>
      <c r="E41" s="596" t="s">
        <v>1201</v>
      </c>
      <c r="F41" s="599">
        <v>25</v>
      </c>
      <c r="G41" s="599">
        <v>7705.4400000000005</v>
      </c>
      <c r="H41" s="599">
        <v>1</v>
      </c>
      <c r="I41" s="599">
        <v>308.2176</v>
      </c>
      <c r="J41" s="599">
        <v>8.1</v>
      </c>
      <c r="K41" s="599">
        <v>928.09</v>
      </c>
      <c r="L41" s="599">
        <v>0.12044607446167901</v>
      </c>
      <c r="M41" s="599">
        <v>114.57901234567902</v>
      </c>
      <c r="N41" s="599">
        <v>1</v>
      </c>
      <c r="O41" s="599">
        <v>114.58</v>
      </c>
      <c r="P41" s="612">
        <v>1.4870013912249007E-2</v>
      </c>
      <c r="Q41" s="600">
        <v>114.58</v>
      </c>
    </row>
    <row r="42" spans="1:17" ht="14.4" customHeight="1" x14ac:dyDescent="0.3">
      <c r="A42" s="595" t="s">
        <v>496</v>
      </c>
      <c r="B42" s="596" t="s">
        <v>1240</v>
      </c>
      <c r="C42" s="596" t="s">
        <v>1194</v>
      </c>
      <c r="D42" s="596" t="s">
        <v>1202</v>
      </c>
      <c r="E42" s="596" t="s">
        <v>1203</v>
      </c>
      <c r="F42" s="599">
        <v>6.1999999999999993</v>
      </c>
      <c r="G42" s="599">
        <v>462.03</v>
      </c>
      <c r="H42" s="599">
        <v>1</v>
      </c>
      <c r="I42" s="599">
        <v>74.520967741935493</v>
      </c>
      <c r="J42" s="599">
        <v>5.6</v>
      </c>
      <c r="K42" s="599">
        <v>269.83999999999997</v>
      </c>
      <c r="L42" s="599">
        <v>0.58403133995627987</v>
      </c>
      <c r="M42" s="599">
        <v>48.185714285714283</v>
      </c>
      <c r="N42" s="599">
        <v>5.7</v>
      </c>
      <c r="O42" s="599">
        <v>275.88</v>
      </c>
      <c r="P42" s="612">
        <v>0.59710408415037985</v>
      </c>
      <c r="Q42" s="600">
        <v>48.4</v>
      </c>
    </row>
    <row r="43" spans="1:17" ht="14.4" customHeight="1" x14ac:dyDescent="0.3">
      <c r="A43" s="595" t="s">
        <v>496</v>
      </c>
      <c r="B43" s="596" t="s">
        <v>1240</v>
      </c>
      <c r="C43" s="596" t="s">
        <v>1194</v>
      </c>
      <c r="D43" s="596" t="s">
        <v>1204</v>
      </c>
      <c r="E43" s="596" t="s">
        <v>1205</v>
      </c>
      <c r="F43" s="599"/>
      <c r="G43" s="599"/>
      <c r="H43" s="599"/>
      <c r="I43" s="599"/>
      <c r="J43" s="599">
        <v>0.08</v>
      </c>
      <c r="K43" s="599">
        <v>290.24</v>
      </c>
      <c r="L43" s="599"/>
      <c r="M43" s="599">
        <v>3628</v>
      </c>
      <c r="N43" s="599">
        <v>0.16</v>
      </c>
      <c r="O43" s="599">
        <v>580.48</v>
      </c>
      <c r="P43" s="612"/>
      <c r="Q43" s="600">
        <v>3628</v>
      </c>
    </row>
    <row r="44" spans="1:17" ht="14.4" customHeight="1" x14ac:dyDescent="0.3">
      <c r="A44" s="595" t="s">
        <v>496</v>
      </c>
      <c r="B44" s="596" t="s">
        <v>1240</v>
      </c>
      <c r="C44" s="596" t="s">
        <v>1194</v>
      </c>
      <c r="D44" s="596" t="s">
        <v>1262</v>
      </c>
      <c r="E44" s="596" t="s">
        <v>1263</v>
      </c>
      <c r="F44" s="599"/>
      <c r="G44" s="599"/>
      <c r="H44" s="599"/>
      <c r="I44" s="599"/>
      <c r="J44" s="599"/>
      <c r="K44" s="599"/>
      <c r="L44" s="599"/>
      <c r="M44" s="599"/>
      <c r="N44" s="599">
        <v>1</v>
      </c>
      <c r="O44" s="599">
        <v>3503.39</v>
      </c>
      <c r="P44" s="612"/>
      <c r="Q44" s="600">
        <v>3503.39</v>
      </c>
    </row>
    <row r="45" spans="1:17" ht="14.4" customHeight="1" x14ac:dyDescent="0.3">
      <c r="A45" s="595" t="s">
        <v>496</v>
      </c>
      <c r="B45" s="596" t="s">
        <v>1240</v>
      </c>
      <c r="C45" s="596" t="s">
        <v>1206</v>
      </c>
      <c r="D45" s="596" t="s">
        <v>1207</v>
      </c>
      <c r="E45" s="596" t="s">
        <v>1208</v>
      </c>
      <c r="F45" s="599">
        <v>30</v>
      </c>
      <c r="G45" s="599">
        <v>46306.380000000005</v>
      </c>
      <c r="H45" s="599">
        <v>1</v>
      </c>
      <c r="I45" s="599">
        <v>1543.546</v>
      </c>
      <c r="J45" s="599">
        <v>22</v>
      </c>
      <c r="K45" s="599">
        <v>34085.090000000004</v>
      </c>
      <c r="L45" s="599">
        <v>0.73607762040565472</v>
      </c>
      <c r="M45" s="599">
        <v>1549.322272727273</v>
      </c>
      <c r="N45" s="599">
        <v>14</v>
      </c>
      <c r="O45" s="599">
        <v>22596.699999999997</v>
      </c>
      <c r="P45" s="612">
        <v>0.48798243352211929</v>
      </c>
      <c r="Q45" s="600">
        <v>1614.0499999999997</v>
      </c>
    </row>
    <row r="46" spans="1:17" ht="14.4" customHeight="1" x14ac:dyDescent="0.3">
      <c r="A46" s="595" t="s">
        <v>496</v>
      </c>
      <c r="B46" s="596" t="s">
        <v>1240</v>
      </c>
      <c r="C46" s="596" t="s">
        <v>1206</v>
      </c>
      <c r="D46" s="596" t="s">
        <v>1209</v>
      </c>
      <c r="E46" s="596" t="s">
        <v>1210</v>
      </c>
      <c r="F46" s="599">
        <v>7</v>
      </c>
      <c r="G46" s="599">
        <v>25570.65</v>
      </c>
      <c r="H46" s="599">
        <v>1</v>
      </c>
      <c r="I46" s="599">
        <v>3652.9500000000003</v>
      </c>
      <c r="J46" s="599">
        <v>1</v>
      </c>
      <c r="K46" s="599">
        <v>3905.48</v>
      </c>
      <c r="L46" s="599">
        <v>0.1527329184044989</v>
      </c>
      <c r="M46" s="599">
        <v>3905.48</v>
      </c>
      <c r="N46" s="599">
        <v>4</v>
      </c>
      <c r="O46" s="599">
        <v>15621.92</v>
      </c>
      <c r="P46" s="612">
        <v>0.61093167361799561</v>
      </c>
      <c r="Q46" s="600">
        <v>3905.48</v>
      </c>
    </row>
    <row r="47" spans="1:17" ht="14.4" customHeight="1" x14ac:dyDescent="0.3">
      <c r="A47" s="595" t="s">
        <v>496</v>
      </c>
      <c r="B47" s="596" t="s">
        <v>1240</v>
      </c>
      <c r="C47" s="596" t="s">
        <v>1206</v>
      </c>
      <c r="D47" s="596" t="s">
        <v>1264</v>
      </c>
      <c r="E47" s="596" t="s">
        <v>1265</v>
      </c>
      <c r="F47" s="599">
        <v>4</v>
      </c>
      <c r="G47" s="599">
        <v>3438.88</v>
      </c>
      <c r="H47" s="599">
        <v>1</v>
      </c>
      <c r="I47" s="599">
        <v>859.72</v>
      </c>
      <c r="J47" s="599">
        <v>1</v>
      </c>
      <c r="K47" s="599">
        <v>888.91</v>
      </c>
      <c r="L47" s="599">
        <v>0.2584882287256316</v>
      </c>
      <c r="M47" s="599">
        <v>888.91</v>
      </c>
      <c r="N47" s="599">
        <v>10</v>
      </c>
      <c r="O47" s="599">
        <v>9255.7000000000007</v>
      </c>
      <c r="P47" s="612">
        <v>2.6914867631321826</v>
      </c>
      <c r="Q47" s="600">
        <v>925.57</v>
      </c>
    </row>
    <row r="48" spans="1:17" ht="14.4" customHeight="1" x14ac:dyDescent="0.3">
      <c r="A48" s="595" t="s">
        <v>496</v>
      </c>
      <c r="B48" s="596" t="s">
        <v>1240</v>
      </c>
      <c r="C48" s="596" t="s">
        <v>1206</v>
      </c>
      <c r="D48" s="596" t="s">
        <v>1211</v>
      </c>
      <c r="E48" s="596" t="s">
        <v>1212</v>
      </c>
      <c r="F48" s="599">
        <v>30</v>
      </c>
      <c r="G48" s="599">
        <v>5683.2000000000007</v>
      </c>
      <c r="H48" s="599">
        <v>1</v>
      </c>
      <c r="I48" s="599">
        <v>189.44000000000003</v>
      </c>
      <c r="J48" s="599">
        <v>22</v>
      </c>
      <c r="K48" s="599">
        <v>5177.6699999999992</v>
      </c>
      <c r="L48" s="599">
        <v>0.91104835304054033</v>
      </c>
      <c r="M48" s="599">
        <v>235.34863636363633</v>
      </c>
      <c r="N48" s="599">
        <v>14</v>
      </c>
      <c r="O48" s="599">
        <v>3341.52</v>
      </c>
      <c r="P48" s="612">
        <v>0.58796452702702695</v>
      </c>
      <c r="Q48" s="600">
        <v>238.68</v>
      </c>
    </row>
    <row r="49" spans="1:17" ht="14.4" customHeight="1" x14ac:dyDescent="0.3">
      <c r="A49" s="595" t="s">
        <v>496</v>
      </c>
      <c r="B49" s="596" t="s">
        <v>1240</v>
      </c>
      <c r="C49" s="596" t="s">
        <v>1213</v>
      </c>
      <c r="D49" s="596" t="s">
        <v>1266</v>
      </c>
      <c r="E49" s="596" t="s">
        <v>1267</v>
      </c>
      <c r="F49" s="599">
        <v>94</v>
      </c>
      <c r="G49" s="599">
        <v>2721770</v>
      </c>
      <c r="H49" s="599">
        <v>1</v>
      </c>
      <c r="I49" s="599">
        <v>28955</v>
      </c>
      <c r="J49" s="599">
        <v>44</v>
      </c>
      <c r="K49" s="599">
        <v>1274396</v>
      </c>
      <c r="L49" s="599">
        <v>0.46822325178101015</v>
      </c>
      <c r="M49" s="599">
        <v>28963.545454545456</v>
      </c>
      <c r="N49" s="599">
        <v>43</v>
      </c>
      <c r="O49" s="599">
        <v>1245495</v>
      </c>
      <c r="P49" s="612">
        <v>0.45760479393923809</v>
      </c>
      <c r="Q49" s="600">
        <v>28965</v>
      </c>
    </row>
    <row r="50" spans="1:17" ht="14.4" customHeight="1" x14ac:dyDescent="0.3">
      <c r="A50" s="595" t="s">
        <v>496</v>
      </c>
      <c r="B50" s="596" t="s">
        <v>1240</v>
      </c>
      <c r="C50" s="596" t="s">
        <v>1213</v>
      </c>
      <c r="D50" s="596" t="s">
        <v>1268</v>
      </c>
      <c r="E50" s="596" t="s">
        <v>1269</v>
      </c>
      <c r="F50" s="599">
        <v>55</v>
      </c>
      <c r="G50" s="599">
        <v>751410</v>
      </c>
      <c r="H50" s="599">
        <v>1</v>
      </c>
      <c r="I50" s="599">
        <v>13662</v>
      </c>
      <c r="J50" s="599">
        <v>149</v>
      </c>
      <c r="K50" s="599">
        <v>2036940</v>
      </c>
      <c r="L50" s="599">
        <v>2.7108236515351138</v>
      </c>
      <c r="M50" s="599">
        <v>13670.738255033557</v>
      </c>
      <c r="N50" s="599">
        <v>113</v>
      </c>
      <c r="O50" s="599">
        <v>1544936</v>
      </c>
      <c r="P50" s="612">
        <v>2.0560492939939579</v>
      </c>
      <c r="Q50" s="600">
        <v>13672</v>
      </c>
    </row>
    <row r="51" spans="1:17" ht="14.4" customHeight="1" x14ac:dyDescent="0.3">
      <c r="A51" s="595" t="s">
        <v>496</v>
      </c>
      <c r="B51" s="596" t="s">
        <v>1240</v>
      </c>
      <c r="C51" s="596" t="s">
        <v>1213</v>
      </c>
      <c r="D51" s="596" t="s">
        <v>1220</v>
      </c>
      <c r="E51" s="596" t="s">
        <v>1221</v>
      </c>
      <c r="F51" s="599">
        <v>0</v>
      </c>
      <c r="G51" s="599">
        <v>0</v>
      </c>
      <c r="H51" s="599"/>
      <c r="I51" s="599"/>
      <c r="J51" s="599">
        <v>0</v>
      </c>
      <c r="K51" s="599">
        <v>0</v>
      </c>
      <c r="L51" s="599"/>
      <c r="M51" s="599"/>
      <c r="N51" s="599">
        <v>0</v>
      </c>
      <c r="O51" s="599">
        <v>0</v>
      </c>
      <c r="P51" s="612"/>
      <c r="Q51" s="600"/>
    </row>
    <row r="52" spans="1:17" ht="14.4" customHeight="1" x14ac:dyDescent="0.3">
      <c r="A52" s="595" t="s">
        <v>496</v>
      </c>
      <c r="B52" s="596" t="s">
        <v>1240</v>
      </c>
      <c r="C52" s="596" t="s">
        <v>1213</v>
      </c>
      <c r="D52" s="596" t="s">
        <v>1222</v>
      </c>
      <c r="E52" s="596" t="s">
        <v>1223</v>
      </c>
      <c r="F52" s="599">
        <v>196</v>
      </c>
      <c r="G52" s="599">
        <v>0</v>
      </c>
      <c r="H52" s="599"/>
      <c r="I52" s="599">
        <v>0</v>
      </c>
      <c r="J52" s="599">
        <v>435</v>
      </c>
      <c r="K52" s="599">
        <v>0</v>
      </c>
      <c r="L52" s="599"/>
      <c r="M52" s="599">
        <v>0</v>
      </c>
      <c r="N52" s="599">
        <v>322</v>
      </c>
      <c r="O52" s="599">
        <v>0</v>
      </c>
      <c r="P52" s="612"/>
      <c r="Q52" s="600">
        <v>0</v>
      </c>
    </row>
    <row r="53" spans="1:17" ht="14.4" customHeight="1" x14ac:dyDescent="0.3">
      <c r="A53" s="595" t="s">
        <v>496</v>
      </c>
      <c r="B53" s="596" t="s">
        <v>1240</v>
      </c>
      <c r="C53" s="596" t="s">
        <v>1213</v>
      </c>
      <c r="D53" s="596" t="s">
        <v>1270</v>
      </c>
      <c r="E53" s="596" t="s">
        <v>1271</v>
      </c>
      <c r="F53" s="599">
        <v>2</v>
      </c>
      <c r="G53" s="599">
        <v>0</v>
      </c>
      <c r="H53" s="599"/>
      <c r="I53" s="599">
        <v>0</v>
      </c>
      <c r="J53" s="599">
        <v>4</v>
      </c>
      <c r="K53" s="599">
        <v>0</v>
      </c>
      <c r="L53" s="599"/>
      <c r="M53" s="599">
        <v>0</v>
      </c>
      <c r="N53" s="599"/>
      <c r="O53" s="599"/>
      <c r="P53" s="612"/>
      <c r="Q53" s="600"/>
    </row>
    <row r="54" spans="1:17" ht="14.4" customHeight="1" x14ac:dyDescent="0.3">
      <c r="A54" s="595" t="s">
        <v>496</v>
      </c>
      <c r="B54" s="596" t="s">
        <v>1240</v>
      </c>
      <c r="C54" s="596" t="s">
        <v>1213</v>
      </c>
      <c r="D54" s="596" t="s">
        <v>1272</v>
      </c>
      <c r="E54" s="596" t="s">
        <v>1273</v>
      </c>
      <c r="F54" s="599"/>
      <c r="G54" s="599"/>
      <c r="H54" s="599"/>
      <c r="I54" s="599"/>
      <c r="J54" s="599"/>
      <c r="K54" s="599"/>
      <c r="L54" s="599"/>
      <c r="M54" s="599"/>
      <c r="N54" s="599">
        <v>1</v>
      </c>
      <c r="O54" s="599">
        <v>0</v>
      </c>
      <c r="P54" s="612"/>
      <c r="Q54" s="600">
        <v>0</v>
      </c>
    </row>
    <row r="55" spans="1:17" ht="14.4" customHeight="1" x14ac:dyDescent="0.3">
      <c r="A55" s="595" t="s">
        <v>496</v>
      </c>
      <c r="B55" s="596" t="s">
        <v>1240</v>
      </c>
      <c r="C55" s="596" t="s">
        <v>1213</v>
      </c>
      <c r="D55" s="596" t="s">
        <v>1274</v>
      </c>
      <c r="E55" s="596" t="s">
        <v>1275</v>
      </c>
      <c r="F55" s="599"/>
      <c r="G55" s="599"/>
      <c r="H55" s="599"/>
      <c r="I55" s="599"/>
      <c r="J55" s="599"/>
      <c r="K55" s="599"/>
      <c r="L55" s="599"/>
      <c r="M55" s="599"/>
      <c r="N55" s="599">
        <v>3</v>
      </c>
      <c r="O55" s="599">
        <v>0</v>
      </c>
      <c r="P55" s="612"/>
      <c r="Q55" s="600">
        <v>0</v>
      </c>
    </row>
    <row r="56" spans="1:17" ht="14.4" customHeight="1" x14ac:dyDescent="0.3">
      <c r="A56" s="595" t="s">
        <v>496</v>
      </c>
      <c r="B56" s="596" t="s">
        <v>1240</v>
      </c>
      <c r="C56" s="596" t="s">
        <v>1213</v>
      </c>
      <c r="D56" s="596" t="s">
        <v>1224</v>
      </c>
      <c r="E56" s="596" t="s">
        <v>1225</v>
      </c>
      <c r="F56" s="599">
        <v>2</v>
      </c>
      <c r="G56" s="599">
        <v>0</v>
      </c>
      <c r="H56" s="599"/>
      <c r="I56" s="599">
        <v>0</v>
      </c>
      <c r="J56" s="599">
        <v>4</v>
      </c>
      <c r="K56" s="599">
        <v>0</v>
      </c>
      <c r="L56" s="599"/>
      <c r="M56" s="599">
        <v>0</v>
      </c>
      <c r="N56" s="599">
        <v>9</v>
      </c>
      <c r="O56" s="599">
        <v>0</v>
      </c>
      <c r="P56" s="612"/>
      <c r="Q56" s="600">
        <v>0</v>
      </c>
    </row>
    <row r="57" spans="1:17" ht="14.4" customHeight="1" x14ac:dyDescent="0.3">
      <c r="A57" s="595" t="s">
        <v>496</v>
      </c>
      <c r="B57" s="596" t="s">
        <v>1240</v>
      </c>
      <c r="C57" s="596" t="s">
        <v>1213</v>
      </c>
      <c r="D57" s="596" t="s">
        <v>1276</v>
      </c>
      <c r="E57" s="596" t="s">
        <v>1277</v>
      </c>
      <c r="F57" s="599">
        <v>2</v>
      </c>
      <c r="G57" s="599">
        <v>0</v>
      </c>
      <c r="H57" s="599"/>
      <c r="I57" s="599">
        <v>0</v>
      </c>
      <c r="J57" s="599">
        <v>1</v>
      </c>
      <c r="K57" s="599">
        <v>0</v>
      </c>
      <c r="L57" s="599"/>
      <c r="M57" s="599">
        <v>0</v>
      </c>
      <c r="N57" s="599"/>
      <c r="O57" s="599"/>
      <c r="P57" s="612"/>
      <c r="Q57" s="600"/>
    </row>
    <row r="58" spans="1:17" ht="14.4" customHeight="1" x14ac:dyDescent="0.3">
      <c r="A58" s="595" t="s">
        <v>496</v>
      </c>
      <c r="B58" s="596" t="s">
        <v>1240</v>
      </c>
      <c r="C58" s="596" t="s">
        <v>1213</v>
      </c>
      <c r="D58" s="596" t="s">
        <v>1226</v>
      </c>
      <c r="E58" s="596" t="s">
        <v>1227</v>
      </c>
      <c r="F58" s="599">
        <v>11</v>
      </c>
      <c r="G58" s="599">
        <v>0</v>
      </c>
      <c r="H58" s="599"/>
      <c r="I58" s="599">
        <v>0</v>
      </c>
      <c r="J58" s="599">
        <v>8</v>
      </c>
      <c r="K58" s="599">
        <v>0</v>
      </c>
      <c r="L58" s="599"/>
      <c r="M58" s="599">
        <v>0</v>
      </c>
      <c r="N58" s="599">
        <v>12</v>
      </c>
      <c r="O58" s="599">
        <v>0</v>
      </c>
      <c r="P58" s="612"/>
      <c r="Q58" s="600">
        <v>0</v>
      </c>
    </row>
    <row r="59" spans="1:17" ht="14.4" customHeight="1" x14ac:dyDescent="0.3">
      <c r="A59" s="595" t="s">
        <v>496</v>
      </c>
      <c r="B59" s="596" t="s">
        <v>1240</v>
      </c>
      <c r="C59" s="596" t="s">
        <v>1213</v>
      </c>
      <c r="D59" s="596" t="s">
        <v>1228</v>
      </c>
      <c r="E59" s="596" t="s">
        <v>1229</v>
      </c>
      <c r="F59" s="599">
        <v>39</v>
      </c>
      <c r="G59" s="599">
        <v>0</v>
      </c>
      <c r="H59" s="599"/>
      <c r="I59" s="599">
        <v>0</v>
      </c>
      <c r="J59" s="599">
        <v>62</v>
      </c>
      <c r="K59" s="599">
        <v>0</v>
      </c>
      <c r="L59" s="599"/>
      <c r="M59" s="599">
        <v>0</v>
      </c>
      <c r="N59" s="599"/>
      <c r="O59" s="599"/>
      <c r="P59" s="612"/>
      <c r="Q59" s="600"/>
    </row>
    <row r="60" spans="1:17" ht="14.4" customHeight="1" x14ac:dyDescent="0.3">
      <c r="A60" s="595" t="s">
        <v>496</v>
      </c>
      <c r="B60" s="596" t="s">
        <v>1240</v>
      </c>
      <c r="C60" s="596" t="s">
        <v>1213</v>
      </c>
      <c r="D60" s="596" t="s">
        <v>1230</v>
      </c>
      <c r="E60" s="596" t="s">
        <v>1231</v>
      </c>
      <c r="F60" s="599">
        <v>13</v>
      </c>
      <c r="G60" s="599">
        <v>4262</v>
      </c>
      <c r="H60" s="599">
        <v>1</v>
      </c>
      <c r="I60" s="599">
        <v>327.84615384615387</v>
      </c>
      <c r="J60" s="599">
        <v>8</v>
      </c>
      <c r="K60" s="599">
        <v>2617</v>
      </c>
      <c r="L60" s="599">
        <v>0.61403097137494134</v>
      </c>
      <c r="M60" s="599">
        <v>327.125</v>
      </c>
      <c r="N60" s="599">
        <v>12</v>
      </c>
      <c r="O60" s="599">
        <v>3924</v>
      </c>
      <c r="P60" s="612">
        <v>0.92069450961989674</v>
      </c>
      <c r="Q60" s="600">
        <v>327</v>
      </c>
    </row>
    <row r="61" spans="1:17" ht="14.4" customHeight="1" x14ac:dyDescent="0.3">
      <c r="A61" s="595" t="s">
        <v>496</v>
      </c>
      <c r="B61" s="596" t="s">
        <v>1240</v>
      </c>
      <c r="C61" s="596" t="s">
        <v>1213</v>
      </c>
      <c r="D61" s="596" t="s">
        <v>1278</v>
      </c>
      <c r="E61" s="596" t="s">
        <v>1275</v>
      </c>
      <c r="F61" s="599"/>
      <c r="G61" s="599"/>
      <c r="H61" s="599"/>
      <c r="I61" s="599"/>
      <c r="J61" s="599"/>
      <c r="K61" s="599"/>
      <c r="L61" s="599"/>
      <c r="M61" s="599"/>
      <c r="N61" s="599">
        <v>5</v>
      </c>
      <c r="O61" s="599">
        <v>0</v>
      </c>
      <c r="P61" s="612"/>
      <c r="Q61" s="600">
        <v>0</v>
      </c>
    </row>
    <row r="62" spans="1:17" ht="14.4" customHeight="1" x14ac:dyDescent="0.3">
      <c r="A62" s="595" t="s">
        <v>496</v>
      </c>
      <c r="B62" s="596" t="s">
        <v>1240</v>
      </c>
      <c r="C62" s="596" t="s">
        <v>1213</v>
      </c>
      <c r="D62" s="596" t="s">
        <v>1232</v>
      </c>
      <c r="E62" s="596" t="s">
        <v>1233</v>
      </c>
      <c r="F62" s="599">
        <v>24</v>
      </c>
      <c r="G62" s="599">
        <v>15448</v>
      </c>
      <c r="H62" s="599">
        <v>1</v>
      </c>
      <c r="I62" s="599">
        <v>643.66666666666663</v>
      </c>
      <c r="J62" s="599">
        <v>27</v>
      </c>
      <c r="K62" s="599">
        <v>17407</v>
      </c>
      <c r="L62" s="599">
        <v>1.1268125323666494</v>
      </c>
      <c r="M62" s="599">
        <v>644.7037037037037</v>
      </c>
      <c r="N62" s="599">
        <v>34</v>
      </c>
      <c r="O62" s="599">
        <v>21930</v>
      </c>
      <c r="P62" s="612">
        <v>1.4196012428793372</v>
      </c>
      <c r="Q62" s="600">
        <v>645</v>
      </c>
    </row>
    <row r="63" spans="1:17" ht="14.4" customHeight="1" x14ac:dyDescent="0.3">
      <c r="A63" s="595" t="s">
        <v>496</v>
      </c>
      <c r="B63" s="596" t="s">
        <v>1240</v>
      </c>
      <c r="C63" s="596" t="s">
        <v>1213</v>
      </c>
      <c r="D63" s="596" t="s">
        <v>1279</v>
      </c>
      <c r="E63" s="596" t="s">
        <v>1275</v>
      </c>
      <c r="F63" s="599"/>
      <c r="G63" s="599"/>
      <c r="H63" s="599"/>
      <c r="I63" s="599"/>
      <c r="J63" s="599"/>
      <c r="K63" s="599"/>
      <c r="L63" s="599"/>
      <c r="M63" s="599"/>
      <c r="N63" s="599">
        <v>1</v>
      </c>
      <c r="O63" s="599">
        <v>0</v>
      </c>
      <c r="P63" s="612"/>
      <c r="Q63" s="600">
        <v>0</v>
      </c>
    </row>
    <row r="64" spans="1:17" ht="14.4" customHeight="1" x14ac:dyDescent="0.3">
      <c r="A64" s="595" t="s">
        <v>496</v>
      </c>
      <c r="B64" s="596" t="s">
        <v>1240</v>
      </c>
      <c r="C64" s="596" t="s">
        <v>1213</v>
      </c>
      <c r="D64" s="596" t="s">
        <v>1280</v>
      </c>
      <c r="E64" s="596" t="s">
        <v>1281</v>
      </c>
      <c r="F64" s="599">
        <v>165</v>
      </c>
      <c r="G64" s="599">
        <v>1039830</v>
      </c>
      <c r="H64" s="599">
        <v>1</v>
      </c>
      <c r="I64" s="599">
        <v>6302</v>
      </c>
      <c r="J64" s="599">
        <v>303</v>
      </c>
      <c r="K64" s="599">
        <v>1912192</v>
      </c>
      <c r="L64" s="599">
        <v>1.8389467509112067</v>
      </c>
      <c r="M64" s="599">
        <v>6310.8646864686471</v>
      </c>
      <c r="N64" s="599">
        <v>297</v>
      </c>
      <c r="O64" s="599">
        <v>1874664</v>
      </c>
      <c r="P64" s="612">
        <v>1.8028562361155189</v>
      </c>
      <c r="Q64" s="600">
        <v>6312</v>
      </c>
    </row>
    <row r="65" spans="1:17" ht="14.4" customHeight="1" x14ac:dyDescent="0.3">
      <c r="A65" s="595" t="s">
        <v>496</v>
      </c>
      <c r="B65" s="596" t="s">
        <v>1240</v>
      </c>
      <c r="C65" s="596" t="s">
        <v>1213</v>
      </c>
      <c r="D65" s="596" t="s">
        <v>1234</v>
      </c>
      <c r="E65" s="596" t="s">
        <v>1235</v>
      </c>
      <c r="F65" s="599">
        <v>7</v>
      </c>
      <c r="G65" s="599">
        <v>0</v>
      </c>
      <c r="H65" s="599"/>
      <c r="I65" s="599">
        <v>0</v>
      </c>
      <c r="J65" s="599">
        <v>8</v>
      </c>
      <c r="K65" s="599">
        <v>0</v>
      </c>
      <c r="L65" s="599"/>
      <c r="M65" s="599">
        <v>0</v>
      </c>
      <c r="N65" s="599">
        <v>2</v>
      </c>
      <c r="O65" s="599">
        <v>0</v>
      </c>
      <c r="P65" s="612"/>
      <c r="Q65" s="600">
        <v>0</v>
      </c>
    </row>
    <row r="66" spans="1:17" ht="14.4" customHeight="1" x14ac:dyDescent="0.3">
      <c r="A66" s="595" t="s">
        <v>496</v>
      </c>
      <c r="B66" s="596" t="s">
        <v>1240</v>
      </c>
      <c r="C66" s="596" t="s">
        <v>1213</v>
      </c>
      <c r="D66" s="596" t="s">
        <v>1282</v>
      </c>
      <c r="E66" s="596" t="s">
        <v>1283</v>
      </c>
      <c r="F66" s="599">
        <v>146</v>
      </c>
      <c r="G66" s="599">
        <v>3609850</v>
      </c>
      <c r="H66" s="599">
        <v>1</v>
      </c>
      <c r="I66" s="599">
        <v>24725</v>
      </c>
      <c r="J66" s="599">
        <v>159</v>
      </c>
      <c r="K66" s="599">
        <v>3932603</v>
      </c>
      <c r="L66" s="599">
        <v>1.089408978212391</v>
      </c>
      <c r="M66" s="599">
        <v>24733.352201257861</v>
      </c>
      <c r="N66" s="599">
        <v>142</v>
      </c>
      <c r="O66" s="599">
        <v>3512370</v>
      </c>
      <c r="P66" s="612">
        <v>0.97299610787151825</v>
      </c>
      <c r="Q66" s="600">
        <v>24735</v>
      </c>
    </row>
    <row r="67" spans="1:17" ht="14.4" customHeight="1" x14ac:dyDescent="0.3">
      <c r="A67" s="595" t="s">
        <v>496</v>
      </c>
      <c r="B67" s="596" t="s">
        <v>1240</v>
      </c>
      <c r="C67" s="596" t="s">
        <v>1213</v>
      </c>
      <c r="D67" s="596" t="s">
        <v>1284</v>
      </c>
      <c r="E67" s="596" t="s">
        <v>1285</v>
      </c>
      <c r="F67" s="599">
        <v>1</v>
      </c>
      <c r="G67" s="599">
        <v>0</v>
      </c>
      <c r="H67" s="599"/>
      <c r="I67" s="599">
        <v>0</v>
      </c>
      <c r="J67" s="599">
        <v>6</v>
      </c>
      <c r="K67" s="599">
        <v>0</v>
      </c>
      <c r="L67" s="599"/>
      <c r="M67" s="599">
        <v>0</v>
      </c>
      <c r="N67" s="599">
        <v>7</v>
      </c>
      <c r="O67" s="599">
        <v>0</v>
      </c>
      <c r="P67" s="612"/>
      <c r="Q67" s="600">
        <v>0</v>
      </c>
    </row>
    <row r="68" spans="1:17" ht="14.4" customHeight="1" x14ac:dyDescent="0.3">
      <c r="A68" s="595" t="s">
        <v>496</v>
      </c>
      <c r="B68" s="596" t="s">
        <v>1240</v>
      </c>
      <c r="C68" s="596" t="s">
        <v>1213</v>
      </c>
      <c r="D68" s="596" t="s">
        <v>1286</v>
      </c>
      <c r="E68" s="596" t="s">
        <v>1275</v>
      </c>
      <c r="F68" s="599"/>
      <c r="G68" s="599"/>
      <c r="H68" s="599"/>
      <c r="I68" s="599"/>
      <c r="J68" s="599"/>
      <c r="K68" s="599"/>
      <c r="L68" s="599"/>
      <c r="M68" s="599"/>
      <c r="N68" s="599">
        <v>2</v>
      </c>
      <c r="O68" s="599">
        <v>0</v>
      </c>
      <c r="P68" s="612"/>
      <c r="Q68" s="600">
        <v>0</v>
      </c>
    </row>
    <row r="69" spans="1:17" ht="14.4" customHeight="1" x14ac:dyDescent="0.3">
      <c r="A69" s="595" t="s">
        <v>496</v>
      </c>
      <c r="B69" s="596" t="s">
        <v>1240</v>
      </c>
      <c r="C69" s="596" t="s">
        <v>1213</v>
      </c>
      <c r="D69" s="596" t="s">
        <v>1287</v>
      </c>
      <c r="E69" s="596" t="s">
        <v>1288</v>
      </c>
      <c r="F69" s="599">
        <v>3</v>
      </c>
      <c r="G69" s="599">
        <v>0</v>
      </c>
      <c r="H69" s="599"/>
      <c r="I69" s="599">
        <v>0</v>
      </c>
      <c r="J69" s="599">
        <v>4</v>
      </c>
      <c r="K69" s="599">
        <v>0</v>
      </c>
      <c r="L69" s="599"/>
      <c r="M69" s="599">
        <v>0</v>
      </c>
      <c r="N69" s="599">
        <v>7</v>
      </c>
      <c r="O69" s="599">
        <v>0</v>
      </c>
      <c r="P69" s="612"/>
      <c r="Q69" s="600">
        <v>0</v>
      </c>
    </row>
    <row r="70" spans="1:17" ht="14.4" customHeight="1" x14ac:dyDescent="0.3">
      <c r="A70" s="595" t="s">
        <v>496</v>
      </c>
      <c r="B70" s="596" t="s">
        <v>1240</v>
      </c>
      <c r="C70" s="596" t="s">
        <v>1213</v>
      </c>
      <c r="D70" s="596" t="s">
        <v>1289</v>
      </c>
      <c r="E70" s="596" t="s">
        <v>1290</v>
      </c>
      <c r="F70" s="599"/>
      <c r="G70" s="599"/>
      <c r="H70" s="599"/>
      <c r="I70" s="599"/>
      <c r="J70" s="599">
        <v>1</v>
      </c>
      <c r="K70" s="599">
        <v>103</v>
      </c>
      <c r="L70" s="599"/>
      <c r="M70" s="599">
        <v>103</v>
      </c>
      <c r="N70" s="599"/>
      <c r="O70" s="599"/>
      <c r="P70" s="612"/>
      <c r="Q70" s="600"/>
    </row>
    <row r="71" spans="1:17" ht="14.4" customHeight="1" x14ac:dyDescent="0.3">
      <c r="A71" s="595" t="s">
        <v>496</v>
      </c>
      <c r="B71" s="596" t="s">
        <v>1291</v>
      </c>
      <c r="C71" s="596" t="s">
        <v>1213</v>
      </c>
      <c r="D71" s="596" t="s">
        <v>1292</v>
      </c>
      <c r="E71" s="596" t="s">
        <v>1293</v>
      </c>
      <c r="F71" s="599"/>
      <c r="G71" s="599"/>
      <c r="H71" s="599"/>
      <c r="I71" s="599"/>
      <c r="J71" s="599">
        <v>1</v>
      </c>
      <c r="K71" s="599">
        <v>3459</v>
      </c>
      <c r="L71" s="599"/>
      <c r="M71" s="599">
        <v>3459</v>
      </c>
      <c r="N71" s="599"/>
      <c r="O71" s="599"/>
      <c r="P71" s="612"/>
      <c r="Q71" s="600"/>
    </row>
    <row r="72" spans="1:17" ht="14.4" customHeight="1" x14ac:dyDescent="0.3">
      <c r="A72" s="595" t="s">
        <v>496</v>
      </c>
      <c r="B72" s="596" t="s">
        <v>1291</v>
      </c>
      <c r="C72" s="596" t="s">
        <v>1213</v>
      </c>
      <c r="D72" s="596" t="s">
        <v>703</v>
      </c>
      <c r="E72" s="596" t="s">
        <v>1294</v>
      </c>
      <c r="F72" s="599"/>
      <c r="G72" s="599"/>
      <c r="H72" s="599"/>
      <c r="I72" s="599"/>
      <c r="J72" s="599">
        <v>1</v>
      </c>
      <c r="K72" s="599">
        <v>1892</v>
      </c>
      <c r="L72" s="599"/>
      <c r="M72" s="599">
        <v>1892</v>
      </c>
      <c r="N72" s="599"/>
      <c r="O72" s="599"/>
      <c r="P72" s="612"/>
      <c r="Q72" s="600"/>
    </row>
    <row r="73" spans="1:17" ht="14.4" customHeight="1" x14ac:dyDescent="0.3">
      <c r="A73" s="595" t="s">
        <v>496</v>
      </c>
      <c r="B73" s="596" t="s">
        <v>1291</v>
      </c>
      <c r="C73" s="596" t="s">
        <v>1213</v>
      </c>
      <c r="D73" s="596" t="s">
        <v>1295</v>
      </c>
      <c r="E73" s="596" t="s">
        <v>1296</v>
      </c>
      <c r="F73" s="599"/>
      <c r="G73" s="599"/>
      <c r="H73" s="599"/>
      <c r="I73" s="599"/>
      <c r="J73" s="599">
        <v>1</v>
      </c>
      <c r="K73" s="599">
        <v>5390</v>
      </c>
      <c r="L73" s="599"/>
      <c r="M73" s="599">
        <v>5390</v>
      </c>
      <c r="N73" s="599"/>
      <c r="O73" s="599"/>
      <c r="P73" s="612"/>
      <c r="Q73" s="600"/>
    </row>
    <row r="74" spans="1:17" ht="14.4" customHeight="1" x14ac:dyDescent="0.3">
      <c r="A74" s="595" t="s">
        <v>496</v>
      </c>
      <c r="B74" s="596" t="s">
        <v>1297</v>
      </c>
      <c r="C74" s="596" t="s">
        <v>1213</v>
      </c>
      <c r="D74" s="596" t="s">
        <v>1298</v>
      </c>
      <c r="E74" s="596" t="s">
        <v>1299</v>
      </c>
      <c r="F74" s="599">
        <v>2</v>
      </c>
      <c r="G74" s="599">
        <v>5330</v>
      </c>
      <c r="H74" s="599">
        <v>1</v>
      </c>
      <c r="I74" s="599">
        <v>2665</v>
      </c>
      <c r="J74" s="599"/>
      <c r="K74" s="599"/>
      <c r="L74" s="599"/>
      <c r="M74" s="599"/>
      <c r="N74" s="599">
        <v>2</v>
      </c>
      <c r="O74" s="599">
        <v>5356</v>
      </c>
      <c r="P74" s="612">
        <v>1.0048780487804878</v>
      </c>
      <c r="Q74" s="600">
        <v>2678</v>
      </c>
    </row>
    <row r="75" spans="1:17" ht="14.4" customHeight="1" x14ac:dyDescent="0.3">
      <c r="A75" s="595" t="s">
        <v>496</v>
      </c>
      <c r="B75" s="596" t="s">
        <v>1297</v>
      </c>
      <c r="C75" s="596" t="s">
        <v>1213</v>
      </c>
      <c r="D75" s="596" t="s">
        <v>1300</v>
      </c>
      <c r="E75" s="596" t="s">
        <v>1301</v>
      </c>
      <c r="F75" s="599">
        <v>1</v>
      </c>
      <c r="G75" s="599">
        <v>5905</v>
      </c>
      <c r="H75" s="599">
        <v>1</v>
      </c>
      <c r="I75" s="599">
        <v>5905</v>
      </c>
      <c r="J75" s="599"/>
      <c r="K75" s="599"/>
      <c r="L75" s="599"/>
      <c r="M75" s="599"/>
      <c r="N75" s="599">
        <v>1</v>
      </c>
      <c r="O75" s="599">
        <v>5940</v>
      </c>
      <c r="P75" s="612">
        <v>1.0059271803556309</v>
      </c>
      <c r="Q75" s="600">
        <v>5940</v>
      </c>
    </row>
    <row r="76" spans="1:17" ht="14.4" customHeight="1" x14ac:dyDescent="0.3">
      <c r="A76" s="595" t="s">
        <v>496</v>
      </c>
      <c r="B76" s="596" t="s">
        <v>1297</v>
      </c>
      <c r="C76" s="596" t="s">
        <v>1213</v>
      </c>
      <c r="D76" s="596" t="s">
        <v>1292</v>
      </c>
      <c r="E76" s="596" t="s">
        <v>1293</v>
      </c>
      <c r="F76" s="599"/>
      <c r="G76" s="599"/>
      <c r="H76" s="599"/>
      <c r="I76" s="599"/>
      <c r="J76" s="599"/>
      <c r="K76" s="599"/>
      <c r="L76" s="599"/>
      <c r="M76" s="599"/>
      <c r="N76" s="599">
        <v>1</v>
      </c>
      <c r="O76" s="599">
        <v>3459</v>
      </c>
      <c r="P76" s="612"/>
      <c r="Q76" s="600">
        <v>3459</v>
      </c>
    </row>
    <row r="77" spans="1:17" ht="14.4" customHeight="1" x14ac:dyDescent="0.3">
      <c r="A77" s="595" t="s">
        <v>496</v>
      </c>
      <c r="B77" s="596" t="s">
        <v>1297</v>
      </c>
      <c r="C77" s="596" t="s">
        <v>1213</v>
      </c>
      <c r="D77" s="596" t="s">
        <v>703</v>
      </c>
      <c r="E77" s="596" t="s">
        <v>1294</v>
      </c>
      <c r="F77" s="599"/>
      <c r="G77" s="599"/>
      <c r="H77" s="599"/>
      <c r="I77" s="599"/>
      <c r="J77" s="599"/>
      <c r="K77" s="599"/>
      <c r="L77" s="599"/>
      <c r="M77" s="599"/>
      <c r="N77" s="599">
        <v>1</v>
      </c>
      <c r="O77" s="599">
        <v>1892</v>
      </c>
      <c r="P77" s="612"/>
      <c r="Q77" s="600">
        <v>1892</v>
      </c>
    </row>
    <row r="78" spans="1:17" ht="14.4" customHeight="1" x14ac:dyDescent="0.3">
      <c r="A78" s="595" t="s">
        <v>496</v>
      </c>
      <c r="B78" s="596" t="s">
        <v>1297</v>
      </c>
      <c r="C78" s="596" t="s">
        <v>1213</v>
      </c>
      <c r="D78" s="596" t="s">
        <v>1302</v>
      </c>
      <c r="E78" s="596" t="s">
        <v>1303</v>
      </c>
      <c r="F78" s="599">
        <v>1</v>
      </c>
      <c r="G78" s="599">
        <v>5070</v>
      </c>
      <c r="H78" s="599">
        <v>1</v>
      </c>
      <c r="I78" s="599">
        <v>5070</v>
      </c>
      <c r="J78" s="599"/>
      <c r="K78" s="599"/>
      <c r="L78" s="599"/>
      <c r="M78" s="599"/>
      <c r="N78" s="599"/>
      <c r="O78" s="599"/>
      <c r="P78" s="612"/>
      <c r="Q78" s="600"/>
    </row>
    <row r="79" spans="1:17" ht="14.4" customHeight="1" x14ac:dyDescent="0.3">
      <c r="A79" s="595" t="s">
        <v>496</v>
      </c>
      <c r="B79" s="596" t="s">
        <v>1297</v>
      </c>
      <c r="C79" s="596" t="s">
        <v>1213</v>
      </c>
      <c r="D79" s="596" t="s">
        <v>1295</v>
      </c>
      <c r="E79" s="596" t="s">
        <v>1296</v>
      </c>
      <c r="F79" s="599"/>
      <c r="G79" s="599"/>
      <c r="H79" s="599"/>
      <c r="I79" s="599"/>
      <c r="J79" s="599"/>
      <c r="K79" s="599"/>
      <c r="L79" s="599"/>
      <c r="M79" s="599"/>
      <c r="N79" s="599">
        <v>1</v>
      </c>
      <c r="O79" s="599">
        <v>5390</v>
      </c>
      <c r="P79" s="612"/>
      <c r="Q79" s="600">
        <v>5390</v>
      </c>
    </row>
    <row r="80" spans="1:17" ht="14.4" customHeight="1" x14ac:dyDescent="0.3">
      <c r="A80" s="595" t="s">
        <v>496</v>
      </c>
      <c r="B80" s="596" t="s">
        <v>1297</v>
      </c>
      <c r="C80" s="596" t="s">
        <v>1213</v>
      </c>
      <c r="D80" s="596" t="s">
        <v>1304</v>
      </c>
      <c r="E80" s="596" t="s">
        <v>1305</v>
      </c>
      <c r="F80" s="599">
        <v>1</v>
      </c>
      <c r="G80" s="599">
        <v>7990</v>
      </c>
      <c r="H80" s="599">
        <v>1</v>
      </c>
      <c r="I80" s="599">
        <v>7990</v>
      </c>
      <c r="J80" s="599"/>
      <c r="K80" s="599"/>
      <c r="L80" s="599"/>
      <c r="M80" s="599"/>
      <c r="N80" s="599"/>
      <c r="O80" s="599"/>
      <c r="P80" s="612"/>
      <c r="Q80" s="600"/>
    </row>
    <row r="81" spans="1:17" ht="14.4" customHeight="1" x14ac:dyDescent="0.3">
      <c r="A81" s="595" t="s">
        <v>496</v>
      </c>
      <c r="B81" s="596" t="s">
        <v>1297</v>
      </c>
      <c r="C81" s="596" t="s">
        <v>1213</v>
      </c>
      <c r="D81" s="596" t="s">
        <v>1306</v>
      </c>
      <c r="E81" s="596" t="s">
        <v>1307</v>
      </c>
      <c r="F81" s="599">
        <v>2</v>
      </c>
      <c r="G81" s="599">
        <v>12944</v>
      </c>
      <c r="H81" s="599">
        <v>1</v>
      </c>
      <c r="I81" s="599">
        <v>6472</v>
      </c>
      <c r="J81" s="599"/>
      <c r="K81" s="599"/>
      <c r="L81" s="599"/>
      <c r="M81" s="599"/>
      <c r="N81" s="599"/>
      <c r="O81" s="599"/>
      <c r="P81" s="612"/>
      <c r="Q81" s="600"/>
    </row>
    <row r="82" spans="1:17" ht="14.4" customHeight="1" x14ac:dyDescent="0.3">
      <c r="A82" s="595" t="s">
        <v>496</v>
      </c>
      <c r="B82" s="596" t="s">
        <v>1308</v>
      </c>
      <c r="C82" s="596" t="s">
        <v>1213</v>
      </c>
      <c r="D82" s="596" t="s">
        <v>1309</v>
      </c>
      <c r="E82" s="596" t="s">
        <v>1310</v>
      </c>
      <c r="F82" s="599"/>
      <c r="G82" s="599"/>
      <c r="H82" s="599"/>
      <c r="I82" s="599"/>
      <c r="J82" s="599"/>
      <c r="K82" s="599"/>
      <c r="L82" s="599"/>
      <c r="M82" s="599"/>
      <c r="N82" s="599">
        <v>1</v>
      </c>
      <c r="O82" s="599">
        <v>2208</v>
      </c>
      <c r="P82" s="612"/>
      <c r="Q82" s="600">
        <v>2208</v>
      </c>
    </row>
    <row r="83" spans="1:17" ht="14.4" customHeight="1" x14ac:dyDescent="0.3">
      <c r="A83" s="595" t="s">
        <v>496</v>
      </c>
      <c r="B83" s="596" t="s">
        <v>1311</v>
      </c>
      <c r="C83" s="596" t="s">
        <v>1213</v>
      </c>
      <c r="D83" s="596" t="s">
        <v>1312</v>
      </c>
      <c r="E83" s="596" t="s">
        <v>1313</v>
      </c>
      <c r="F83" s="599">
        <v>249</v>
      </c>
      <c r="G83" s="599">
        <v>48549</v>
      </c>
      <c r="H83" s="599">
        <v>1</v>
      </c>
      <c r="I83" s="599">
        <v>194.97590361445782</v>
      </c>
      <c r="J83" s="599">
        <v>280</v>
      </c>
      <c r="K83" s="599">
        <v>54877</v>
      </c>
      <c r="L83" s="599">
        <v>1.1303425405260665</v>
      </c>
      <c r="M83" s="599">
        <v>195.98928571428573</v>
      </c>
      <c r="N83" s="599">
        <v>244</v>
      </c>
      <c r="O83" s="599">
        <v>47824</v>
      </c>
      <c r="P83" s="612">
        <v>0.98506663371027214</v>
      </c>
      <c r="Q83" s="600">
        <v>196</v>
      </c>
    </row>
    <row r="84" spans="1:17" ht="14.4" customHeight="1" thickBot="1" x14ac:dyDescent="0.35">
      <c r="A84" s="601" t="s">
        <v>496</v>
      </c>
      <c r="B84" s="602" t="s">
        <v>1314</v>
      </c>
      <c r="C84" s="602" t="s">
        <v>1213</v>
      </c>
      <c r="D84" s="602" t="s">
        <v>1315</v>
      </c>
      <c r="E84" s="602" t="s">
        <v>1316</v>
      </c>
      <c r="F84" s="605">
        <v>2</v>
      </c>
      <c r="G84" s="605">
        <v>1022</v>
      </c>
      <c r="H84" s="605">
        <v>1</v>
      </c>
      <c r="I84" s="605">
        <v>511</v>
      </c>
      <c r="J84" s="605"/>
      <c r="K84" s="605"/>
      <c r="L84" s="605"/>
      <c r="M84" s="605"/>
      <c r="N84" s="605"/>
      <c r="O84" s="605"/>
      <c r="P84" s="613"/>
      <c r="Q84" s="60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2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47" customWidth="1"/>
    <col min="2" max="4" width="7.88671875" style="347" customWidth="1"/>
    <col min="5" max="5" width="7.88671875" style="356" customWidth="1"/>
    <col min="6" max="8" width="7.88671875" style="347" customWidth="1"/>
    <col min="9" max="9" width="7.88671875" style="357" customWidth="1"/>
    <col min="10" max="13" width="7.88671875" style="347" customWidth="1"/>
    <col min="14" max="16384" width="9.33203125" style="347"/>
  </cols>
  <sheetData>
    <row r="1" spans="1:13" ht="18.600000000000001" customHeight="1" thickBot="1" x14ac:dyDescent="0.4">
      <c r="A1" s="513" t="s">
        <v>125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</row>
    <row r="2" spans="1:13" ht="14.4" customHeight="1" thickBot="1" x14ac:dyDescent="0.35">
      <c r="A2" s="369" t="s">
        <v>271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</row>
    <row r="3" spans="1:13" ht="14.4" customHeight="1" thickBot="1" x14ac:dyDescent="0.35">
      <c r="A3" s="514" t="s">
        <v>60</v>
      </c>
      <c r="B3" s="496" t="s">
        <v>61</v>
      </c>
      <c r="C3" s="497"/>
      <c r="D3" s="497"/>
      <c r="E3" s="498"/>
      <c r="F3" s="496" t="s">
        <v>216</v>
      </c>
      <c r="G3" s="497"/>
      <c r="H3" s="497"/>
      <c r="I3" s="498"/>
      <c r="J3" s="110"/>
      <c r="K3" s="111"/>
      <c r="L3" s="110"/>
      <c r="M3" s="112"/>
    </row>
    <row r="4" spans="1:13" ht="14.4" customHeight="1" thickBot="1" x14ac:dyDescent="0.35">
      <c r="A4" s="515"/>
      <c r="B4" s="113">
        <v>2012</v>
      </c>
      <c r="C4" s="114">
        <v>2013</v>
      </c>
      <c r="D4" s="114">
        <v>2014</v>
      </c>
      <c r="E4" s="115" t="s">
        <v>5</v>
      </c>
      <c r="F4" s="114">
        <v>2012</v>
      </c>
      <c r="G4" s="114">
        <v>2013</v>
      </c>
      <c r="H4" s="114">
        <v>2014</v>
      </c>
      <c r="I4" s="115" t="s">
        <v>5</v>
      </c>
      <c r="J4" s="110"/>
      <c r="K4" s="110"/>
      <c r="L4" s="116" t="s">
        <v>62</v>
      </c>
      <c r="M4" s="117" t="s">
        <v>63</v>
      </c>
    </row>
    <row r="5" spans="1:13" ht="14.4" hidden="1" customHeight="1" outlineLevel="1" x14ac:dyDescent="0.3">
      <c r="A5" s="105" t="s">
        <v>153</v>
      </c>
      <c r="B5" s="108">
        <v>296.18799999999999</v>
      </c>
      <c r="C5" s="101">
        <v>204.44200000000001</v>
      </c>
      <c r="D5" s="101">
        <v>208.64699999999999</v>
      </c>
      <c r="E5" s="118">
        <v>0.70444109822139989</v>
      </c>
      <c r="F5" s="119">
        <v>79</v>
      </c>
      <c r="G5" s="101">
        <v>91</v>
      </c>
      <c r="H5" s="101">
        <v>73</v>
      </c>
      <c r="I5" s="120">
        <v>0.92405063291139244</v>
      </c>
      <c r="J5" s="110"/>
      <c r="K5" s="110"/>
      <c r="L5" s="7">
        <f>D5-B5</f>
        <v>-87.540999999999997</v>
      </c>
      <c r="M5" s="8">
        <f>H5-F5</f>
        <v>-6</v>
      </c>
    </row>
    <row r="6" spans="1:13" ht="14.4" hidden="1" customHeight="1" outlineLevel="1" x14ac:dyDescent="0.3">
      <c r="A6" s="106" t="s">
        <v>154</v>
      </c>
      <c r="B6" s="109">
        <v>47.901000000000003</v>
      </c>
      <c r="C6" s="100">
        <v>191.30799999999999</v>
      </c>
      <c r="D6" s="100">
        <v>29.927</v>
      </c>
      <c r="E6" s="121">
        <v>0.62476775015135377</v>
      </c>
      <c r="F6" s="122">
        <v>50</v>
      </c>
      <c r="G6" s="100">
        <v>51</v>
      </c>
      <c r="H6" s="100">
        <v>37</v>
      </c>
      <c r="I6" s="123">
        <v>0.74</v>
      </c>
      <c r="J6" s="110"/>
      <c r="K6" s="110"/>
      <c r="L6" s="5">
        <f t="shared" ref="L6:L11" si="0">D6-B6</f>
        <v>-17.974000000000004</v>
      </c>
      <c r="M6" s="6">
        <f t="shared" ref="M6:M13" si="1">H6-F6</f>
        <v>-13</v>
      </c>
    </row>
    <row r="7" spans="1:13" ht="14.4" hidden="1" customHeight="1" outlineLevel="1" x14ac:dyDescent="0.3">
      <c r="A7" s="106" t="s">
        <v>155</v>
      </c>
      <c r="B7" s="109">
        <v>444.94299999999998</v>
      </c>
      <c r="C7" s="100">
        <v>379.56299999999999</v>
      </c>
      <c r="D7" s="100">
        <v>201.01300000000001</v>
      </c>
      <c r="E7" s="121">
        <v>0.45177247422703587</v>
      </c>
      <c r="F7" s="122">
        <v>155</v>
      </c>
      <c r="G7" s="100">
        <v>152</v>
      </c>
      <c r="H7" s="100">
        <v>147</v>
      </c>
      <c r="I7" s="123">
        <v>0.94838709677419353</v>
      </c>
      <c r="J7" s="110"/>
      <c r="K7" s="110"/>
      <c r="L7" s="5">
        <f t="shared" si="0"/>
        <v>-243.92999999999998</v>
      </c>
      <c r="M7" s="6">
        <f t="shared" si="1"/>
        <v>-8</v>
      </c>
    </row>
    <row r="8" spans="1:13" ht="14.4" hidden="1" customHeight="1" outlineLevel="1" x14ac:dyDescent="0.3">
      <c r="A8" s="106" t="s">
        <v>156</v>
      </c>
      <c r="B8" s="109">
        <v>15.03</v>
      </c>
      <c r="C8" s="100">
        <v>7.7160000000000002</v>
      </c>
      <c r="D8" s="100">
        <v>6.2510000000000003</v>
      </c>
      <c r="E8" s="121">
        <v>0.41590153027278781</v>
      </c>
      <c r="F8" s="122">
        <v>14</v>
      </c>
      <c r="G8" s="100">
        <v>11</v>
      </c>
      <c r="H8" s="100">
        <v>12</v>
      </c>
      <c r="I8" s="123">
        <v>0.8571428571428571</v>
      </c>
      <c r="J8" s="110"/>
      <c r="K8" s="110"/>
      <c r="L8" s="5">
        <f t="shared" si="0"/>
        <v>-8.7789999999999999</v>
      </c>
      <c r="M8" s="6">
        <f t="shared" si="1"/>
        <v>-2</v>
      </c>
    </row>
    <row r="9" spans="1:13" ht="14.4" hidden="1" customHeight="1" outlineLevel="1" x14ac:dyDescent="0.3">
      <c r="A9" s="106" t="s">
        <v>157</v>
      </c>
      <c r="B9" s="109">
        <v>0</v>
      </c>
      <c r="C9" s="100">
        <v>0</v>
      </c>
      <c r="D9" s="100">
        <v>0</v>
      </c>
      <c r="E9" s="121" t="s">
        <v>497</v>
      </c>
      <c r="F9" s="122">
        <v>0</v>
      </c>
      <c r="G9" s="100">
        <v>0</v>
      </c>
      <c r="H9" s="100">
        <v>0</v>
      </c>
      <c r="I9" s="123" t="s">
        <v>497</v>
      </c>
      <c r="J9" s="110"/>
      <c r="K9" s="110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6" t="s">
        <v>158</v>
      </c>
      <c r="B10" s="109">
        <v>15.867000000000001</v>
      </c>
      <c r="C10" s="100">
        <v>102.727</v>
      </c>
      <c r="D10" s="100">
        <v>121.248</v>
      </c>
      <c r="E10" s="121">
        <v>7.6415201361315939</v>
      </c>
      <c r="F10" s="122">
        <v>31</v>
      </c>
      <c r="G10" s="100">
        <v>46</v>
      </c>
      <c r="H10" s="100">
        <v>50</v>
      </c>
      <c r="I10" s="123">
        <v>1.6129032258064515</v>
      </c>
      <c r="J10" s="110"/>
      <c r="K10" s="110"/>
      <c r="L10" s="5">
        <f t="shared" si="0"/>
        <v>105.381</v>
      </c>
      <c r="M10" s="6">
        <f t="shared" si="1"/>
        <v>19</v>
      </c>
    </row>
    <row r="11" spans="1:13" ht="14.4" hidden="1" customHeight="1" outlineLevel="1" x14ac:dyDescent="0.3">
      <c r="A11" s="106" t="s">
        <v>159</v>
      </c>
      <c r="B11" s="109">
        <v>3.2930000000000001</v>
      </c>
      <c r="C11" s="100">
        <v>1.4370000000000001</v>
      </c>
      <c r="D11" s="100">
        <v>64.849999999999994</v>
      </c>
      <c r="E11" s="121">
        <v>19.693288794412386</v>
      </c>
      <c r="F11" s="122">
        <v>5</v>
      </c>
      <c r="G11" s="100">
        <v>3</v>
      </c>
      <c r="H11" s="100">
        <v>5</v>
      </c>
      <c r="I11" s="123">
        <v>1</v>
      </c>
      <c r="J11" s="110"/>
      <c r="K11" s="110"/>
      <c r="L11" s="5">
        <f t="shared" si="0"/>
        <v>61.556999999999995</v>
      </c>
      <c r="M11" s="6">
        <f t="shared" si="1"/>
        <v>0</v>
      </c>
    </row>
    <row r="12" spans="1:13" ht="14.4" hidden="1" customHeight="1" outlineLevel="1" thickBot="1" x14ac:dyDescent="0.35">
      <c r="A12" s="236" t="s">
        <v>215</v>
      </c>
      <c r="B12" s="237">
        <v>1.006</v>
      </c>
      <c r="C12" s="238">
        <v>0.13800000000000001</v>
      </c>
      <c r="D12" s="238">
        <v>25.15</v>
      </c>
      <c r="E12" s="239"/>
      <c r="F12" s="240">
        <v>3</v>
      </c>
      <c r="G12" s="238">
        <v>1</v>
      </c>
      <c r="H12" s="238">
        <v>1</v>
      </c>
      <c r="I12" s="241"/>
      <c r="J12" s="110"/>
      <c r="K12" s="110"/>
      <c r="L12" s="242">
        <f>D12-B12</f>
        <v>24.143999999999998</v>
      </c>
      <c r="M12" s="243">
        <f>H12-F12</f>
        <v>-2</v>
      </c>
    </row>
    <row r="13" spans="1:13" ht="14.4" customHeight="1" collapsed="1" thickBot="1" x14ac:dyDescent="0.35">
      <c r="A13" s="107" t="s">
        <v>6</v>
      </c>
      <c r="B13" s="102">
        <f>SUM(B5:B12)</f>
        <v>824.22799999999984</v>
      </c>
      <c r="C13" s="103">
        <f>SUM(C5:C12)</f>
        <v>887.33100000000002</v>
      </c>
      <c r="D13" s="103">
        <f>SUM(D5:D12)</f>
        <v>657.08600000000001</v>
      </c>
      <c r="E13" s="124">
        <f>IF(OR(D13=0,B13=0),0,D13/B13)</f>
        <v>0.79721387771344843</v>
      </c>
      <c r="F13" s="125">
        <f>SUM(F5:F12)</f>
        <v>337</v>
      </c>
      <c r="G13" s="103">
        <f>SUM(G5:G12)</f>
        <v>355</v>
      </c>
      <c r="H13" s="103">
        <f>SUM(H5:H12)</f>
        <v>325</v>
      </c>
      <c r="I13" s="126">
        <f>IF(OR(H13=0,F13=0),0,H13/F13)</f>
        <v>0.96439169139465875</v>
      </c>
      <c r="J13" s="110"/>
      <c r="K13" s="110"/>
      <c r="L13" s="116">
        <f>D13-B13</f>
        <v>-167.14199999999983</v>
      </c>
      <c r="M13" s="127">
        <f t="shared" si="1"/>
        <v>-12</v>
      </c>
    </row>
    <row r="14" spans="1:13" ht="14.4" customHeight="1" x14ac:dyDescent="0.3">
      <c r="A14" s="128"/>
      <c r="B14" s="516"/>
      <c r="C14" s="516"/>
      <c r="D14" s="516"/>
      <c r="E14" s="516"/>
      <c r="F14" s="516"/>
      <c r="G14" s="516"/>
      <c r="H14" s="516"/>
      <c r="I14" s="516"/>
      <c r="J14" s="110"/>
      <c r="K14" s="110"/>
      <c r="L14" s="110"/>
      <c r="M14" s="112"/>
    </row>
    <row r="15" spans="1:13" ht="14.4" customHeight="1" thickBot="1" x14ac:dyDescent="0.35">
      <c r="A15" s="128"/>
      <c r="B15" s="349"/>
      <c r="C15" s="350"/>
      <c r="D15" s="350"/>
      <c r="E15" s="350"/>
      <c r="F15" s="349"/>
      <c r="G15" s="350"/>
      <c r="H15" s="350"/>
      <c r="I15" s="350"/>
      <c r="J15" s="110"/>
      <c r="K15" s="110"/>
      <c r="L15" s="110"/>
      <c r="M15" s="112"/>
    </row>
    <row r="16" spans="1:13" ht="14.4" customHeight="1" thickBot="1" x14ac:dyDescent="0.35">
      <c r="A16" s="522" t="s">
        <v>209</v>
      </c>
      <c r="B16" s="524" t="s">
        <v>61</v>
      </c>
      <c r="C16" s="525"/>
      <c r="D16" s="525"/>
      <c r="E16" s="526"/>
      <c r="F16" s="524" t="s">
        <v>216</v>
      </c>
      <c r="G16" s="525"/>
      <c r="H16" s="525"/>
      <c r="I16" s="526"/>
      <c r="J16" s="507" t="s">
        <v>163</v>
      </c>
      <c r="K16" s="508"/>
      <c r="L16" s="145"/>
      <c r="M16" s="145"/>
    </row>
    <row r="17" spans="1:13" ht="14.4" customHeight="1" thickBot="1" x14ac:dyDescent="0.35">
      <c r="A17" s="523"/>
      <c r="B17" s="129">
        <v>2012</v>
      </c>
      <c r="C17" s="130">
        <v>2013</v>
      </c>
      <c r="D17" s="130">
        <v>2014</v>
      </c>
      <c r="E17" s="131" t="s">
        <v>5</v>
      </c>
      <c r="F17" s="129">
        <v>2012</v>
      </c>
      <c r="G17" s="130">
        <v>2013</v>
      </c>
      <c r="H17" s="130">
        <v>2014</v>
      </c>
      <c r="I17" s="131" t="s">
        <v>5</v>
      </c>
      <c r="J17" s="509" t="s">
        <v>164</v>
      </c>
      <c r="K17" s="510"/>
      <c r="L17" s="132" t="s">
        <v>62</v>
      </c>
      <c r="M17" s="133" t="s">
        <v>63</v>
      </c>
    </row>
    <row r="18" spans="1:13" ht="14.4" hidden="1" customHeight="1" outlineLevel="1" x14ac:dyDescent="0.3">
      <c r="A18" s="105" t="s">
        <v>153</v>
      </c>
      <c r="B18" s="108">
        <v>296.18799999999999</v>
      </c>
      <c r="C18" s="101">
        <v>204.44200000000001</v>
      </c>
      <c r="D18" s="101">
        <v>208.64699999999999</v>
      </c>
      <c r="E18" s="118">
        <v>0.70444109822139989</v>
      </c>
      <c r="F18" s="108">
        <v>79</v>
      </c>
      <c r="G18" s="101">
        <v>91</v>
      </c>
      <c r="H18" s="101">
        <v>73</v>
      </c>
      <c r="I18" s="120">
        <v>0.92405063291139244</v>
      </c>
      <c r="J18" s="511">
        <f>0.97*0.976</f>
        <v>0.94672000000000001</v>
      </c>
      <c r="K18" s="512"/>
      <c r="L18" s="134">
        <f>D18-B18</f>
        <v>-87.540999999999997</v>
      </c>
      <c r="M18" s="135">
        <f>H18-F18</f>
        <v>-6</v>
      </c>
    </row>
    <row r="19" spans="1:13" ht="14.4" hidden="1" customHeight="1" outlineLevel="1" x14ac:dyDescent="0.3">
      <c r="A19" s="106" t="s">
        <v>154</v>
      </c>
      <c r="B19" s="109">
        <v>47.901000000000003</v>
      </c>
      <c r="C19" s="100">
        <v>191.30799999999999</v>
      </c>
      <c r="D19" s="100">
        <v>29.927</v>
      </c>
      <c r="E19" s="121">
        <v>0.62476775015135377</v>
      </c>
      <c r="F19" s="109">
        <v>50</v>
      </c>
      <c r="G19" s="100">
        <v>51</v>
      </c>
      <c r="H19" s="100">
        <v>37</v>
      </c>
      <c r="I19" s="123">
        <v>0.74</v>
      </c>
      <c r="J19" s="511">
        <f>0.97*1.096</f>
        <v>1.0631200000000001</v>
      </c>
      <c r="K19" s="512"/>
      <c r="L19" s="136">
        <f t="shared" ref="L19:L26" si="2">D19-B19</f>
        <v>-17.974000000000004</v>
      </c>
      <c r="M19" s="137">
        <f t="shared" ref="M19:M26" si="3">H19-F19</f>
        <v>-13</v>
      </c>
    </row>
    <row r="20" spans="1:13" ht="14.4" hidden="1" customHeight="1" outlineLevel="1" x14ac:dyDescent="0.3">
      <c r="A20" s="106" t="s">
        <v>155</v>
      </c>
      <c r="B20" s="109">
        <v>444.94299999999998</v>
      </c>
      <c r="C20" s="100">
        <v>379.56299999999999</v>
      </c>
      <c r="D20" s="100">
        <v>201.01300000000001</v>
      </c>
      <c r="E20" s="121">
        <v>0.45177247422703587</v>
      </c>
      <c r="F20" s="109">
        <v>155</v>
      </c>
      <c r="G20" s="100">
        <v>152</v>
      </c>
      <c r="H20" s="100">
        <v>147</v>
      </c>
      <c r="I20" s="123">
        <v>0.94838709677419353</v>
      </c>
      <c r="J20" s="511">
        <f>0.97*1.047</f>
        <v>1.01559</v>
      </c>
      <c r="K20" s="512"/>
      <c r="L20" s="136">
        <f t="shared" si="2"/>
        <v>-243.92999999999998</v>
      </c>
      <c r="M20" s="137">
        <f t="shared" si="3"/>
        <v>-8</v>
      </c>
    </row>
    <row r="21" spans="1:13" ht="14.4" hidden="1" customHeight="1" outlineLevel="1" x14ac:dyDescent="0.3">
      <c r="A21" s="106" t="s">
        <v>156</v>
      </c>
      <c r="B21" s="109">
        <v>15.03</v>
      </c>
      <c r="C21" s="100">
        <v>7.7160000000000002</v>
      </c>
      <c r="D21" s="100">
        <v>6.2510000000000003</v>
      </c>
      <c r="E21" s="121">
        <v>0.41590153027278781</v>
      </c>
      <c r="F21" s="109">
        <v>14</v>
      </c>
      <c r="G21" s="100">
        <v>11</v>
      </c>
      <c r="H21" s="100">
        <v>12</v>
      </c>
      <c r="I21" s="123">
        <v>0.8571428571428571</v>
      </c>
      <c r="J21" s="511">
        <f>0.97*1.091</f>
        <v>1.05827</v>
      </c>
      <c r="K21" s="512"/>
      <c r="L21" s="136">
        <f t="shared" si="2"/>
        <v>-8.7789999999999999</v>
      </c>
      <c r="M21" s="137">
        <f t="shared" si="3"/>
        <v>-2</v>
      </c>
    </row>
    <row r="22" spans="1:13" ht="14.4" hidden="1" customHeight="1" outlineLevel="1" x14ac:dyDescent="0.3">
      <c r="A22" s="106" t="s">
        <v>157</v>
      </c>
      <c r="B22" s="109">
        <v>0</v>
      </c>
      <c r="C22" s="100">
        <v>0</v>
      </c>
      <c r="D22" s="100">
        <v>0</v>
      </c>
      <c r="E22" s="121" t="s">
        <v>497</v>
      </c>
      <c r="F22" s="109">
        <v>0</v>
      </c>
      <c r="G22" s="100">
        <v>0</v>
      </c>
      <c r="H22" s="100">
        <v>0</v>
      </c>
      <c r="I22" s="123" t="s">
        <v>497</v>
      </c>
      <c r="J22" s="511">
        <f>0.97*1</f>
        <v>0.97</v>
      </c>
      <c r="K22" s="512"/>
      <c r="L22" s="136">
        <f t="shared" si="2"/>
        <v>0</v>
      </c>
      <c r="M22" s="137">
        <f t="shared" si="3"/>
        <v>0</v>
      </c>
    </row>
    <row r="23" spans="1:13" ht="14.4" hidden="1" customHeight="1" outlineLevel="1" x14ac:dyDescent="0.3">
      <c r="A23" s="106" t="s">
        <v>158</v>
      </c>
      <c r="B23" s="109">
        <v>15.867000000000001</v>
      </c>
      <c r="C23" s="100">
        <v>102.727</v>
      </c>
      <c r="D23" s="100">
        <v>121.248</v>
      </c>
      <c r="E23" s="121">
        <v>7.6415201361315939</v>
      </c>
      <c r="F23" s="109">
        <v>31</v>
      </c>
      <c r="G23" s="100">
        <v>46</v>
      </c>
      <c r="H23" s="100">
        <v>50</v>
      </c>
      <c r="I23" s="123">
        <v>1.6129032258064515</v>
      </c>
      <c r="J23" s="511">
        <f>0.97*1.096</f>
        <v>1.0631200000000001</v>
      </c>
      <c r="K23" s="512"/>
      <c r="L23" s="136">
        <f t="shared" si="2"/>
        <v>105.381</v>
      </c>
      <c r="M23" s="137">
        <f t="shared" si="3"/>
        <v>19</v>
      </c>
    </row>
    <row r="24" spans="1:13" ht="14.4" hidden="1" customHeight="1" outlineLevel="1" x14ac:dyDescent="0.3">
      <c r="A24" s="106" t="s">
        <v>159</v>
      </c>
      <c r="B24" s="109">
        <v>3.2930000000000001</v>
      </c>
      <c r="C24" s="100">
        <v>1.4370000000000001</v>
      </c>
      <c r="D24" s="100">
        <v>64.849999999999994</v>
      </c>
      <c r="E24" s="121">
        <v>19.693288794412386</v>
      </c>
      <c r="F24" s="109">
        <v>5</v>
      </c>
      <c r="G24" s="100">
        <v>3</v>
      </c>
      <c r="H24" s="100">
        <v>5</v>
      </c>
      <c r="I24" s="123">
        <v>1</v>
      </c>
      <c r="J24" s="511">
        <f>0.97*0.989</f>
        <v>0.95933000000000002</v>
      </c>
      <c r="K24" s="512"/>
      <c r="L24" s="136">
        <f t="shared" si="2"/>
        <v>61.556999999999995</v>
      </c>
      <c r="M24" s="137">
        <f t="shared" si="3"/>
        <v>0</v>
      </c>
    </row>
    <row r="25" spans="1:13" ht="14.4" hidden="1" customHeight="1" outlineLevel="1" thickBot="1" x14ac:dyDescent="0.35">
      <c r="A25" s="236" t="s">
        <v>215</v>
      </c>
      <c r="B25" s="237">
        <v>1.006</v>
      </c>
      <c r="C25" s="238">
        <v>0.13800000000000001</v>
      </c>
      <c r="D25" s="238">
        <v>25.15</v>
      </c>
      <c r="E25" s="239"/>
      <c r="F25" s="237">
        <v>3</v>
      </c>
      <c r="G25" s="238">
        <v>1</v>
      </c>
      <c r="H25" s="238">
        <v>1</v>
      </c>
      <c r="I25" s="241"/>
      <c r="J25" s="351"/>
      <c r="K25" s="352"/>
      <c r="L25" s="244">
        <f>D25-B25</f>
        <v>24.143999999999998</v>
      </c>
      <c r="M25" s="245">
        <f>H25-F25</f>
        <v>-2</v>
      </c>
    </row>
    <row r="26" spans="1:13" ht="14.4" customHeight="1" collapsed="1" thickBot="1" x14ac:dyDescent="0.35">
      <c r="A26" s="138" t="s">
        <v>6</v>
      </c>
      <c r="B26" s="139">
        <f>SUM(B18:B25)</f>
        <v>824.22799999999984</v>
      </c>
      <c r="C26" s="140">
        <f>SUM(C18:C25)</f>
        <v>887.33100000000002</v>
      </c>
      <c r="D26" s="140">
        <f>SUM(D18:D25)</f>
        <v>657.08600000000001</v>
      </c>
      <c r="E26" s="141">
        <f>IF(OR(D26=0,B26=0),0,D26/B26)</f>
        <v>0.79721387771344843</v>
      </c>
      <c r="F26" s="139">
        <f>SUM(F18:F25)</f>
        <v>337</v>
      </c>
      <c r="G26" s="140">
        <f>SUM(G18:G25)</f>
        <v>355</v>
      </c>
      <c r="H26" s="140">
        <f>SUM(H18:H25)</f>
        <v>325</v>
      </c>
      <c r="I26" s="142">
        <f>IF(OR(H26=0,F26=0),0,H26/F26)</f>
        <v>0.96439169139465875</v>
      </c>
      <c r="J26" s="110"/>
      <c r="K26" s="110"/>
      <c r="L26" s="132">
        <f t="shared" si="2"/>
        <v>-167.14199999999983</v>
      </c>
      <c r="M26" s="143">
        <f t="shared" si="3"/>
        <v>-12</v>
      </c>
    </row>
    <row r="27" spans="1:13" ht="14.4" customHeight="1" x14ac:dyDescent="0.3">
      <c r="A27" s="144"/>
      <c r="B27" s="516" t="s">
        <v>211</v>
      </c>
      <c r="C27" s="527"/>
      <c r="D27" s="527"/>
      <c r="E27" s="527"/>
      <c r="F27" s="516" t="s">
        <v>212</v>
      </c>
      <c r="G27" s="527"/>
      <c r="H27" s="527"/>
      <c r="I27" s="527"/>
      <c r="J27" s="145"/>
      <c r="K27" s="145"/>
      <c r="L27" s="145"/>
      <c r="M27" s="146"/>
    </row>
    <row r="28" spans="1:13" ht="14.4" customHeight="1" thickBot="1" x14ac:dyDescent="0.35">
      <c r="A28" s="144"/>
      <c r="B28" s="349"/>
      <c r="C28" s="350"/>
      <c r="D28" s="350"/>
      <c r="E28" s="350"/>
      <c r="F28" s="349"/>
      <c r="G28" s="350"/>
      <c r="H28" s="350"/>
      <c r="I28" s="350"/>
      <c r="J28" s="145"/>
      <c r="K28" s="145"/>
      <c r="L28" s="145"/>
      <c r="M28" s="146"/>
    </row>
    <row r="29" spans="1:13" ht="14.4" customHeight="1" thickBot="1" x14ac:dyDescent="0.35">
      <c r="A29" s="517" t="s">
        <v>210</v>
      </c>
      <c r="B29" s="519" t="s">
        <v>61</v>
      </c>
      <c r="C29" s="520"/>
      <c r="D29" s="520"/>
      <c r="E29" s="521"/>
      <c r="F29" s="520" t="s">
        <v>216</v>
      </c>
      <c r="G29" s="520"/>
      <c r="H29" s="520"/>
      <c r="I29" s="521"/>
      <c r="J29" s="145"/>
      <c r="K29" s="145"/>
      <c r="L29" s="145"/>
      <c r="M29" s="146"/>
    </row>
    <row r="30" spans="1:13" ht="14.4" customHeight="1" thickBot="1" x14ac:dyDescent="0.35">
      <c r="A30" s="518"/>
      <c r="B30" s="147">
        <v>2012</v>
      </c>
      <c r="C30" s="148">
        <v>2013</v>
      </c>
      <c r="D30" s="148">
        <v>2014</v>
      </c>
      <c r="E30" s="149" t="s">
        <v>5</v>
      </c>
      <c r="F30" s="148">
        <v>2012</v>
      </c>
      <c r="G30" s="148">
        <v>2013</v>
      </c>
      <c r="H30" s="148">
        <v>2014</v>
      </c>
      <c r="I30" s="149" t="s">
        <v>5</v>
      </c>
      <c r="J30" s="145"/>
      <c r="K30" s="145"/>
      <c r="L30" s="150" t="s">
        <v>62</v>
      </c>
      <c r="M30" s="151" t="s">
        <v>63</v>
      </c>
    </row>
    <row r="31" spans="1:13" ht="14.4" hidden="1" customHeight="1" outlineLevel="1" x14ac:dyDescent="0.3">
      <c r="A31" s="105" t="s">
        <v>153</v>
      </c>
      <c r="B31" s="108">
        <v>0</v>
      </c>
      <c r="C31" s="101">
        <v>0</v>
      </c>
      <c r="D31" s="101">
        <v>0</v>
      </c>
      <c r="E31" s="118" t="s">
        <v>497</v>
      </c>
      <c r="F31" s="119">
        <v>0</v>
      </c>
      <c r="G31" s="101">
        <v>0</v>
      </c>
      <c r="H31" s="101">
        <v>0</v>
      </c>
      <c r="I31" s="120" t="s">
        <v>497</v>
      </c>
      <c r="J31" s="145"/>
      <c r="K31" s="145"/>
      <c r="L31" s="134">
        <f t="shared" ref="L31:L39" si="4">D31-B31</f>
        <v>0</v>
      </c>
      <c r="M31" s="135">
        <f t="shared" ref="M31:M39" si="5">H31-F31</f>
        <v>0</v>
      </c>
    </row>
    <row r="32" spans="1:13" ht="14.4" hidden="1" customHeight="1" outlineLevel="1" x14ac:dyDescent="0.3">
      <c r="A32" s="106" t="s">
        <v>154</v>
      </c>
      <c r="B32" s="109">
        <v>0</v>
      </c>
      <c r="C32" s="100">
        <v>0</v>
      </c>
      <c r="D32" s="100">
        <v>0</v>
      </c>
      <c r="E32" s="121" t="s">
        <v>497</v>
      </c>
      <c r="F32" s="122">
        <v>0</v>
      </c>
      <c r="G32" s="100">
        <v>0</v>
      </c>
      <c r="H32" s="100">
        <v>0</v>
      </c>
      <c r="I32" s="123" t="s">
        <v>497</v>
      </c>
      <c r="J32" s="145"/>
      <c r="K32" s="145"/>
      <c r="L32" s="136">
        <f t="shared" si="4"/>
        <v>0</v>
      </c>
      <c r="M32" s="137">
        <f t="shared" si="5"/>
        <v>0</v>
      </c>
    </row>
    <row r="33" spans="1:13" ht="14.4" hidden="1" customHeight="1" outlineLevel="1" x14ac:dyDescent="0.3">
      <c r="A33" s="106" t="s">
        <v>155</v>
      </c>
      <c r="B33" s="109">
        <v>0</v>
      </c>
      <c r="C33" s="100">
        <v>0</v>
      </c>
      <c r="D33" s="100">
        <v>0</v>
      </c>
      <c r="E33" s="121" t="s">
        <v>497</v>
      </c>
      <c r="F33" s="122">
        <v>0</v>
      </c>
      <c r="G33" s="100">
        <v>0</v>
      </c>
      <c r="H33" s="100">
        <v>0</v>
      </c>
      <c r="I33" s="123" t="s">
        <v>497</v>
      </c>
      <c r="J33" s="145"/>
      <c r="K33" s="145"/>
      <c r="L33" s="136">
        <f t="shared" si="4"/>
        <v>0</v>
      </c>
      <c r="M33" s="137">
        <f t="shared" si="5"/>
        <v>0</v>
      </c>
    </row>
    <row r="34" spans="1:13" ht="14.4" hidden="1" customHeight="1" outlineLevel="1" x14ac:dyDescent="0.3">
      <c r="A34" s="106" t="s">
        <v>156</v>
      </c>
      <c r="B34" s="109">
        <v>0</v>
      </c>
      <c r="C34" s="100">
        <v>0</v>
      </c>
      <c r="D34" s="100">
        <v>0</v>
      </c>
      <c r="E34" s="121" t="s">
        <v>497</v>
      </c>
      <c r="F34" s="122">
        <v>0</v>
      </c>
      <c r="G34" s="100">
        <v>0</v>
      </c>
      <c r="H34" s="100">
        <v>0</v>
      </c>
      <c r="I34" s="123" t="s">
        <v>497</v>
      </c>
      <c r="J34" s="145"/>
      <c r="K34" s="145"/>
      <c r="L34" s="136">
        <f t="shared" si="4"/>
        <v>0</v>
      </c>
      <c r="M34" s="137">
        <f t="shared" si="5"/>
        <v>0</v>
      </c>
    </row>
    <row r="35" spans="1:13" ht="14.4" hidden="1" customHeight="1" outlineLevel="1" x14ac:dyDescent="0.3">
      <c r="A35" s="106" t="s">
        <v>157</v>
      </c>
      <c r="B35" s="109">
        <v>0</v>
      </c>
      <c r="C35" s="100">
        <v>0</v>
      </c>
      <c r="D35" s="100">
        <v>0</v>
      </c>
      <c r="E35" s="121" t="s">
        <v>497</v>
      </c>
      <c r="F35" s="122">
        <v>0</v>
      </c>
      <c r="G35" s="100">
        <v>0</v>
      </c>
      <c r="H35" s="100">
        <v>0</v>
      </c>
      <c r="I35" s="123" t="s">
        <v>497</v>
      </c>
      <c r="J35" s="145"/>
      <c r="K35" s="145"/>
      <c r="L35" s="136">
        <f t="shared" si="4"/>
        <v>0</v>
      </c>
      <c r="M35" s="137">
        <f t="shared" si="5"/>
        <v>0</v>
      </c>
    </row>
    <row r="36" spans="1:13" ht="14.4" hidden="1" customHeight="1" outlineLevel="1" x14ac:dyDescent="0.3">
      <c r="A36" s="106" t="s">
        <v>158</v>
      </c>
      <c r="B36" s="109">
        <v>0</v>
      </c>
      <c r="C36" s="100">
        <v>0</v>
      </c>
      <c r="D36" s="100">
        <v>0</v>
      </c>
      <c r="E36" s="121" t="s">
        <v>497</v>
      </c>
      <c r="F36" s="122">
        <v>0</v>
      </c>
      <c r="G36" s="100">
        <v>0</v>
      </c>
      <c r="H36" s="100">
        <v>0</v>
      </c>
      <c r="I36" s="123" t="s">
        <v>497</v>
      </c>
      <c r="J36" s="145"/>
      <c r="K36" s="145"/>
      <c r="L36" s="136">
        <f t="shared" si="4"/>
        <v>0</v>
      </c>
      <c r="M36" s="137">
        <f t="shared" si="5"/>
        <v>0</v>
      </c>
    </row>
    <row r="37" spans="1:13" ht="14.4" hidden="1" customHeight="1" outlineLevel="1" x14ac:dyDescent="0.3">
      <c r="A37" s="106" t="s">
        <v>159</v>
      </c>
      <c r="B37" s="109">
        <v>0</v>
      </c>
      <c r="C37" s="100">
        <v>0</v>
      </c>
      <c r="D37" s="100">
        <v>0</v>
      </c>
      <c r="E37" s="121" t="s">
        <v>497</v>
      </c>
      <c r="F37" s="122">
        <v>0</v>
      </c>
      <c r="G37" s="100">
        <v>0</v>
      </c>
      <c r="H37" s="100">
        <v>0</v>
      </c>
      <c r="I37" s="123" t="s">
        <v>497</v>
      </c>
      <c r="J37" s="145"/>
      <c r="K37" s="145"/>
      <c r="L37" s="136">
        <f t="shared" si="4"/>
        <v>0</v>
      </c>
      <c r="M37" s="137">
        <f t="shared" si="5"/>
        <v>0</v>
      </c>
    </row>
    <row r="38" spans="1:13" ht="14.4" hidden="1" customHeight="1" outlineLevel="1" thickBot="1" x14ac:dyDescent="0.35">
      <c r="A38" s="236" t="s">
        <v>215</v>
      </c>
      <c r="B38" s="237">
        <v>0</v>
      </c>
      <c r="C38" s="238">
        <v>0</v>
      </c>
      <c r="D38" s="238">
        <v>0</v>
      </c>
      <c r="E38" s="239"/>
      <c r="F38" s="240">
        <v>0</v>
      </c>
      <c r="G38" s="238">
        <v>0</v>
      </c>
      <c r="H38" s="238">
        <v>0</v>
      </c>
      <c r="I38" s="241"/>
      <c r="J38" s="145"/>
      <c r="K38" s="145"/>
      <c r="L38" s="244">
        <f>D38-B38</f>
        <v>0</v>
      </c>
      <c r="M38" s="245">
        <f>H38-F38</f>
        <v>0</v>
      </c>
    </row>
    <row r="39" spans="1:13" ht="14.4" customHeight="1" collapsed="1" thickBot="1" x14ac:dyDescent="0.35">
      <c r="A39" s="152" t="s">
        <v>6</v>
      </c>
      <c r="B39" s="104">
        <f>SUM(B31:B38)</f>
        <v>0</v>
      </c>
      <c r="C39" s="153">
        <f>SUM(C31:C38)</f>
        <v>0</v>
      </c>
      <c r="D39" s="153">
        <f>SUM(D31:D38)</f>
        <v>0</v>
      </c>
      <c r="E39" s="154">
        <f>IF(OR(D39=0,B39=0),0,D39/B39)</f>
        <v>0</v>
      </c>
      <c r="F39" s="155">
        <f>SUM(F31:F38)</f>
        <v>0</v>
      </c>
      <c r="G39" s="153">
        <f>SUM(G31:G38)</f>
        <v>0</v>
      </c>
      <c r="H39" s="153">
        <f>SUM(H31:H38)</f>
        <v>0</v>
      </c>
      <c r="I39" s="156">
        <f>IF(OR(H39=0,F39=0),0,H39/F39)</f>
        <v>0</v>
      </c>
      <c r="J39" s="145"/>
      <c r="K39" s="145"/>
      <c r="L39" s="150">
        <f t="shared" si="4"/>
        <v>0</v>
      </c>
      <c r="M39" s="157">
        <f t="shared" si="5"/>
        <v>0</v>
      </c>
    </row>
    <row r="40" spans="1:13" ht="14.4" customHeight="1" x14ac:dyDescent="0.25">
      <c r="A40" s="353"/>
      <c r="B40" s="353"/>
      <c r="C40" s="353"/>
      <c r="D40" s="353"/>
      <c r="E40" s="354"/>
      <c r="F40" s="353"/>
      <c r="G40" s="353"/>
      <c r="H40" s="353"/>
      <c r="I40" s="355"/>
      <c r="J40" s="353"/>
      <c r="K40" s="353"/>
      <c r="L40" s="353"/>
      <c r="M40" s="353"/>
    </row>
    <row r="41" spans="1:13" ht="14.4" customHeight="1" x14ac:dyDescent="0.3">
      <c r="A41" s="254" t="s">
        <v>213</v>
      </c>
      <c r="B41" s="353"/>
      <c r="C41" s="353"/>
      <c r="D41" s="353"/>
      <c r="E41" s="354"/>
      <c r="F41" s="353"/>
      <c r="G41" s="353"/>
      <c r="H41" s="353"/>
      <c r="I41" s="355"/>
      <c r="J41" s="353"/>
      <c r="K41" s="353"/>
      <c r="L41" s="353"/>
      <c r="M41" s="353"/>
    </row>
    <row r="42" spans="1:13" ht="14.4" customHeight="1" x14ac:dyDescent="0.3">
      <c r="A42" s="235" t="s">
        <v>214</v>
      </c>
      <c r="B42" s="353"/>
      <c r="C42" s="353"/>
      <c r="D42" s="353"/>
      <c r="E42" s="354"/>
      <c r="F42" s="353"/>
      <c r="G42" s="353"/>
      <c r="H42" s="353"/>
      <c r="I42" s="355"/>
      <c r="J42" s="353"/>
      <c r="K42" s="353"/>
      <c r="L42" s="353"/>
      <c r="M42" s="353"/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6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70" t="s">
        <v>105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</row>
    <row r="2" spans="1:13" ht="14.4" customHeight="1" x14ac:dyDescent="0.3">
      <c r="A2" s="369" t="s">
        <v>271</v>
      </c>
      <c r="B2" s="192"/>
      <c r="C2" s="192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8"/>
      <c r="C3" s="358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8"/>
      <c r="C4" s="358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8"/>
      <c r="C5" s="358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8"/>
      <c r="C6" s="358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8"/>
      <c r="C7" s="358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8"/>
      <c r="C8" s="358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8"/>
      <c r="C9" s="358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8"/>
      <c r="C10" s="358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8"/>
      <c r="C11" s="358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8"/>
      <c r="C12" s="358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8"/>
      <c r="C13" s="358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8"/>
      <c r="C14" s="358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8"/>
      <c r="C15" s="358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8"/>
      <c r="C16" s="358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8"/>
      <c r="C17" s="358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8"/>
      <c r="C18" s="358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8"/>
      <c r="C19" s="358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8"/>
      <c r="C20" s="358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8"/>
      <c r="C21" s="358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8"/>
      <c r="C22" s="358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8"/>
      <c r="C23" s="358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8"/>
      <c r="C24" s="358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8"/>
      <c r="C25" s="358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8"/>
      <c r="C26" s="358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8"/>
      <c r="C27" s="358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8"/>
      <c r="C28" s="358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8"/>
      <c r="C29" s="358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8"/>
      <c r="C30" s="358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6"/>
      <c r="B31" s="528" t="s">
        <v>73</v>
      </c>
      <c r="C31" s="529"/>
      <c r="D31" s="529"/>
      <c r="E31" s="530"/>
      <c r="F31" s="158" t="s">
        <v>73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7" t="s">
        <v>57</v>
      </c>
      <c r="B32" s="159" t="s">
        <v>76</v>
      </c>
      <c r="C32" s="160" t="s">
        <v>77</v>
      </c>
      <c r="D32" s="160" t="s">
        <v>78</v>
      </c>
      <c r="E32" s="161" t="s">
        <v>5</v>
      </c>
      <c r="F32" s="162" t="s">
        <v>79</v>
      </c>
      <c r="G32" s="359"/>
      <c r="H32" s="359" t="s">
        <v>106</v>
      </c>
      <c r="I32" s="71"/>
      <c r="J32" s="71"/>
      <c r="K32" s="71"/>
      <c r="L32" s="71"/>
      <c r="M32" s="71"/>
    </row>
    <row r="33" spans="1:13" ht="14.4" customHeight="1" x14ac:dyDescent="0.3">
      <c r="A33" s="163" t="s">
        <v>93</v>
      </c>
      <c r="B33" s="193">
        <v>1008.17</v>
      </c>
      <c r="C33" s="193">
        <v>905</v>
      </c>
      <c r="D33" s="75">
        <f>IF(C33="","",C33-B33)</f>
        <v>-103.16999999999996</v>
      </c>
      <c r="E33" s="76">
        <f>IF(C33="","",C33/B33)</f>
        <v>0.89766606822262118</v>
      </c>
      <c r="F33" s="77">
        <v>59.38</v>
      </c>
      <c r="G33" s="359">
        <v>0</v>
      </c>
      <c r="H33" s="360">
        <v>1</v>
      </c>
      <c r="I33" s="71"/>
      <c r="J33" s="71"/>
      <c r="K33" s="71"/>
      <c r="L33" s="71"/>
      <c r="M33" s="71"/>
    </row>
    <row r="34" spans="1:13" ht="14.4" customHeight="1" x14ac:dyDescent="0.3">
      <c r="A34" s="164" t="s">
        <v>94</v>
      </c>
      <c r="B34" s="194">
        <v>2507.79</v>
      </c>
      <c r="C34" s="194">
        <v>2312</v>
      </c>
      <c r="D34" s="78">
        <f t="shared" ref="D34:D45" si="0">IF(C34="","",C34-B34)</f>
        <v>-195.78999999999996</v>
      </c>
      <c r="E34" s="79">
        <f t="shared" ref="E34:E45" si="1">IF(C34="","",C34/B34)</f>
        <v>0.92192727461230806</v>
      </c>
      <c r="F34" s="80">
        <v>217.78</v>
      </c>
      <c r="G34" s="359">
        <v>1</v>
      </c>
      <c r="H34" s="360">
        <v>1</v>
      </c>
      <c r="I34" s="71"/>
      <c r="J34" s="71"/>
      <c r="K34" s="71"/>
      <c r="L34" s="71"/>
      <c r="M34" s="71"/>
    </row>
    <row r="35" spans="1:13" ht="14.4" customHeight="1" x14ac:dyDescent="0.3">
      <c r="A35" s="164" t="s">
        <v>95</v>
      </c>
      <c r="B35" s="194"/>
      <c r="C35" s="194"/>
      <c r="D35" s="78" t="str">
        <f t="shared" si="0"/>
        <v/>
      </c>
      <c r="E35" s="79" t="str">
        <f t="shared" si="1"/>
        <v/>
      </c>
      <c r="F35" s="80"/>
      <c r="G35" s="361"/>
      <c r="H35" s="361"/>
      <c r="I35" s="71"/>
      <c r="J35" s="71"/>
      <c r="K35" s="71"/>
      <c r="L35" s="71"/>
      <c r="M35" s="71"/>
    </row>
    <row r="36" spans="1:13" ht="14.4" customHeight="1" x14ac:dyDescent="0.3">
      <c r="A36" s="164" t="s">
        <v>96</v>
      </c>
      <c r="B36" s="194"/>
      <c r="C36" s="194"/>
      <c r="D36" s="78" t="str">
        <f t="shared" si="0"/>
        <v/>
      </c>
      <c r="E36" s="79" t="str">
        <f t="shared" si="1"/>
        <v/>
      </c>
      <c r="F36" s="80"/>
      <c r="G36" s="361"/>
      <c r="H36" s="361"/>
      <c r="I36" s="71"/>
      <c r="J36" s="71"/>
      <c r="K36" s="71"/>
      <c r="L36" s="71"/>
      <c r="M36" s="71"/>
    </row>
    <row r="37" spans="1:13" ht="14.4" customHeight="1" x14ac:dyDescent="0.3">
      <c r="A37" s="164" t="s">
        <v>97</v>
      </c>
      <c r="B37" s="194"/>
      <c r="C37" s="194"/>
      <c r="D37" s="78" t="str">
        <f t="shared" si="0"/>
        <v/>
      </c>
      <c r="E37" s="79" t="str">
        <f t="shared" si="1"/>
        <v/>
      </c>
      <c r="F37" s="80"/>
      <c r="G37" s="361"/>
      <c r="H37" s="361"/>
      <c r="I37" s="71"/>
      <c r="J37" s="71"/>
      <c r="K37" s="71"/>
      <c r="L37" s="71"/>
      <c r="M37" s="71"/>
    </row>
    <row r="38" spans="1:13" ht="14.4" customHeight="1" x14ac:dyDescent="0.3">
      <c r="A38" s="164" t="s">
        <v>98</v>
      </c>
      <c r="B38" s="194"/>
      <c r="C38" s="194"/>
      <c r="D38" s="78" t="str">
        <f t="shared" si="0"/>
        <v/>
      </c>
      <c r="E38" s="79" t="str">
        <f t="shared" si="1"/>
        <v/>
      </c>
      <c r="F38" s="80"/>
      <c r="G38" s="361"/>
      <c r="H38" s="361"/>
      <c r="I38" s="71"/>
      <c r="J38" s="71"/>
      <c r="K38" s="71"/>
      <c r="L38" s="71"/>
      <c r="M38" s="71"/>
    </row>
    <row r="39" spans="1:13" ht="14.4" customHeight="1" x14ac:dyDescent="0.3">
      <c r="A39" s="164" t="s">
        <v>99</v>
      </c>
      <c r="B39" s="194"/>
      <c r="C39" s="194"/>
      <c r="D39" s="78" t="str">
        <f t="shared" si="0"/>
        <v/>
      </c>
      <c r="E39" s="79" t="str">
        <f t="shared" si="1"/>
        <v/>
      </c>
      <c r="F39" s="80"/>
      <c r="G39" s="361"/>
      <c r="H39" s="361"/>
      <c r="I39" s="71"/>
      <c r="J39" s="71"/>
      <c r="K39" s="71"/>
      <c r="L39" s="71"/>
      <c r="M39" s="71"/>
    </row>
    <row r="40" spans="1:13" ht="14.4" customHeight="1" x14ac:dyDescent="0.3">
      <c r="A40" s="164" t="s">
        <v>100</v>
      </c>
      <c r="B40" s="194"/>
      <c r="C40" s="194"/>
      <c r="D40" s="78" t="str">
        <f t="shared" si="0"/>
        <v/>
      </c>
      <c r="E40" s="79" t="str">
        <f t="shared" si="1"/>
        <v/>
      </c>
      <c r="F40" s="80"/>
      <c r="G40" s="361"/>
      <c r="H40" s="361"/>
      <c r="I40" s="71"/>
      <c r="J40" s="71"/>
      <c r="K40" s="71"/>
      <c r="L40" s="71"/>
      <c r="M40" s="71"/>
    </row>
    <row r="41" spans="1:13" ht="14.4" customHeight="1" x14ac:dyDescent="0.3">
      <c r="A41" s="164" t="s">
        <v>101</v>
      </c>
      <c r="B41" s="194"/>
      <c r="C41" s="194"/>
      <c r="D41" s="78" t="str">
        <f t="shared" si="0"/>
        <v/>
      </c>
      <c r="E41" s="79" t="str">
        <f t="shared" si="1"/>
        <v/>
      </c>
      <c r="F41" s="80"/>
      <c r="G41" s="361"/>
      <c r="H41" s="361"/>
      <c r="I41" s="71"/>
      <c r="J41" s="71"/>
      <c r="K41" s="71"/>
      <c r="L41" s="71"/>
      <c r="M41" s="71"/>
    </row>
    <row r="42" spans="1:13" ht="14.4" customHeight="1" x14ac:dyDescent="0.3">
      <c r="A42" s="164" t="s">
        <v>102</v>
      </c>
      <c r="B42" s="194"/>
      <c r="C42" s="194"/>
      <c r="D42" s="78" t="str">
        <f t="shared" si="0"/>
        <v/>
      </c>
      <c r="E42" s="79" t="str">
        <f t="shared" si="1"/>
        <v/>
      </c>
      <c r="F42" s="80"/>
      <c r="G42" s="361"/>
      <c r="H42" s="361"/>
      <c r="I42" s="71"/>
      <c r="J42" s="71"/>
      <c r="K42" s="71"/>
      <c r="L42" s="71"/>
      <c r="M42" s="71"/>
    </row>
    <row r="43" spans="1:13" ht="14.4" customHeight="1" x14ac:dyDescent="0.3">
      <c r="A43" s="164" t="s">
        <v>103</v>
      </c>
      <c r="B43" s="194"/>
      <c r="C43" s="194"/>
      <c r="D43" s="78" t="str">
        <f t="shared" si="0"/>
        <v/>
      </c>
      <c r="E43" s="79" t="str">
        <f t="shared" si="1"/>
        <v/>
      </c>
      <c r="F43" s="80"/>
      <c r="G43" s="361"/>
      <c r="H43" s="361"/>
      <c r="I43" s="71"/>
      <c r="J43" s="71"/>
      <c r="K43" s="71"/>
      <c r="L43" s="71"/>
      <c r="M43" s="71"/>
    </row>
    <row r="44" spans="1:13" ht="14.4" customHeight="1" x14ac:dyDescent="0.3">
      <c r="A44" s="164" t="s">
        <v>104</v>
      </c>
      <c r="B44" s="194"/>
      <c r="C44" s="194"/>
      <c r="D44" s="78" t="str">
        <f t="shared" si="0"/>
        <v/>
      </c>
      <c r="E44" s="79" t="str">
        <f t="shared" si="1"/>
        <v/>
      </c>
      <c r="F44" s="80"/>
      <c r="G44" s="361"/>
      <c r="H44" s="361"/>
      <c r="I44" s="71"/>
      <c r="J44" s="71"/>
      <c r="K44" s="71"/>
      <c r="L44" s="71"/>
      <c r="M44" s="71"/>
    </row>
    <row r="45" spans="1:13" ht="14.4" customHeight="1" thickBot="1" x14ac:dyDescent="0.35">
      <c r="A45" s="165" t="s">
        <v>107</v>
      </c>
      <c r="B45" s="195"/>
      <c r="C45" s="195"/>
      <c r="D45" s="81" t="str">
        <f t="shared" si="0"/>
        <v/>
      </c>
      <c r="E45" s="82" t="str">
        <f t="shared" si="1"/>
        <v/>
      </c>
      <c r="F45" s="83"/>
      <c r="G45" s="361"/>
      <c r="H45" s="361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3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9" customWidth="1"/>
    <col min="3" max="3" width="5.88671875" style="209" customWidth="1"/>
    <col min="4" max="4" width="7.6640625" style="209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9" customWidth="1"/>
    <col min="20" max="20" width="9.6640625" style="209" customWidth="1"/>
    <col min="21" max="21" width="7.6640625" style="209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11" customFormat="1" ht="18.600000000000001" customHeight="1" thickBot="1" x14ac:dyDescent="0.4">
      <c r="A1" s="488" t="s">
        <v>1381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</row>
    <row r="2" spans="1:23" ht="14.4" customHeight="1" thickBot="1" x14ac:dyDescent="0.35">
      <c r="A2" s="369" t="s">
        <v>271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2"/>
      <c r="Q2" s="362"/>
      <c r="R2" s="362"/>
      <c r="S2" s="363"/>
      <c r="T2" s="363"/>
      <c r="U2" s="363"/>
      <c r="V2" s="362"/>
      <c r="W2" s="364"/>
    </row>
    <row r="3" spans="1:23" s="85" customFormat="1" ht="14.4" customHeight="1" x14ac:dyDescent="0.3">
      <c r="A3" s="537" t="s">
        <v>65</v>
      </c>
      <c r="B3" s="538">
        <v>2012</v>
      </c>
      <c r="C3" s="539"/>
      <c r="D3" s="540"/>
      <c r="E3" s="538">
        <v>2013</v>
      </c>
      <c r="F3" s="539"/>
      <c r="G3" s="540"/>
      <c r="H3" s="538">
        <v>2014</v>
      </c>
      <c r="I3" s="539"/>
      <c r="J3" s="540"/>
      <c r="K3" s="541" t="s">
        <v>66</v>
      </c>
      <c r="L3" s="533" t="s">
        <v>67</v>
      </c>
      <c r="M3" s="533" t="s">
        <v>68</v>
      </c>
      <c r="N3" s="533" t="s">
        <v>69</v>
      </c>
      <c r="O3" s="260" t="s">
        <v>70</v>
      </c>
      <c r="P3" s="534" t="s">
        <v>71</v>
      </c>
      <c r="Q3" s="535" t="s">
        <v>72</v>
      </c>
      <c r="R3" s="536"/>
      <c r="S3" s="531" t="s">
        <v>73</v>
      </c>
      <c r="T3" s="532"/>
      <c r="U3" s="532"/>
      <c r="V3" s="532"/>
      <c r="W3" s="210" t="s">
        <v>73</v>
      </c>
    </row>
    <row r="4" spans="1:23" s="86" customFormat="1" ht="14.4" customHeight="1" thickBot="1" x14ac:dyDescent="0.35">
      <c r="A4" s="672"/>
      <c r="B4" s="673" t="s">
        <v>74</v>
      </c>
      <c r="C4" s="674" t="s">
        <v>62</v>
      </c>
      <c r="D4" s="675" t="s">
        <v>75</v>
      </c>
      <c r="E4" s="673" t="s">
        <v>74</v>
      </c>
      <c r="F4" s="674" t="s">
        <v>62</v>
      </c>
      <c r="G4" s="675" t="s">
        <v>75</v>
      </c>
      <c r="H4" s="673" t="s">
        <v>74</v>
      </c>
      <c r="I4" s="674" t="s">
        <v>62</v>
      </c>
      <c r="J4" s="675" t="s">
        <v>75</v>
      </c>
      <c r="K4" s="676"/>
      <c r="L4" s="677"/>
      <c r="M4" s="677"/>
      <c r="N4" s="677"/>
      <c r="O4" s="678"/>
      <c r="P4" s="679"/>
      <c r="Q4" s="680" t="s">
        <v>63</v>
      </c>
      <c r="R4" s="681" t="s">
        <v>62</v>
      </c>
      <c r="S4" s="682" t="s">
        <v>76</v>
      </c>
      <c r="T4" s="683" t="s">
        <v>77</v>
      </c>
      <c r="U4" s="683" t="s">
        <v>78</v>
      </c>
      <c r="V4" s="684" t="s">
        <v>5</v>
      </c>
      <c r="W4" s="685" t="s">
        <v>79</v>
      </c>
    </row>
    <row r="5" spans="1:23" ht="14.4" customHeight="1" x14ac:dyDescent="0.3">
      <c r="A5" s="715" t="s">
        <v>1318</v>
      </c>
      <c r="B5" s="389"/>
      <c r="C5" s="686"/>
      <c r="D5" s="687"/>
      <c r="E5" s="688"/>
      <c r="F5" s="689"/>
      <c r="G5" s="690"/>
      <c r="H5" s="691">
        <v>1</v>
      </c>
      <c r="I5" s="692">
        <v>21.6</v>
      </c>
      <c r="J5" s="693">
        <v>68</v>
      </c>
      <c r="K5" s="694">
        <v>21.6</v>
      </c>
      <c r="L5" s="695">
        <v>11</v>
      </c>
      <c r="M5" s="695">
        <v>84</v>
      </c>
      <c r="N5" s="696">
        <v>27.86</v>
      </c>
      <c r="O5" s="695" t="s">
        <v>1319</v>
      </c>
      <c r="P5" s="697" t="s">
        <v>1320</v>
      </c>
      <c r="Q5" s="698">
        <f>H5-B5</f>
        <v>1</v>
      </c>
      <c r="R5" s="698">
        <f>I5-C5</f>
        <v>21.6</v>
      </c>
      <c r="S5" s="389">
        <f>IF(H5=0,"",H5*N5)</f>
        <v>27.86</v>
      </c>
      <c r="T5" s="389">
        <f>IF(H5=0,"",H5*J5)</f>
        <v>68</v>
      </c>
      <c r="U5" s="389">
        <f>IF(H5=0,"",T5-S5)</f>
        <v>40.14</v>
      </c>
      <c r="V5" s="699">
        <f>IF(H5=0,"",T5/S5)</f>
        <v>2.440775305096913</v>
      </c>
      <c r="W5" s="700">
        <v>40</v>
      </c>
    </row>
    <row r="6" spans="1:23" ht="14.4" customHeight="1" x14ac:dyDescent="0.3">
      <c r="A6" s="716" t="s">
        <v>1321</v>
      </c>
      <c r="B6" s="665"/>
      <c r="C6" s="666"/>
      <c r="D6" s="667"/>
      <c r="E6" s="668"/>
      <c r="F6" s="646"/>
      <c r="G6" s="647"/>
      <c r="H6" s="648">
        <v>1</v>
      </c>
      <c r="I6" s="649">
        <v>10.07</v>
      </c>
      <c r="J6" s="650">
        <v>16</v>
      </c>
      <c r="K6" s="651">
        <v>10.07</v>
      </c>
      <c r="L6" s="652">
        <v>5</v>
      </c>
      <c r="M6" s="652">
        <v>47</v>
      </c>
      <c r="N6" s="653">
        <v>15.74</v>
      </c>
      <c r="O6" s="652" t="s">
        <v>1319</v>
      </c>
      <c r="P6" s="669" t="s">
        <v>1322</v>
      </c>
      <c r="Q6" s="654">
        <f t="shared" ref="Q6:R35" si="0">H6-B6</f>
        <v>1</v>
      </c>
      <c r="R6" s="654">
        <f t="shared" si="0"/>
        <v>10.07</v>
      </c>
      <c r="S6" s="665">
        <f t="shared" ref="S6:S35" si="1">IF(H6=0,"",H6*N6)</f>
        <v>15.74</v>
      </c>
      <c r="T6" s="665">
        <f t="shared" ref="T6:T35" si="2">IF(H6=0,"",H6*J6)</f>
        <v>16</v>
      </c>
      <c r="U6" s="665">
        <f t="shared" ref="U6:U35" si="3">IF(H6=0,"",T6-S6)</f>
        <v>0.25999999999999979</v>
      </c>
      <c r="V6" s="670">
        <f t="shared" ref="V6:V35" si="4">IF(H6=0,"",T6/S6)</f>
        <v>1.0165184243964422</v>
      </c>
      <c r="W6" s="655"/>
    </row>
    <row r="7" spans="1:23" ht="14.4" customHeight="1" x14ac:dyDescent="0.3">
      <c r="A7" s="717" t="s">
        <v>1323</v>
      </c>
      <c r="B7" s="701"/>
      <c r="C7" s="702"/>
      <c r="D7" s="671"/>
      <c r="E7" s="703"/>
      <c r="F7" s="704"/>
      <c r="G7" s="656"/>
      <c r="H7" s="705">
        <v>2</v>
      </c>
      <c r="I7" s="706">
        <v>22.99</v>
      </c>
      <c r="J7" s="657">
        <v>11</v>
      </c>
      <c r="K7" s="707">
        <v>11.49</v>
      </c>
      <c r="L7" s="708">
        <v>6</v>
      </c>
      <c r="M7" s="708">
        <v>53</v>
      </c>
      <c r="N7" s="709">
        <v>17.510000000000002</v>
      </c>
      <c r="O7" s="708" t="s">
        <v>1319</v>
      </c>
      <c r="P7" s="710" t="s">
        <v>1324</v>
      </c>
      <c r="Q7" s="711">
        <f t="shared" si="0"/>
        <v>2</v>
      </c>
      <c r="R7" s="711">
        <f t="shared" si="0"/>
        <v>22.99</v>
      </c>
      <c r="S7" s="701">
        <f t="shared" si="1"/>
        <v>35.020000000000003</v>
      </c>
      <c r="T7" s="701">
        <f t="shared" si="2"/>
        <v>22</v>
      </c>
      <c r="U7" s="701">
        <f t="shared" si="3"/>
        <v>-13.020000000000003</v>
      </c>
      <c r="V7" s="712">
        <f t="shared" si="4"/>
        <v>0.62821245002855508</v>
      </c>
      <c r="W7" s="658"/>
    </row>
    <row r="8" spans="1:23" ht="14.4" customHeight="1" x14ac:dyDescent="0.3">
      <c r="A8" s="716" t="s">
        <v>1325</v>
      </c>
      <c r="B8" s="665"/>
      <c r="C8" s="666"/>
      <c r="D8" s="667"/>
      <c r="E8" s="668"/>
      <c r="F8" s="646"/>
      <c r="G8" s="647"/>
      <c r="H8" s="648">
        <v>2</v>
      </c>
      <c r="I8" s="649">
        <v>76.8</v>
      </c>
      <c r="J8" s="650">
        <v>51</v>
      </c>
      <c r="K8" s="651">
        <v>38.4</v>
      </c>
      <c r="L8" s="652">
        <v>22</v>
      </c>
      <c r="M8" s="652">
        <v>138</v>
      </c>
      <c r="N8" s="653">
        <v>46.15</v>
      </c>
      <c r="O8" s="652" t="s">
        <v>1319</v>
      </c>
      <c r="P8" s="669" t="s">
        <v>1326</v>
      </c>
      <c r="Q8" s="654">
        <f t="shared" si="0"/>
        <v>2</v>
      </c>
      <c r="R8" s="654">
        <f t="shared" si="0"/>
        <v>76.8</v>
      </c>
      <c r="S8" s="665">
        <f t="shared" si="1"/>
        <v>92.3</v>
      </c>
      <c r="T8" s="665">
        <f t="shared" si="2"/>
        <v>102</v>
      </c>
      <c r="U8" s="665">
        <f t="shared" si="3"/>
        <v>9.7000000000000028</v>
      </c>
      <c r="V8" s="670">
        <f t="shared" si="4"/>
        <v>1.1050920910075841</v>
      </c>
      <c r="W8" s="655">
        <v>21</v>
      </c>
    </row>
    <row r="9" spans="1:23" ht="14.4" customHeight="1" x14ac:dyDescent="0.3">
      <c r="A9" s="716" t="s">
        <v>1327</v>
      </c>
      <c r="B9" s="665"/>
      <c r="C9" s="666"/>
      <c r="D9" s="667"/>
      <c r="E9" s="668"/>
      <c r="F9" s="646"/>
      <c r="G9" s="647"/>
      <c r="H9" s="648">
        <v>1</v>
      </c>
      <c r="I9" s="649">
        <v>15.34</v>
      </c>
      <c r="J9" s="659">
        <v>17</v>
      </c>
      <c r="K9" s="651">
        <v>15.34</v>
      </c>
      <c r="L9" s="652">
        <v>6</v>
      </c>
      <c r="M9" s="652">
        <v>51</v>
      </c>
      <c r="N9" s="653">
        <v>17.12</v>
      </c>
      <c r="O9" s="652" t="s">
        <v>1319</v>
      </c>
      <c r="P9" s="669" t="s">
        <v>1328</v>
      </c>
      <c r="Q9" s="654">
        <f t="shared" si="0"/>
        <v>1</v>
      </c>
      <c r="R9" s="654">
        <f t="shared" si="0"/>
        <v>15.34</v>
      </c>
      <c r="S9" s="665">
        <f t="shared" si="1"/>
        <v>17.12</v>
      </c>
      <c r="T9" s="665">
        <f t="shared" si="2"/>
        <v>17</v>
      </c>
      <c r="U9" s="665">
        <f t="shared" si="3"/>
        <v>-0.12000000000000099</v>
      </c>
      <c r="V9" s="670">
        <f t="shared" si="4"/>
        <v>0.99299065420560739</v>
      </c>
      <c r="W9" s="655"/>
    </row>
    <row r="10" spans="1:23" ht="14.4" customHeight="1" x14ac:dyDescent="0.3">
      <c r="A10" s="716" t="s">
        <v>1329</v>
      </c>
      <c r="B10" s="660">
        <v>4</v>
      </c>
      <c r="C10" s="661">
        <v>1.08</v>
      </c>
      <c r="D10" s="662">
        <v>2.8</v>
      </c>
      <c r="E10" s="668"/>
      <c r="F10" s="646"/>
      <c r="G10" s="647"/>
      <c r="H10" s="652"/>
      <c r="I10" s="646"/>
      <c r="J10" s="647"/>
      <c r="K10" s="651">
        <v>0.27</v>
      </c>
      <c r="L10" s="652">
        <v>1</v>
      </c>
      <c r="M10" s="652">
        <v>5</v>
      </c>
      <c r="N10" s="653">
        <v>1.68</v>
      </c>
      <c r="O10" s="652" t="s">
        <v>1319</v>
      </c>
      <c r="P10" s="669" t="s">
        <v>1330</v>
      </c>
      <c r="Q10" s="654">
        <f t="shared" si="0"/>
        <v>-4</v>
      </c>
      <c r="R10" s="654">
        <f t="shared" si="0"/>
        <v>-1.08</v>
      </c>
      <c r="S10" s="665" t="str">
        <f t="shared" si="1"/>
        <v/>
      </c>
      <c r="T10" s="665" t="str">
        <f t="shared" si="2"/>
        <v/>
      </c>
      <c r="U10" s="665" t="str">
        <f t="shared" si="3"/>
        <v/>
      </c>
      <c r="V10" s="670" t="str">
        <f t="shared" si="4"/>
        <v/>
      </c>
      <c r="W10" s="655"/>
    </row>
    <row r="11" spans="1:23" ht="14.4" customHeight="1" x14ac:dyDescent="0.3">
      <c r="A11" s="717" t="s">
        <v>1331</v>
      </c>
      <c r="B11" s="713"/>
      <c r="C11" s="714"/>
      <c r="D11" s="663"/>
      <c r="E11" s="703"/>
      <c r="F11" s="704"/>
      <c r="G11" s="656"/>
      <c r="H11" s="708">
        <v>1</v>
      </c>
      <c r="I11" s="704">
        <v>1.2</v>
      </c>
      <c r="J11" s="664">
        <v>2</v>
      </c>
      <c r="K11" s="707">
        <v>0.75</v>
      </c>
      <c r="L11" s="708">
        <v>1</v>
      </c>
      <c r="M11" s="708">
        <v>5</v>
      </c>
      <c r="N11" s="709">
        <v>1.72</v>
      </c>
      <c r="O11" s="708" t="s">
        <v>1319</v>
      </c>
      <c r="P11" s="710" t="s">
        <v>1332</v>
      </c>
      <c r="Q11" s="711">
        <f t="shared" si="0"/>
        <v>1</v>
      </c>
      <c r="R11" s="711">
        <f t="shared" si="0"/>
        <v>1.2</v>
      </c>
      <c r="S11" s="701">
        <f t="shared" si="1"/>
        <v>1.72</v>
      </c>
      <c r="T11" s="701">
        <f t="shared" si="2"/>
        <v>2</v>
      </c>
      <c r="U11" s="701">
        <f t="shared" si="3"/>
        <v>0.28000000000000003</v>
      </c>
      <c r="V11" s="712">
        <f t="shared" si="4"/>
        <v>1.1627906976744187</v>
      </c>
      <c r="W11" s="658"/>
    </row>
    <row r="12" spans="1:23" ht="14.4" customHeight="1" x14ac:dyDescent="0.3">
      <c r="A12" s="716" t="s">
        <v>1333</v>
      </c>
      <c r="B12" s="660">
        <v>1</v>
      </c>
      <c r="C12" s="661">
        <v>210.87</v>
      </c>
      <c r="D12" s="662">
        <v>61</v>
      </c>
      <c r="E12" s="668"/>
      <c r="F12" s="646"/>
      <c r="G12" s="647"/>
      <c r="H12" s="652"/>
      <c r="I12" s="646"/>
      <c r="J12" s="647"/>
      <c r="K12" s="651">
        <v>210.87</v>
      </c>
      <c r="L12" s="652">
        <v>26</v>
      </c>
      <c r="M12" s="652">
        <v>234</v>
      </c>
      <c r="N12" s="653">
        <v>78.09</v>
      </c>
      <c r="O12" s="652" t="s">
        <v>1319</v>
      </c>
      <c r="P12" s="669" t="s">
        <v>1334</v>
      </c>
      <c r="Q12" s="654">
        <f t="shared" si="0"/>
        <v>-1</v>
      </c>
      <c r="R12" s="654">
        <f t="shared" si="0"/>
        <v>-210.87</v>
      </c>
      <c r="S12" s="665" t="str">
        <f t="shared" si="1"/>
        <v/>
      </c>
      <c r="T12" s="665" t="str">
        <f t="shared" si="2"/>
        <v/>
      </c>
      <c r="U12" s="665" t="str">
        <f t="shared" si="3"/>
        <v/>
      </c>
      <c r="V12" s="670" t="str">
        <f t="shared" si="4"/>
        <v/>
      </c>
      <c r="W12" s="655"/>
    </row>
    <row r="13" spans="1:23" ht="14.4" customHeight="1" x14ac:dyDescent="0.3">
      <c r="A13" s="716" t="s">
        <v>1335</v>
      </c>
      <c r="B13" s="665"/>
      <c r="C13" s="666"/>
      <c r="D13" s="667"/>
      <c r="E13" s="648">
        <v>1</v>
      </c>
      <c r="F13" s="649">
        <v>12.3</v>
      </c>
      <c r="G13" s="659">
        <v>5</v>
      </c>
      <c r="H13" s="652"/>
      <c r="I13" s="646"/>
      <c r="J13" s="647"/>
      <c r="K13" s="651">
        <v>21.9</v>
      </c>
      <c r="L13" s="652">
        <v>9</v>
      </c>
      <c r="M13" s="652">
        <v>79</v>
      </c>
      <c r="N13" s="653">
        <v>26.22</v>
      </c>
      <c r="O13" s="652" t="s">
        <v>1319</v>
      </c>
      <c r="P13" s="669" t="s">
        <v>1336</v>
      </c>
      <c r="Q13" s="654">
        <f t="shared" si="0"/>
        <v>0</v>
      </c>
      <c r="R13" s="654">
        <f t="shared" si="0"/>
        <v>0</v>
      </c>
      <c r="S13" s="665" t="str">
        <f t="shared" si="1"/>
        <v/>
      </c>
      <c r="T13" s="665" t="str">
        <f t="shared" si="2"/>
        <v/>
      </c>
      <c r="U13" s="665" t="str">
        <f t="shared" si="3"/>
        <v/>
      </c>
      <c r="V13" s="670" t="str">
        <f t="shared" si="4"/>
        <v/>
      </c>
      <c r="W13" s="655"/>
    </row>
    <row r="14" spans="1:23" ht="14.4" customHeight="1" x14ac:dyDescent="0.3">
      <c r="A14" s="717" t="s">
        <v>1337</v>
      </c>
      <c r="B14" s="701">
        <v>4</v>
      </c>
      <c r="C14" s="702">
        <v>219.97</v>
      </c>
      <c r="D14" s="671">
        <v>46.3</v>
      </c>
      <c r="E14" s="705">
        <v>5</v>
      </c>
      <c r="F14" s="706">
        <v>275.04000000000002</v>
      </c>
      <c r="G14" s="657">
        <v>79.400000000000006</v>
      </c>
      <c r="H14" s="708">
        <v>2</v>
      </c>
      <c r="I14" s="704">
        <v>109.97</v>
      </c>
      <c r="J14" s="656">
        <v>57</v>
      </c>
      <c r="K14" s="707">
        <v>54.98</v>
      </c>
      <c r="L14" s="708">
        <v>20</v>
      </c>
      <c r="M14" s="708">
        <v>180</v>
      </c>
      <c r="N14" s="709">
        <v>59.88</v>
      </c>
      <c r="O14" s="708" t="s">
        <v>1319</v>
      </c>
      <c r="P14" s="710" t="s">
        <v>1338</v>
      </c>
      <c r="Q14" s="711">
        <f t="shared" si="0"/>
        <v>-2</v>
      </c>
      <c r="R14" s="711">
        <f t="shared" si="0"/>
        <v>-110</v>
      </c>
      <c r="S14" s="701">
        <f t="shared" si="1"/>
        <v>119.76</v>
      </c>
      <c r="T14" s="701">
        <f t="shared" si="2"/>
        <v>114</v>
      </c>
      <c r="U14" s="701">
        <f t="shared" si="3"/>
        <v>-5.7600000000000051</v>
      </c>
      <c r="V14" s="712">
        <f t="shared" si="4"/>
        <v>0.95190380761523041</v>
      </c>
      <c r="W14" s="658"/>
    </row>
    <row r="15" spans="1:23" ht="14.4" customHeight="1" x14ac:dyDescent="0.3">
      <c r="A15" s="716" t="s">
        <v>1339</v>
      </c>
      <c r="B15" s="665"/>
      <c r="C15" s="666"/>
      <c r="D15" s="667"/>
      <c r="E15" s="648">
        <v>1</v>
      </c>
      <c r="F15" s="649">
        <v>14.75</v>
      </c>
      <c r="G15" s="659">
        <v>46</v>
      </c>
      <c r="H15" s="652">
        <v>1</v>
      </c>
      <c r="I15" s="646">
        <v>14.75</v>
      </c>
      <c r="J15" s="647">
        <v>33</v>
      </c>
      <c r="K15" s="651">
        <v>14.75</v>
      </c>
      <c r="L15" s="652">
        <v>12</v>
      </c>
      <c r="M15" s="652">
        <v>104</v>
      </c>
      <c r="N15" s="653">
        <v>34.590000000000003</v>
      </c>
      <c r="O15" s="652" t="s">
        <v>1319</v>
      </c>
      <c r="P15" s="669" t="s">
        <v>1340</v>
      </c>
      <c r="Q15" s="654">
        <f t="shared" si="0"/>
        <v>1</v>
      </c>
      <c r="R15" s="654">
        <f t="shared" si="0"/>
        <v>14.75</v>
      </c>
      <c r="S15" s="665">
        <f t="shared" si="1"/>
        <v>34.590000000000003</v>
      </c>
      <c r="T15" s="665">
        <f t="shared" si="2"/>
        <v>33</v>
      </c>
      <c r="U15" s="665">
        <f t="shared" si="3"/>
        <v>-1.5900000000000034</v>
      </c>
      <c r="V15" s="670">
        <f t="shared" si="4"/>
        <v>0.95403295750216821</v>
      </c>
      <c r="W15" s="655"/>
    </row>
    <row r="16" spans="1:23" ht="14.4" customHeight="1" x14ac:dyDescent="0.3">
      <c r="A16" s="717" t="s">
        <v>1341</v>
      </c>
      <c r="B16" s="701">
        <v>2</v>
      </c>
      <c r="C16" s="702">
        <v>50.3</v>
      </c>
      <c r="D16" s="671">
        <v>36.5</v>
      </c>
      <c r="E16" s="705">
        <v>7</v>
      </c>
      <c r="F16" s="706">
        <v>176.05</v>
      </c>
      <c r="G16" s="657">
        <v>33.1</v>
      </c>
      <c r="H16" s="708">
        <v>4</v>
      </c>
      <c r="I16" s="704">
        <v>100.6</v>
      </c>
      <c r="J16" s="656">
        <v>37.299999999999997</v>
      </c>
      <c r="K16" s="707">
        <v>25.15</v>
      </c>
      <c r="L16" s="708">
        <v>15</v>
      </c>
      <c r="M16" s="708">
        <v>131</v>
      </c>
      <c r="N16" s="709">
        <v>43.75</v>
      </c>
      <c r="O16" s="708" t="s">
        <v>1319</v>
      </c>
      <c r="P16" s="710" t="s">
        <v>1342</v>
      </c>
      <c r="Q16" s="711">
        <f t="shared" si="0"/>
        <v>2</v>
      </c>
      <c r="R16" s="711">
        <f t="shared" si="0"/>
        <v>50.3</v>
      </c>
      <c r="S16" s="701">
        <f t="shared" si="1"/>
        <v>175</v>
      </c>
      <c r="T16" s="701">
        <f t="shared" si="2"/>
        <v>149.19999999999999</v>
      </c>
      <c r="U16" s="701">
        <f t="shared" si="3"/>
        <v>-25.800000000000011</v>
      </c>
      <c r="V16" s="712">
        <f t="shared" si="4"/>
        <v>0.85257142857142854</v>
      </c>
      <c r="W16" s="658">
        <v>22</v>
      </c>
    </row>
    <row r="17" spans="1:23" ht="14.4" customHeight="1" x14ac:dyDescent="0.3">
      <c r="A17" s="716" t="s">
        <v>1343</v>
      </c>
      <c r="B17" s="665">
        <v>4</v>
      </c>
      <c r="C17" s="666">
        <v>30.44</v>
      </c>
      <c r="D17" s="667">
        <v>17.3</v>
      </c>
      <c r="E17" s="648">
        <v>9</v>
      </c>
      <c r="F17" s="649">
        <v>68.489999999999995</v>
      </c>
      <c r="G17" s="659">
        <v>19.3</v>
      </c>
      <c r="H17" s="652">
        <v>4</v>
      </c>
      <c r="I17" s="646">
        <v>30.44</v>
      </c>
      <c r="J17" s="647">
        <v>16.5</v>
      </c>
      <c r="K17" s="651">
        <v>7.61</v>
      </c>
      <c r="L17" s="652">
        <v>7</v>
      </c>
      <c r="M17" s="652">
        <v>66</v>
      </c>
      <c r="N17" s="653">
        <v>22.06</v>
      </c>
      <c r="O17" s="652" t="s">
        <v>1319</v>
      </c>
      <c r="P17" s="669" t="s">
        <v>1344</v>
      </c>
      <c r="Q17" s="654">
        <f t="shared" si="0"/>
        <v>0</v>
      </c>
      <c r="R17" s="654">
        <f t="shared" si="0"/>
        <v>0</v>
      </c>
      <c r="S17" s="665">
        <f t="shared" si="1"/>
        <v>88.24</v>
      </c>
      <c r="T17" s="665">
        <f t="shared" si="2"/>
        <v>66</v>
      </c>
      <c r="U17" s="665">
        <f t="shared" si="3"/>
        <v>-22.239999999999995</v>
      </c>
      <c r="V17" s="670">
        <f t="shared" si="4"/>
        <v>0.74796010879419772</v>
      </c>
      <c r="W17" s="655">
        <v>1</v>
      </c>
    </row>
    <row r="18" spans="1:23" ht="14.4" customHeight="1" x14ac:dyDescent="0.3">
      <c r="A18" s="717" t="s">
        <v>1345</v>
      </c>
      <c r="B18" s="701">
        <v>8</v>
      </c>
      <c r="C18" s="702">
        <v>102.19</v>
      </c>
      <c r="D18" s="671">
        <v>30.8</v>
      </c>
      <c r="E18" s="705">
        <v>4</v>
      </c>
      <c r="F18" s="706">
        <v>47.42</v>
      </c>
      <c r="G18" s="657">
        <v>18.8</v>
      </c>
      <c r="H18" s="708">
        <v>2</v>
      </c>
      <c r="I18" s="704">
        <v>25.55</v>
      </c>
      <c r="J18" s="656">
        <v>17.5</v>
      </c>
      <c r="K18" s="707">
        <v>12.77</v>
      </c>
      <c r="L18" s="708">
        <v>9</v>
      </c>
      <c r="M18" s="708">
        <v>85</v>
      </c>
      <c r="N18" s="709">
        <v>28.44</v>
      </c>
      <c r="O18" s="708" t="s">
        <v>1319</v>
      </c>
      <c r="P18" s="710" t="s">
        <v>1346</v>
      </c>
      <c r="Q18" s="711">
        <f t="shared" si="0"/>
        <v>-6</v>
      </c>
      <c r="R18" s="711">
        <f t="shared" si="0"/>
        <v>-76.64</v>
      </c>
      <c r="S18" s="701">
        <f t="shared" si="1"/>
        <v>56.88</v>
      </c>
      <c r="T18" s="701">
        <f t="shared" si="2"/>
        <v>35</v>
      </c>
      <c r="U18" s="701">
        <f t="shared" si="3"/>
        <v>-21.880000000000003</v>
      </c>
      <c r="V18" s="712">
        <f t="shared" si="4"/>
        <v>0.61533052039381153</v>
      </c>
      <c r="W18" s="658"/>
    </row>
    <row r="19" spans="1:23" ht="14.4" customHeight="1" x14ac:dyDescent="0.3">
      <c r="A19" s="716" t="s">
        <v>1347</v>
      </c>
      <c r="B19" s="665">
        <v>3</v>
      </c>
      <c r="C19" s="666">
        <v>2.62</v>
      </c>
      <c r="D19" s="667">
        <v>5.7</v>
      </c>
      <c r="E19" s="648">
        <v>9</v>
      </c>
      <c r="F19" s="649">
        <v>7.86</v>
      </c>
      <c r="G19" s="659">
        <v>5.2</v>
      </c>
      <c r="H19" s="652">
        <v>5</v>
      </c>
      <c r="I19" s="646">
        <v>4.37</v>
      </c>
      <c r="J19" s="647">
        <v>4.8</v>
      </c>
      <c r="K19" s="651">
        <v>0.87</v>
      </c>
      <c r="L19" s="652">
        <v>3</v>
      </c>
      <c r="M19" s="652">
        <v>25</v>
      </c>
      <c r="N19" s="653">
        <v>8.1999999999999993</v>
      </c>
      <c r="O19" s="652" t="s">
        <v>1319</v>
      </c>
      <c r="P19" s="669" t="s">
        <v>1348</v>
      </c>
      <c r="Q19" s="654">
        <f t="shared" si="0"/>
        <v>2</v>
      </c>
      <c r="R19" s="654">
        <f t="shared" si="0"/>
        <v>1.75</v>
      </c>
      <c r="S19" s="665">
        <f t="shared" si="1"/>
        <v>41</v>
      </c>
      <c r="T19" s="665">
        <f t="shared" si="2"/>
        <v>24</v>
      </c>
      <c r="U19" s="665">
        <f t="shared" si="3"/>
        <v>-17</v>
      </c>
      <c r="V19" s="670">
        <f t="shared" si="4"/>
        <v>0.58536585365853655</v>
      </c>
      <c r="W19" s="655"/>
    </row>
    <row r="20" spans="1:23" ht="14.4" customHeight="1" x14ac:dyDescent="0.3">
      <c r="A20" s="717" t="s">
        <v>1349</v>
      </c>
      <c r="B20" s="701">
        <v>6</v>
      </c>
      <c r="C20" s="702">
        <v>13.98</v>
      </c>
      <c r="D20" s="671">
        <v>13.7</v>
      </c>
      <c r="E20" s="705">
        <v>17</v>
      </c>
      <c r="F20" s="706">
        <v>39.619999999999997</v>
      </c>
      <c r="G20" s="657">
        <v>7.8</v>
      </c>
      <c r="H20" s="708">
        <v>9</v>
      </c>
      <c r="I20" s="704">
        <v>20.98</v>
      </c>
      <c r="J20" s="664">
        <v>12.6</v>
      </c>
      <c r="K20" s="707">
        <v>2.33</v>
      </c>
      <c r="L20" s="708">
        <v>4</v>
      </c>
      <c r="M20" s="708">
        <v>36</v>
      </c>
      <c r="N20" s="709">
        <v>11.9</v>
      </c>
      <c r="O20" s="708" t="s">
        <v>1319</v>
      </c>
      <c r="P20" s="710" t="s">
        <v>1350</v>
      </c>
      <c r="Q20" s="711">
        <f t="shared" si="0"/>
        <v>3</v>
      </c>
      <c r="R20" s="711">
        <f t="shared" si="0"/>
        <v>7</v>
      </c>
      <c r="S20" s="701">
        <f t="shared" si="1"/>
        <v>107.10000000000001</v>
      </c>
      <c r="T20" s="701">
        <f t="shared" si="2"/>
        <v>113.39999999999999</v>
      </c>
      <c r="U20" s="701">
        <f t="shared" si="3"/>
        <v>6.2999999999999829</v>
      </c>
      <c r="V20" s="712">
        <f t="shared" si="4"/>
        <v>1.0588235294117645</v>
      </c>
      <c r="W20" s="658">
        <v>29</v>
      </c>
    </row>
    <row r="21" spans="1:23" ht="14.4" customHeight="1" x14ac:dyDescent="0.3">
      <c r="A21" s="717" t="s">
        <v>1351</v>
      </c>
      <c r="B21" s="701">
        <v>3</v>
      </c>
      <c r="C21" s="702">
        <v>17.260000000000002</v>
      </c>
      <c r="D21" s="671">
        <v>28</v>
      </c>
      <c r="E21" s="705">
        <v>2</v>
      </c>
      <c r="F21" s="706">
        <v>11.37</v>
      </c>
      <c r="G21" s="657">
        <v>17.5</v>
      </c>
      <c r="H21" s="708">
        <v>4</v>
      </c>
      <c r="I21" s="704">
        <v>22.74</v>
      </c>
      <c r="J21" s="664">
        <v>21.3</v>
      </c>
      <c r="K21" s="707">
        <v>5.68</v>
      </c>
      <c r="L21" s="708">
        <v>5</v>
      </c>
      <c r="M21" s="708">
        <v>49</v>
      </c>
      <c r="N21" s="709">
        <v>16.48</v>
      </c>
      <c r="O21" s="708" t="s">
        <v>1319</v>
      </c>
      <c r="P21" s="710" t="s">
        <v>1352</v>
      </c>
      <c r="Q21" s="711">
        <f t="shared" si="0"/>
        <v>1</v>
      </c>
      <c r="R21" s="711">
        <f t="shared" si="0"/>
        <v>5.4799999999999969</v>
      </c>
      <c r="S21" s="701">
        <f t="shared" si="1"/>
        <v>65.92</v>
      </c>
      <c r="T21" s="701">
        <f t="shared" si="2"/>
        <v>85.2</v>
      </c>
      <c r="U21" s="701">
        <f t="shared" si="3"/>
        <v>19.28</v>
      </c>
      <c r="V21" s="712">
        <f t="shared" si="4"/>
        <v>1.2924757281553398</v>
      </c>
      <c r="W21" s="658">
        <v>19</v>
      </c>
    </row>
    <row r="22" spans="1:23" ht="14.4" customHeight="1" x14ac:dyDescent="0.3">
      <c r="A22" s="716" t="s">
        <v>1353</v>
      </c>
      <c r="B22" s="665"/>
      <c r="C22" s="666"/>
      <c r="D22" s="667"/>
      <c r="E22" s="648">
        <v>1</v>
      </c>
      <c r="F22" s="649">
        <v>22.03</v>
      </c>
      <c r="G22" s="659">
        <v>18</v>
      </c>
      <c r="H22" s="652"/>
      <c r="I22" s="646"/>
      <c r="J22" s="647"/>
      <c r="K22" s="651">
        <v>22.03</v>
      </c>
      <c r="L22" s="652">
        <v>5</v>
      </c>
      <c r="M22" s="652">
        <v>48</v>
      </c>
      <c r="N22" s="653">
        <v>16.03</v>
      </c>
      <c r="O22" s="652" t="s">
        <v>1319</v>
      </c>
      <c r="P22" s="669" t="s">
        <v>1354</v>
      </c>
      <c r="Q22" s="654">
        <f t="shared" si="0"/>
        <v>0</v>
      </c>
      <c r="R22" s="654">
        <f t="shared" si="0"/>
        <v>0</v>
      </c>
      <c r="S22" s="665" t="str">
        <f t="shared" si="1"/>
        <v/>
      </c>
      <c r="T22" s="665" t="str">
        <f t="shared" si="2"/>
        <v/>
      </c>
      <c r="U22" s="665" t="str">
        <f t="shared" si="3"/>
        <v/>
      </c>
      <c r="V22" s="670" t="str">
        <f t="shared" si="4"/>
        <v/>
      </c>
      <c r="W22" s="655"/>
    </row>
    <row r="23" spans="1:23" ht="14.4" customHeight="1" x14ac:dyDescent="0.3">
      <c r="A23" s="716" t="s">
        <v>1355</v>
      </c>
      <c r="B23" s="660">
        <v>1</v>
      </c>
      <c r="C23" s="661">
        <v>0.57999999999999996</v>
      </c>
      <c r="D23" s="662">
        <v>4</v>
      </c>
      <c r="E23" s="668"/>
      <c r="F23" s="646"/>
      <c r="G23" s="647"/>
      <c r="H23" s="652">
        <v>2</v>
      </c>
      <c r="I23" s="646">
        <v>1.1599999999999999</v>
      </c>
      <c r="J23" s="647">
        <v>5</v>
      </c>
      <c r="K23" s="651">
        <v>0.57999999999999996</v>
      </c>
      <c r="L23" s="652">
        <v>2</v>
      </c>
      <c r="M23" s="652">
        <v>18</v>
      </c>
      <c r="N23" s="653">
        <v>6.02</v>
      </c>
      <c r="O23" s="652" t="s">
        <v>1319</v>
      </c>
      <c r="P23" s="669" t="s">
        <v>1356</v>
      </c>
      <c r="Q23" s="654">
        <f t="shared" si="0"/>
        <v>1</v>
      </c>
      <c r="R23" s="654">
        <f t="shared" si="0"/>
        <v>0.57999999999999996</v>
      </c>
      <c r="S23" s="665">
        <f t="shared" si="1"/>
        <v>12.04</v>
      </c>
      <c r="T23" s="665">
        <f t="shared" si="2"/>
        <v>10</v>
      </c>
      <c r="U23" s="665">
        <f t="shared" si="3"/>
        <v>-2.0399999999999991</v>
      </c>
      <c r="V23" s="670">
        <f t="shared" si="4"/>
        <v>0.83056478405315626</v>
      </c>
      <c r="W23" s="655"/>
    </row>
    <row r="24" spans="1:23" ht="14.4" customHeight="1" x14ac:dyDescent="0.3">
      <c r="A24" s="717" t="s">
        <v>1357</v>
      </c>
      <c r="B24" s="713">
        <v>4</v>
      </c>
      <c r="C24" s="714">
        <v>5.07</v>
      </c>
      <c r="D24" s="663">
        <v>12</v>
      </c>
      <c r="E24" s="703"/>
      <c r="F24" s="704"/>
      <c r="G24" s="656"/>
      <c r="H24" s="708"/>
      <c r="I24" s="704"/>
      <c r="J24" s="656"/>
      <c r="K24" s="707">
        <v>1.27</v>
      </c>
      <c r="L24" s="708">
        <v>3</v>
      </c>
      <c r="M24" s="708">
        <v>23</v>
      </c>
      <c r="N24" s="709">
        <v>7.83</v>
      </c>
      <c r="O24" s="708" t="s">
        <v>1319</v>
      </c>
      <c r="P24" s="710" t="s">
        <v>1358</v>
      </c>
      <c r="Q24" s="711">
        <f t="shared" si="0"/>
        <v>-4</v>
      </c>
      <c r="R24" s="711">
        <f t="shared" si="0"/>
        <v>-5.07</v>
      </c>
      <c r="S24" s="701" t="str">
        <f t="shared" si="1"/>
        <v/>
      </c>
      <c r="T24" s="701" t="str">
        <f t="shared" si="2"/>
        <v/>
      </c>
      <c r="U24" s="701" t="str">
        <f t="shared" si="3"/>
        <v/>
      </c>
      <c r="V24" s="712" t="str">
        <f t="shared" si="4"/>
        <v/>
      </c>
      <c r="W24" s="658"/>
    </row>
    <row r="25" spans="1:23" ht="14.4" customHeight="1" x14ac:dyDescent="0.3">
      <c r="A25" s="717" t="s">
        <v>1359</v>
      </c>
      <c r="B25" s="713"/>
      <c r="C25" s="714"/>
      <c r="D25" s="663"/>
      <c r="E25" s="703"/>
      <c r="F25" s="704"/>
      <c r="G25" s="656"/>
      <c r="H25" s="708">
        <v>1</v>
      </c>
      <c r="I25" s="704">
        <v>5.32</v>
      </c>
      <c r="J25" s="656">
        <v>11</v>
      </c>
      <c r="K25" s="707">
        <v>5.32</v>
      </c>
      <c r="L25" s="708">
        <v>5</v>
      </c>
      <c r="M25" s="708">
        <v>43</v>
      </c>
      <c r="N25" s="709">
        <v>14.37</v>
      </c>
      <c r="O25" s="708" t="s">
        <v>1319</v>
      </c>
      <c r="P25" s="710" t="s">
        <v>1360</v>
      </c>
      <c r="Q25" s="711">
        <f t="shared" si="0"/>
        <v>1</v>
      </c>
      <c r="R25" s="711">
        <f t="shared" si="0"/>
        <v>5.32</v>
      </c>
      <c r="S25" s="701">
        <f t="shared" si="1"/>
        <v>14.37</v>
      </c>
      <c r="T25" s="701">
        <f t="shared" si="2"/>
        <v>11</v>
      </c>
      <c r="U25" s="701">
        <f t="shared" si="3"/>
        <v>-3.3699999999999992</v>
      </c>
      <c r="V25" s="712">
        <f t="shared" si="4"/>
        <v>0.76548364648573419</v>
      </c>
      <c r="W25" s="658"/>
    </row>
    <row r="26" spans="1:23" ht="14.4" customHeight="1" x14ac:dyDescent="0.3">
      <c r="A26" s="716" t="s">
        <v>1361</v>
      </c>
      <c r="B26" s="665">
        <v>2</v>
      </c>
      <c r="C26" s="666">
        <v>18.87</v>
      </c>
      <c r="D26" s="667">
        <v>7</v>
      </c>
      <c r="E26" s="648">
        <v>5</v>
      </c>
      <c r="F26" s="649">
        <v>58.15</v>
      </c>
      <c r="G26" s="659">
        <v>21</v>
      </c>
      <c r="H26" s="652">
        <v>3</v>
      </c>
      <c r="I26" s="646">
        <v>37.630000000000003</v>
      </c>
      <c r="J26" s="647">
        <v>13.3</v>
      </c>
      <c r="K26" s="651">
        <v>12.54</v>
      </c>
      <c r="L26" s="652">
        <v>8</v>
      </c>
      <c r="M26" s="652">
        <v>72</v>
      </c>
      <c r="N26" s="653">
        <v>23.98</v>
      </c>
      <c r="O26" s="652" t="s">
        <v>1319</v>
      </c>
      <c r="P26" s="669" t="s">
        <v>1362</v>
      </c>
      <c r="Q26" s="654">
        <f t="shared" si="0"/>
        <v>1</v>
      </c>
      <c r="R26" s="654">
        <f t="shared" si="0"/>
        <v>18.760000000000002</v>
      </c>
      <c r="S26" s="665">
        <f t="shared" si="1"/>
        <v>71.94</v>
      </c>
      <c r="T26" s="665">
        <f t="shared" si="2"/>
        <v>39.900000000000006</v>
      </c>
      <c r="U26" s="665">
        <f t="shared" si="3"/>
        <v>-32.039999999999992</v>
      </c>
      <c r="V26" s="670">
        <f t="shared" si="4"/>
        <v>0.55462885738115109</v>
      </c>
      <c r="W26" s="655"/>
    </row>
    <row r="27" spans="1:23" ht="14.4" customHeight="1" x14ac:dyDescent="0.3">
      <c r="A27" s="716" t="s">
        <v>1363</v>
      </c>
      <c r="B27" s="665"/>
      <c r="C27" s="666"/>
      <c r="D27" s="667"/>
      <c r="E27" s="648">
        <v>2</v>
      </c>
      <c r="F27" s="649">
        <v>2.72</v>
      </c>
      <c r="G27" s="659">
        <v>10</v>
      </c>
      <c r="H27" s="652"/>
      <c r="I27" s="646"/>
      <c r="J27" s="647"/>
      <c r="K27" s="651">
        <v>1.36</v>
      </c>
      <c r="L27" s="652">
        <v>3</v>
      </c>
      <c r="M27" s="652">
        <v>25</v>
      </c>
      <c r="N27" s="653">
        <v>8.35</v>
      </c>
      <c r="O27" s="652" t="s">
        <v>1319</v>
      </c>
      <c r="P27" s="669" t="s">
        <v>1364</v>
      </c>
      <c r="Q27" s="654">
        <f t="shared" si="0"/>
        <v>0</v>
      </c>
      <c r="R27" s="654">
        <f t="shared" si="0"/>
        <v>0</v>
      </c>
      <c r="S27" s="665" t="str">
        <f t="shared" si="1"/>
        <v/>
      </c>
      <c r="T27" s="665" t="str">
        <f t="shared" si="2"/>
        <v/>
      </c>
      <c r="U27" s="665" t="str">
        <f t="shared" si="3"/>
        <v/>
      </c>
      <c r="V27" s="670" t="str">
        <f t="shared" si="4"/>
        <v/>
      </c>
      <c r="W27" s="655"/>
    </row>
    <row r="28" spans="1:23" ht="14.4" customHeight="1" x14ac:dyDescent="0.3">
      <c r="A28" s="717" t="s">
        <v>1365</v>
      </c>
      <c r="B28" s="701">
        <v>3</v>
      </c>
      <c r="C28" s="702">
        <v>4.33</v>
      </c>
      <c r="D28" s="671">
        <v>11.3</v>
      </c>
      <c r="E28" s="705">
        <v>3</v>
      </c>
      <c r="F28" s="706">
        <v>4.33</v>
      </c>
      <c r="G28" s="657">
        <v>10</v>
      </c>
      <c r="H28" s="708">
        <v>5</v>
      </c>
      <c r="I28" s="704">
        <v>7.22</v>
      </c>
      <c r="J28" s="664">
        <v>9.1999999999999993</v>
      </c>
      <c r="K28" s="707">
        <v>1.44</v>
      </c>
      <c r="L28" s="708">
        <v>3</v>
      </c>
      <c r="M28" s="708">
        <v>27</v>
      </c>
      <c r="N28" s="709">
        <v>8.93</v>
      </c>
      <c r="O28" s="708" t="s">
        <v>1319</v>
      </c>
      <c r="P28" s="710" t="s">
        <v>1366</v>
      </c>
      <c r="Q28" s="711">
        <f t="shared" si="0"/>
        <v>2</v>
      </c>
      <c r="R28" s="711">
        <f t="shared" si="0"/>
        <v>2.8899999999999997</v>
      </c>
      <c r="S28" s="701">
        <f t="shared" si="1"/>
        <v>44.65</v>
      </c>
      <c r="T28" s="701">
        <f t="shared" si="2"/>
        <v>46</v>
      </c>
      <c r="U28" s="701">
        <f t="shared" si="3"/>
        <v>1.3500000000000014</v>
      </c>
      <c r="V28" s="712">
        <f t="shared" si="4"/>
        <v>1.0302351623740202</v>
      </c>
      <c r="W28" s="658">
        <v>4</v>
      </c>
    </row>
    <row r="29" spans="1:23" ht="14.4" customHeight="1" x14ac:dyDescent="0.3">
      <c r="A29" s="717" t="s">
        <v>1367</v>
      </c>
      <c r="B29" s="701"/>
      <c r="C29" s="702"/>
      <c r="D29" s="671"/>
      <c r="E29" s="705">
        <v>1</v>
      </c>
      <c r="F29" s="706">
        <v>4.72</v>
      </c>
      <c r="G29" s="657">
        <v>12</v>
      </c>
      <c r="H29" s="708"/>
      <c r="I29" s="704"/>
      <c r="J29" s="656"/>
      <c r="K29" s="707">
        <v>4.72</v>
      </c>
      <c r="L29" s="708">
        <v>5</v>
      </c>
      <c r="M29" s="708">
        <v>42</v>
      </c>
      <c r="N29" s="709">
        <v>14.11</v>
      </c>
      <c r="O29" s="708" t="s">
        <v>1319</v>
      </c>
      <c r="P29" s="710" t="s">
        <v>1368</v>
      </c>
      <c r="Q29" s="711">
        <f t="shared" si="0"/>
        <v>0</v>
      </c>
      <c r="R29" s="711">
        <f t="shared" si="0"/>
        <v>0</v>
      </c>
      <c r="S29" s="701" t="str">
        <f t="shared" si="1"/>
        <v/>
      </c>
      <c r="T29" s="701" t="str">
        <f t="shared" si="2"/>
        <v/>
      </c>
      <c r="U29" s="701" t="str">
        <f t="shared" si="3"/>
        <v/>
      </c>
      <c r="V29" s="712" t="str">
        <f t="shared" si="4"/>
        <v/>
      </c>
      <c r="W29" s="658"/>
    </row>
    <row r="30" spans="1:23" ht="14.4" customHeight="1" x14ac:dyDescent="0.3">
      <c r="A30" s="716" t="s">
        <v>1369</v>
      </c>
      <c r="B30" s="660">
        <v>177</v>
      </c>
      <c r="C30" s="661">
        <v>76.87</v>
      </c>
      <c r="D30" s="662">
        <v>4.7</v>
      </c>
      <c r="E30" s="668">
        <v>178</v>
      </c>
      <c r="F30" s="646">
        <v>77.09</v>
      </c>
      <c r="G30" s="647">
        <v>4.7</v>
      </c>
      <c r="H30" s="652">
        <v>225</v>
      </c>
      <c r="I30" s="646">
        <v>97.72</v>
      </c>
      <c r="J30" s="647">
        <v>4.7</v>
      </c>
      <c r="K30" s="651">
        <v>0.43</v>
      </c>
      <c r="L30" s="652">
        <v>2</v>
      </c>
      <c r="M30" s="652">
        <v>16</v>
      </c>
      <c r="N30" s="653">
        <v>5.19</v>
      </c>
      <c r="O30" s="652" t="s">
        <v>1319</v>
      </c>
      <c r="P30" s="669" t="s">
        <v>1370</v>
      </c>
      <c r="Q30" s="654">
        <f t="shared" si="0"/>
        <v>48</v>
      </c>
      <c r="R30" s="654">
        <f t="shared" si="0"/>
        <v>20.849999999999994</v>
      </c>
      <c r="S30" s="665">
        <f t="shared" si="1"/>
        <v>1167.75</v>
      </c>
      <c r="T30" s="665">
        <f t="shared" si="2"/>
        <v>1057.5</v>
      </c>
      <c r="U30" s="665">
        <f t="shared" si="3"/>
        <v>-110.25</v>
      </c>
      <c r="V30" s="670">
        <f t="shared" si="4"/>
        <v>0.90558766859344897</v>
      </c>
      <c r="W30" s="655">
        <v>46</v>
      </c>
    </row>
    <row r="31" spans="1:23" ht="14.4" customHeight="1" x14ac:dyDescent="0.3">
      <c r="A31" s="717" t="s">
        <v>1371</v>
      </c>
      <c r="B31" s="713">
        <v>100</v>
      </c>
      <c r="C31" s="714">
        <v>56.88</v>
      </c>
      <c r="D31" s="663">
        <v>5.6</v>
      </c>
      <c r="E31" s="703">
        <v>100</v>
      </c>
      <c r="F31" s="704">
        <v>57.11</v>
      </c>
      <c r="G31" s="656">
        <v>5.7</v>
      </c>
      <c r="H31" s="708">
        <v>42</v>
      </c>
      <c r="I31" s="704">
        <v>23.89</v>
      </c>
      <c r="J31" s="656">
        <v>6</v>
      </c>
      <c r="K31" s="707">
        <v>0.56999999999999995</v>
      </c>
      <c r="L31" s="708">
        <v>2</v>
      </c>
      <c r="M31" s="708">
        <v>19</v>
      </c>
      <c r="N31" s="709">
        <v>6.33</v>
      </c>
      <c r="O31" s="708" t="s">
        <v>1319</v>
      </c>
      <c r="P31" s="710" t="s">
        <v>1372</v>
      </c>
      <c r="Q31" s="711">
        <f t="shared" si="0"/>
        <v>-58</v>
      </c>
      <c r="R31" s="711">
        <f t="shared" si="0"/>
        <v>-32.99</v>
      </c>
      <c r="S31" s="701">
        <f t="shared" si="1"/>
        <v>265.86</v>
      </c>
      <c r="T31" s="701">
        <f t="shared" si="2"/>
        <v>252</v>
      </c>
      <c r="U31" s="701">
        <f t="shared" si="3"/>
        <v>-13.860000000000014</v>
      </c>
      <c r="V31" s="712">
        <f t="shared" si="4"/>
        <v>0.94786729857819896</v>
      </c>
      <c r="W31" s="658">
        <v>31</v>
      </c>
    </row>
    <row r="32" spans="1:23" ht="14.4" customHeight="1" x14ac:dyDescent="0.3">
      <c r="A32" s="717" t="s">
        <v>1373</v>
      </c>
      <c r="B32" s="713">
        <v>13</v>
      </c>
      <c r="C32" s="714">
        <v>12.44</v>
      </c>
      <c r="D32" s="663">
        <v>5.9</v>
      </c>
      <c r="E32" s="703">
        <v>7</v>
      </c>
      <c r="F32" s="704">
        <v>6.49</v>
      </c>
      <c r="G32" s="656">
        <v>5</v>
      </c>
      <c r="H32" s="708">
        <v>7</v>
      </c>
      <c r="I32" s="704">
        <v>6.49</v>
      </c>
      <c r="J32" s="656">
        <v>5.9</v>
      </c>
      <c r="K32" s="707">
        <v>0.93</v>
      </c>
      <c r="L32" s="708">
        <v>2</v>
      </c>
      <c r="M32" s="708">
        <v>21</v>
      </c>
      <c r="N32" s="709">
        <v>7.07</v>
      </c>
      <c r="O32" s="708" t="s">
        <v>1319</v>
      </c>
      <c r="P32" s="710" t="s">
        <v>1374</v>
      </c>
      <c r="Q32" s="711">
        <f t="shared" si="0"/>
        <v>-6</v>
      </c>
      <c r="R32" s="711">
        <f t="shared" si="0"/>
        <v>-5.9499999999999993</v>
      </c>
      <c r="S32" s="701">
        <f t="shared" si="1"/>
        <v>49.49</v>
      </c>
      <c r="T32" s="701">
        <f t="shared" si="2"/>
        <v>41.300000000000004</v>
      </c>
      <c r="U32" s="701">
        <f t="shared" si="3"/>
        <v>-8.1899999999999977</v>
      </c>
      <c r="V32" s="712">
        <f t="shared" si="4"/>
        <v>0.83451202263083457</v>
      </c>
      <c r="W32" s="658">
        <v>3</v>
      </c>
    </row>
    <row r="33" spans="1:23" ht="14.4" customHeight="1" x14ac:dyDescent="0.3">
      <c r="A33" s="716" t="s">
        <v>1375</v>
      </c>
      <c r="B33" s="665">
        <v>1</v>
      </c>
      <c r="C33" s="666">
        <v>0.33</v>
      </c>
      <c r="D33" s="667">
        <v>2</v>
      </c>
      <c r="E33" s="648">
        <v>1</v>
      </c>
      <c r="F33" s="649">
        <v>0.33</v>
      </c>
      <c r="G33" s="659">
        <v>2</v>
      </c>
      <c r="H33" s="652">
        <v>1</v>
      </c>
      <c r="I33" s="646">
        <v>0.33</v>
      </c>
      <c r="J33" s="647">
        <v>2</v>
      </c>
      <c r="K33" s="651">
        <v>0.33</v>
      </c>
      <c r="L33" s="652">
        <v>1</v>
      </c>
      <c r="M33" s="652">
        <v>10</v>
      </c>
      <c r="N33" s="653">
        <v>3.44</v>
      </c>
      <c r="O33" s="652" t="s">
        <v>1319</v>
      </c>
      <c r="P33" s="669" t="s">
        <v>1376</v>
      </c>
      <c r="Q33" s="654">
        <f t="shared" si="0"/>
        <v>0</v>
      </c>
      <c r="R33" s="654">
        <f t="shared" si="0"/>
        <v>0</v>
      </c>
      <c r="S33" s="665">
        <f t="shared" si="1"/>
        <v>3.44</v>
      </c>
      <c r="T33" s="665">
        <f t="shared" si="2"/>
        <v>2</v>
      </c>
      <c r="U33" s="665">
        <f t="shared" si="3"/>
        <v>-1.44</v>
      </c>
      <c r="V33" s="670">
        <f t="shared" si="4"/>
        <v>0.58139534883720934</v>
      </c>
      <c r="W33" s="655"/>
    </row>
    <row r="34" spans="1:23" ht="14.4" customHeight="1" x14ac:dyDescent="0.3">
      <c r="A34" s="717" t="s">
        <v>1377</v>
      </c>
      <c r="B34" s="701"/>
      <c r="C34" s="702"/>
      <c r="D34" s="671"/>
      <c r="E34" s="705">
        <v>1</v>
      </c>
      <c r="F34" s="706">
        <v>1.35</v>
      </c>
      <c r="G34" s="657">
        <v>26</v>
      </c>
      <c r="H34" s="708"/>
      <c r="I34" s="704"/>
      <c r="J34" s="656"/>
      <c r="K34" s="707">
        <v>1.35</v>
      </c>
      <c r="L34" s="708">
        <v>3</v>
      </c>
      <c r="M34" s="708">
        <v>27</v>
      </c>
      <c r="N34" s="709">
        <v>9.11</v>
      </c>
      <c r="O34" s="708" t="s">
        <v>1319</v>
      </c>
      <c r="P34" s="710" t="s">
        <v>1378</v>
      </c>
      <c r="Q34" s="711">
        <f t="shared" si="0"/>
        <v>0</v>
      </c>
      <c r="R34" s="711">
        <f t="shared" si="0"/>
        <v>0</v>
      </c>
      <c r="S34" s="701" t="str">
        <f t="shared" si="1"/>
        <v/>
      </c>
      <c r="T34" s="701" t="str">
        <f t="shared" si="2"/>
        <v/>
      </c>
      <c r="U34" s="701" t="str">
        <f t="shared" si="3"/>
        <v/>
      </c>
      <c r="V34" s="712" t="str">
        <f t="shared" si="4"/>
        <v/>
      </c>
      <c r="W34" s="658"/>
    </row>
    <row r="35" spans="1:23" ht="14.4" customHeight="1" thickBot="1" x14ac:dyDescent="0.35">
      <c r="A35" s="718" t="s">
        <v>1379</v>
      </c>
      <c r="B35" s="719">
        <v>1</v>
      </c>
      <c r="C35" s="720">
        <v>0.14000000000000001</v>
      </c>
      <c r="D35" s="721">
        <v>6</v>
      </c>
      <c r="E35" s="722">
        <v>1</v>
      </c>
      <c r="F35" s="723">
        <v>0.14000000000000001</v>
      </c>
      <c r="G35" s="724">
        <v>8</v>
      </c>
      <c r="H35" s="725"/>
      <c r="I35" s="726"/>
      <c r="J35" s="727"/>
      <c r="K35" s="728">
        <v>0.14000000000000001</v>
      </c>
      <c r="L35" s="725">
        <v>2</v>
      </c>
      <c r="M35" s="725">
        <v>15</v>
      </c>
      <c r="N35" s="729">
        <v>5.16</v>
      </c>
      <c r="O35" s="725" t="s">
        <v>1319</v>
      </c>
      <c r="P35" s="730" t="s">
        <v>1380</v>
      </c>
      <c r="Q35" s="731">
        <f t="shared" si="0"/>
        <v>-1</v>
      </c>
      <c r="R35" s="731">
        <f t="shared" si="0"/>
        <v>-0.14000000000000001</v>
      </c>
      <c r="S35" s="719" t="str">
        <f t="shared" si="1"/>
        <v/>
      </c>
      <c r="T35" s="719" t="str">
        <f t="shared" si="2"/>
        <v/>
      </c>
      <c r="U35" s="719" t="str">
        <f t="shared" si="3"/>
        <v/>
      </c>
      <c r="V35" s="732" t="str">
        <f t="shared" si="4"/>
        <v/>
      </c>
      <c r="W35" s="73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36:Q1048576">
    <cfRule type="cellIs" dxfId="12" priority="9" stopIfTrue="1" operator="lessThan">
      <formula>0</formula>
    </cfRule>
  </conditionalFormatting>
  <conditionalFormatting sqref="U36:U1048576">
    <cfRule type="cellIs" dxfId="11" priority="8" stopIfTrue="1" operator="greaterThan">
      <formula>0</formula>
    </cfRule>
  </conditionalFormatting>
  <conditionalFormatting sqref="V36:V1048576">
    <cfRule type="cellIs" dxfId="10" priority="7" stopIfTrue="1" operator="greaterThan">
      <formula>1</formula>
    </cfRule>
  </conditionalFormatting>
  <conditionalFormatting sqref="V36:V1048576">
    <cfRule type="cellIs" dxfId="9" priority="4" stopIfTrue="1" operator="greaterThan">
      <formula>1</formula>
    </cfRule>
  </conditionalFormatting>
  <conditionalFormatting sqref="U36:U1048576">
    <cfRule type="cellIs" dxfId="8" priority="5" stopIfTrue="1" operator="greaterThan">
      <formula>0</formula>
    </cfRule>
  </conditionalFormatting>
  <conditionalFormatting sqref="Q36:Q1048576">
    <cfRule type="cellIs" dxfId="7" priority="6" stopIfTrue="1" operator="lessThan">
      <formula>0</formula>
    </cfRule>
  </conditionalFormatting>
  <conditionalFormatting sqref="V5:V35">
    <cfRule type="cellIs" dxfId="6" priority="1" stopIfTrue="1" operator="greaterThan">
      <formula>1</formula>
    </cfRule>
  </conditionalFormatting>
  <conditionalFormatting sqref="U5:U35">
    <cfRule type="cellIs" dxfId="5" priority="2" stopIfTrue="1" operator="greaterThan">
      <formula>0</formula>
    </cfRule>
  </conditionalFormatting>
  <conditionalFormatting sqref="Q5:Q3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67" bestFit="1" customWidth="1"/>
    <col min="2" max="2" width="11.6640625" style="267" hidden="1" customWidth="1"/>
    <col min="3" max="4" width="11" style="269" customWidth="1"/>
    <col min="5" max="5" width="11" style="270" customWidth="1"/>
    <col min="6" max="16384" width="8.88671875" style="267"/>
  </cols>
  <sheetData>
    <row r="1" spans="1:5" ht="18.600000000000001" thickBot="1" x14ac:dyDescent="0.4">
      <c r="A1" s="445" t="s">
        <v>139</v>
      </c>
      <c r="B1" s="445"/>
      <c r="C1" s="446"/>
      <c r="D1" s="446"/>
      <c r="E1" s="446"/>
    </row>
    <row r="2" spans="1:5" ht="14.4" customHeight="1" thickBot="1" x14ac:dyDescent="0.35">
      <c r="A2" s="369" t="s">
        <v>271</v>
      </c>
      <c r="B2" s="268"/>
    </row>
    <row r="3" spans="1:5" ht="14.4" customHeight="1" thickBot="1" x14ac:dyDescent="0.35">
      <c r="A3" s="271"/>
      <c r="C3" s="272" t="s">
        <v>121</v>
      </c>
      <c r="D3" s="273" t="s">
        <v>84</v>
      </c>
      <c r="E3" s="274" t="s">
        <v>86</v>
      </c>
    </row>
    <row r="4" spans="1:5" ht="14.4" customHeight="1" thickBot="1" x14ac:dyDescent="0.35">
      <c r="A4" s="275" t="str">
        <f>HYPERLINK("#HI!A1","NÁKLADY CELKEM (v tisících Kč)")</f>
        <v>NÁKLADY CELKEM (v tisících Kč)</v>
      </c>
      <c r="B4" s="276"/>
      <c r="C4" s="277">
        <f ca="1">IF(ISERROR(VLOOKUP("Náklady celkem",INDIRECT("HI!$A:$G"),6,0)),0,VLOOKUP("Náklady celkem",INDIRECT("HI!$A:$G"),6,0))</f>
        <v>9994</v>
      </c>
      <c r="D4" s="277">
        <f ca="1">IF(ISERROR(VLOOKUP("Náklady celkem",INDIRECT("HI!$A:$G"),5,0)),0,VLOOKUP("Náklady celkem",INDIRECT("HI!$A:$G"),5,0))</f>
        <v>8451.5946800000202</v>
      </c>
      <c r="E4" s="278">
        <f ca="1">IF(C4=0,0,D4/C4)</f>
        <v>0.84566686812087455</v>
      </c>
    </row>
    <row r="5" spans="1:5" ht="14.4" customHeight="1" x14ac:dyDescent="0.3">
      <c r="A5" s="279" t="s">
        <v>173</v>
      </c>
      <c r="B5" s="280"/>
      <c r="C5" s="281"/>
      <c r="D5" s="281"/>
      <c r="E5" s="282"/>
    </row>
    <row r="6" spans="1:5" ht="14.4" customHeight="1" x14ac:dyDescent="0.3">
      <c r="A6" s="283" t="s">
        <v>178</v>
      </c>
      <c r="B6" s="284"/>
      <c r="C6" s="285"/>
      <c r="D6" s="285"/>
      <c r="E6" s="282"/>
    </row>
    <row r="7" spans="1:5" ht="14.4" customHeight="1" x14ac:dyDescent="0.3">
      <c r="A7" s="28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4" t="s">
        <v>126</v>
      </c>
      <c r="C7" s="285">
        <f>IF(ISERROR(HI!F5),"",HI!F5)</f>
        <v>438</v>
      </c>
      <c r="D7" s="285">
        <f>IF(ISERROR(HI!E5),"",HI!E5)</f>
        <v>354.81232</v>
      </c>
      <c r="E7" s="282">
        <f t="shared" ref="E7:E12" si="0">IF(C7=0,0,D7/C7)</f>
        <v>0.81007378995433788</v>
      </c>
    </row>
    <row r="8" spans="1:5" ht="14.4" customHeight="1" x14ac:dyDescent="0.3">
      <c r="A8" s="286" t="str">
        <f>HYPERLINK("#'LŽ PL'!A1","% plnění pozitivního listu")</f>
        <v>% plnění pozitivního listu</v>
      </c>
      <c r="B8" s="284" t="s">
        <v>171</v>
      </c>
      <c r="C8" s="287">
        <v>0.9</v>
      </c>
      <c r="D8" s="287">
        <f>IF(ISERROR(VLOOKUP("celkem",'LŽ PL'!$A:$F,5,0)),0,VLOOKUP("celkem",'LŽ PL'!$A:$F,5,0))</f>
        <v>0.97696978885838182</v>
      </c>
      <c r="E8" s="282">
        <f t="shared" si="0"/>
        <v>1.0855219876204243</v>
      </c>
    </row>
    <row r="9" spans="1:5" ht="14.4" customHeight="1" x14ac:dyDescent="0.3">
      <c r="A9" s="288" t="s">
        <v>174</v>
      </c>
      <c r="B9" s="284"/>
      <c r="C9" s="285"/>
      <c r="D9" s="285"/>
      <c r="E9" s="282"/>
    </row>
    <row r="10" spans="1:5" ht="14.4" customHeight="1" x14ac:dyDescent="0.3">
      <c r="A10" s="288" t="s">
        <v>175</v>
      </c>
      <c r="B10" s="284"/>
      <c r="C10" s="285"/>
      <c r="D10" s="285"/>
      <c r="E10" s="282"/>
    </row>
    <row r="11" spans="1:5" ht="14.4" customHeight="1" x14ac:dyDescent="0.3">
      <c r="A11" s="289" t="s">
        <v>179</v>
      </c>
      <c r="B11" s="284"/>
      <c r="C11" s="281"/>
      <c r="D11" s="281"/>
      <c r="E11" s="282"/>
    </row>
    <row r="12" spans="1:5" ht="14.4" customHeight="1" x14ac:dyDescent="0.3">
      <c r="A12" s="29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284" t="s">
        <v>126</v>
      </c>
      <c r="C12" s="285">
        <f>IF(ISERROR(HI!F6),"",HI!F6)</f>
        <v>652</v>
      </c>
      <c r="D12" s="285">
        <f>IF(ISERROR(HI!E6),"",HI!E6)</f>
        <v>502.59260000000103</v>
      </c>
      <c r="E12" s="282">
        <f t="shared" si="0"/>
        <v>0.77084754601227157</v>
      </c>
    </row>
    <row r="13" spans="1:5" ht="14.4" customHeight="1" thickBot="1" x14ac:dyDescent="0.35">
      <c r="A13" s="291" t="str">
        <f>HYPERLINK("#HI!A1","Osobní náklady")</f>
        <v>Osobní náklady</v>
      </c>
      <c r="B13" s="284"/>
      <c r="C13" s="281">
        <f ca="1">IF(ISERROR(VLOOKUP("Osobní náklady (Kč)",INDIRECT("HI!$A:$G"),6,0)),0,VLOOKUP("Osobní náklady (Kč)",INDIRECT("HI!$A:$G"),6,0))</f>
        <v>0</v>
      </c>
      <c r="D13" s="281">
        <f ca="1">IF(ISERROR(VLOOKUP("Osobní náklady (Kč)",INDIRECT("HI!$A:$G"),5,0)),0,VLOOKUP("Osobní náklady (Kč)",INDIRECT("HI!$A:$G"),5,0))</f>
        <v>0</v>
      </c>
      <c r="E13" s="282">
        <f ca="1">IF(C13=0,0,D13/C13)</f>
        <v>0</v>
      </c>
    </row>
    <row r="14" spans="1:5" ht="14.4" customHeight="1" thickBot="1" x14ac:dyDescent="0.35">
      <c r="A14" s="295"/>
      <c r="B14" s="296"/>
      <c r="C14" s="297"/>
      <c r="D14" s="297"/>
      <c r="E14" s="298"/>
    </row>
    <row r="15" spans="1:5" ht="14.4" customHeight="1" thickBot="1" x14ac:dyDescent="0.35">
      <c r="A15" s="299" t="str">
        <f>HYPERLINK("#HI!A1","VÝNOSY CELKEM (v tisících)")</f>
        <v>VÝNOSY CELKEM (v tisících)</v>
      </c>
      <c r="B15" s="300"/>
      <c r="C15" s="301">
        <f ca="1">IF(ISERROR(VLOOKUP("Výnosy celkem",INDIRECT("HI!$A:$G"),6,0)),0,VLOOKUP("Výnosy celkem",INDIRECT("HI!$A:$G"),6,0))</f>
        <v>24726.839999999997</v>
      </c>
      <c r="D15" s="301">
        <f ca="1">IF(ISERROR(VLOOKUP("Výnosy celkem",INDIRECT("HI!$A:$G"),5,0)),0,VLOOKUP("Výnosy celkem",INDIRECT("HI!$A:$G"),5,0))</f>
        <v>19712.580000000002</v>
      </c>
      <c r="E15" s="302">
        <f t="shared" ref="E15:E24" ca="1" si="1">IF(C15=0,0,D15/C15)</f>
        <v>0.79721387771344843</v>
      </c>
    </row>
    <row r="16" spans="1:5" ht="14.4" customHeight="1" x14ac:dyDescent="0.3">
      <c r="A16" s="303" t="str">
        <f>HYPERLINK("#HI!A1","Ambulance (body za výkony + Kč za ZUM a ZULP)")</f>
        <v>Ambulance (body za výkony + Kč za ZUM a ZULP)</v>
      </c>
      <c r="B16" s="280"/>
      <c r="C16" s="281">
        <f ca="1">IF(ISERROR(VLOOKUP("Ambulance *",INDIRECT("HI!$A:$G"),6,0)),0,VLOOKUP("Ambulance *",INDIRECT("HI!$A:$G"),6,0))</f>
        <v>0</v>
      </c>
      <c r="D16" s="281">
        <f ca="1">IF(ISERROR(VLOOKUP("Ambulance *",INDIRECT("HI!$A:$G"),5,0)),0,VLOOKUP("Ambulance *",INDIRECT("HI!$A:$G"),5,0))</f>
        <v>0</v>
      </c>
      <c r="E16" s="282">
        <f t="shared" ca="1" si="1"/>
        <v>0</v>
      </c>
    </row>
    <row r="17" spans="1:5" ht="14.4" customHeight="1" x14ac:dyDescent="0.3">
      <c r="A17" s="304" t="str">
        <f>HYPERLINK("#'ZV Vykáz.-H'!A1","Zdravotní výkony vykázané u hospitalizovaných pacientů (max. 85 %)")</f>
        <v>Zdravotní výkony vykázané u hospitalizovaných pacientů (max. 85 %)</v>
      </c>
      <c r="B17" s="267" t="s">
        <v>141</v>
      </c>
      <c r="C17" s="287">
        <v>0.85</v>
      </c>
      <c r="D17" s="287">
        <f>IF(ISERROR(VLOOKUP("Celkem:",'ZV Vykáz.-H'!$A:$S,7,0)),"",VLOOKUP("Celkem:",'ZV Vykáz.-H'!$A:$S,7,0))</f>
        <v>0.9995426574444376</v>
      </c>
      <c r="E17" s="282">
        <f t="shared" si="1"/>
        <v>1.1759325381699266</v>
      </c>
    </row>
    <row r="18" spans="1:5" ht="14.4" customHeight="1" x14ac:dyDescent="0.3">
      <c r="A18" s="305" t="str">
        <f>HYPERLINK("#HI!A1","Hospitalizace (casemix * 30000)")</f>
        <v>Hospitalizace (casemix * 30000)</v>
      </c>
      <c r="B18" s="284"/>
      <c r="C18" s="281">
        <f ca="1">IF(ISERROR(VLOOKUP("Hospitalizace *",INDIRECT("HI!$A:$G"),6,0)),0,VLOOKUP("Hospitalizace *",INDIRECT("HI!$A:$G"),6,0))</f>
        <v>24726.839999999997</v>
      </c>
      <c r="D18" s="281">
        <f ca="1">IF(ISERROR(VLOOKUP("Hospitalizace *",INDIRECT("HI!$A:$G"),5,0)),0,VLOOKUP("Hospitalizace *",INDIRECT("HI!$A:$G"),5,0))</f>
        <v>19712.580000000002</v>
      </c>
      <c r="E18" s="282">
        <f ca="1">IF(C18=0,0,D18/C18)</f>
        <v>0.79721387771344843</v>
      </c>
    </row>
    <row r="19" spans="1:5" ht="14.4" customHeight="1" x14ac:dyDescent="0.3">
      <c r="A19" s="304" t="str">
        <f>HYPERLINK("#'CaseMix'!A1","Casemix (min. 100 %)")</f>
        <v>Casemix (min. 100 %)</v>
      </c>
      <c r="B19" s="284" t="s">
        <v>61</v>
      </c>
      <c r="C19" s="287">
        <v>1</v>
      </c>
      <c r="D19" s="287">
        <f>IF(ISERROR(VLOOKUP("Celkem",CaseMix!A:M,5,0)),0,VLOOKUP("Celkem",CaseMix!A:M,5,0))</f>
        <v>0.79721387771344843</v>
      </c>
      <c r="E19" s="282">
        <f t="shared" si="1"/>
        <v>0.79721387771344843</v>
      </c>
    </row>
    <row r="20" spans="1:5" ht="14.4" customHeight="1" x14ac:dyDescent="0.3">
      <c r="A20" s="306" t="str">
        <f>HYPERLINK("#'CaseMix'!A1","DRG mimo vyjmenované baze")</f>
        <v>DRG mimo vyjmenované baze</v>
      </c>
      <c r="B20" s="284" t="s">
        <v>61</v>
      </c>
      <c r="C20" s="287">
        <v>1</v>
      </c>
      <c r="D20" s="287">
        <f>IF(ISERROR(CaseMix!E26),"",CaseMix!E26)</f>
        <v>0.79721387771344843</v>
      </c>
      <c r="E20" s="282">
        <f t="shared" si="1"/>
        <v>0.79721387771344843</v>
      </c>
    </row>
    <row r="21" spans="1:5" ht="14.4" customHeight="1" x14ac:dyDescent="0.3">
      <c r="A21" s="306" t="str">
        <f>HYPERLINK("#'CaseMix'!A1","Vyjmenované baze DRG")</f>
        <v>Vyjmenované baze DRG</v>
      </c>
      <c r="B21" s="284" t="s">
        <v>61</v>
      </c>
      <c r="C21" s="287">
        <v>1</v>
      </c>
      <c r="D21" s="287">
        <f>IF(ISERROR(CaseMix!E39),"",CaseMix!E39)</f>
        <v>0</v>
      </c>
      <c r="E21" s="282">
        <f t="shared" si="1"/>
        <v>0</v>
      </c>
    </row>
    <row r="22" spans="1:5" ht="14.4" customHeight="1" x14ac:dyDescent="0.3">
      <c r="A22" s="304" t="str">
        <f>HYPERLINK("#'CaseMix'!A1","Počet hospitalizací ukončených na pracovišti (min. 95 %)")</f>
        <v>Počet hospitalizací ukončených na pracovišti (min. 95 %)</v>
      </c>
      <c r="B22" s="284" t="s">
        <v>61</v>
      </c>
      <c r="C22" s="287">
        <v>0.95</v>
      </c>
      <c r="D22" s="287">
        <f>IF(ISERROR(CaseMix!I13),"",CaseMix!I13)</f>
        <v>0.96439169139465875</v>
      </c>
      <c r="E22" s="282">
        <f t="shared" si="1"/>
        <v>1.015149148836483</v>
      </c>
    </row>
    <row r="23" spans="1:5" ht="14.4" customHeight="1" x14ac:dyDescent="0.3">
      <c r="A23" s="304" t="str">
        <f>HYPERLINK("#'ALOS'!A1","Průměrná délka hospitalizace (max. 100 % republikového průměru)")</f>
        <v>Průměrná délka hospitalizace (max. 100 % republikového průměru)</v>
      </c>
      <c r="B23" s="284" t="s">
        <v>76</v>
      </c>
      <c r="C23" s="287">
        <v>1</v>
      </c>
      <c r="D23" s="307">
        <f>IF(ISERROR(INDEX(ALOS!$E:$E,COUNT(ALOS!$E:$E)+32)),0,INDEX(ALOS!$E:$E,COUNT(ALOS!$E:$E)+32))</f>
        <v>0.92192727461230806</v>
      </c>
      <c r="E23" s="282">
        <f t="shared" si="1"/>
        <v>0.92192727461230806</v>
      </c>
    </row>
    <row r="24" spans="1:5" ht="27.6" x14ac:dyDescent="0.3">
      <c r="A24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4" s="284" t="s">
        <v>138</v>
      </c>
      <c r="C24" s="287">
        <f>IF(E19&gt;1,95%,95%-2*ABS(C19-D19))</f>
        <v>0.54442775542689681</v>
      </c>
      <c r="D24" s="287">
        <f>IF(ISERROR(VLOOKUP("Celkem:",'ZV Vyžád.'!$A:$M,7,0)),"",VLOOKUP("Celkem:",'ZV Vyžád.'!$A:$M,7,0))</f>
        <v>0.74271270324227234</v>
      </c>
      <c r="E24" s="282">
        <f t="shared" si="1"/>
        <v>1.3642080071026068</v>
      </c>
    </row>
    <row r="25" spans="1:5" ht="14.4" customHeight="1" thickBot="1" x14ac:dyDescent="0.35">
      <c r="A25" s="309" t="s">
        <v>176</v>
      </c>
      <c r="B25" s="292"/>
      <c r="C25" s="293"/>
      <c r="D25" s="293"/>
      <c r="E25" s="294"/>
    </row>
    <row r="26" spans="1:5" ht="14.4" customHeight="1" thickBot="1" x14ac:dyDescent="0.35">
      <c r="A26" s="310"/>
      <c r="B26" s="311"/>
      <c r="C26" s="312"/>
      <c r="D26" s="312"/>
      <c r="E26" s="313"/>
    </row>
    <row r="27" spans="1:5" ht="14.4" customHeight="1" thickBot="1" x14ac:dyDescent="0.35">
      <c r="A27" s="314" t="s">
        <v>177</v>
      </c>
      <c r="B27" s="315"/>
      <c r="C27" s="316"/>
      <c r="D27" s="316"/>
      <c r="E27" s="317"/>
    </row>
  </sheetData>
  <mergeCells count="1">
    <mergeCell ref="A1:E1"/>
  </mergeCells>
  <conditionalFormatting sqref="E19:E22 E15 E8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6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6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5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9:E22 E8">
    <cfRule type="cellIs" dxfId="55" priority="16" operator="lessThan">
      <formula>1</formula>
    </cfRule>
  </conditionalFormatting>
  <conditionalFormatting sqref="E23:E24 E4 E7 E12 E17">
    <cfRule type="cellIs" dxfId="5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46" customWidth="1"/>
    <col min="2" max="2" width="7.77734375" style="211" customWidth="1"/>
    <col min="3" max="3" width="7.21875" style="246" hidden="1" customWidth="1"/>
    <col min="4" max="4" width="7.77734375" style="211" customWidth="1"/>
    <col min="5" max="5" width="7.21875" style="246" hidden="1" customWidth="1"/>
    <col min="6" max="6" width="7.77734375" style="211" customWidth="1"/>
    <col min="7" max="7" width="7.77734375" style="330" customWidth="1"/>
    <col min="8" max="8" width="7.77734375" style="211" customWidth="1"/>
    <col min="9" max="9" width="7.21875" style="246" hidden="1" customWidth="1"/>
    <col min="10" max="10" width="7.77734375" style="211" customWidth="1"/>
    <col min="11" max="11" width="7.21875" style="246" hidden="1" customWidth="1"/>
    <col min="12" max="12" width="7.77734375" style="211" customWidth="1"/>
    <col min="13" max="13" width="7.77734375" style="330" customWidth="1"/>
    <col min="14" max="16384" width="8.88671875" style="246"/>
  </cols>
  <sheetData>
    <row r="1" spans="1:13" ht="18.600000000000001" customHeight="1" thickBot="1" x14ac:dyDescent="0.4">
      <c r="A1" s="454" t="s">
        <v>144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</row>
    <row r="2" spans="1:13" ht="14.4" customHeight="1" thickBot="1" x14ac:dyDescent="0.35">
      <c r="A2" s="369" t="s">
        <v>271</v>
      </c>
      <c r="B2" s="342"/>
      <c r="C2" s="216"/>
      <c r="D2" s="342"/>
      <c r="E2" s="216"/>
      <c r="F2" s="342"/>
      <c r="G2" s="343"/>
      <c r="H2" s="342"/>
      <c r="I2" s="216"/>
      <c r="J2" s="342"/>
      <c r="K2" s="216"/>
      <c r="L2" s="342"/>
      <c r="M2" s="343"/>
    </row>
    <row r="3" spans="1:13" ht="14.4" customHeight="1" thickBot="1" x14ac:dyDescent="0.35">
      <c r="A3" s="336" t="s">
        <v>145</v>
      </c>
      <c r="B3" s="337">
        <f>SUBTOTAL(9,B6:B1048576)</f>
        <v>978758</v>
      </c>
      <c r="C3" s="338">
        <f t="shared" ref="C3:L3" si="0">SUBTOTAL(9,C6:C1048576)</f>
        <v>8</v>
      </c>
      <c r="D3" s="338">
        <f t="shared" si="0"/>
        <v>954215</v>
      </c>
      <c r="E3" s="338">
        <f t="shared" si="0"/>
        <v>7.3988484961381236</v>
      </c>
      <c r="F3" s="338">
        <f t="shared" si="0"/>
        <v>726936</v>
      </c>
      <c r="G3" s="341">
        <f>IF(B3&lt;&gt;0,F3/B3,"")</f>
        <v>0.74271270324227234</v>
      </c>
      <c r="H3" s="337">
        <f t="shared" si="0"/>
        <v>6405.18</v>
      </c>
      <c r="I3" s="338">
        <f t="shared" si="0"/>
        <v>1</v>
      </c>
      <c r="J3" s="338">
        <f t="shared" si="0"/>
        <v>402.62</v>
      </c>
      <c r="K3" s="338">
        <f t="shared" si="0"/>
        <v>6.2858498902450821E-2</v>
      </c>
      <c r="L3" s="338">
        <f t="shared" si="0"/>
        <v>252.8</v>
      </c>
      <c r="M3" s="339">
        <f>IF(H3&lt;&gt;0,L3/H3,"")</f>
        <v>3.9468055542545254E-2</v>
      </c>
    </row>
    <row r="4" spans="1:13" ht="14.4" customHeight="1" x14ac:dyDescent="0.3">
      <c r="A4" s="542" t="s">
        <v>108</v>
      </c>
      <c r="B4" s="496" t="s">
        <v>113</v>
      </c>
      <c r="C4" s="497"/>
      <c r="D4" s="497"/>
      <c r="E4" s="497"/>
      <c r="F4" s="497"/>
      <c r="G4" s="498"/>
      <c r="H4" s="496" t="s">
        <v>114</v>
      </c>
      <c r="I4" s="497"/>
      <c r="J4" s="497"/>
      <c r="K4" s="497"/>
      <c r="L4" s="497"/>
      <c r="M4" s="498"/>
    </row>
    <row r="5" spans="1:13" s="328" customFormat="1" ht="14.4" customHeight="1" thickBot="1" x14ac:dyDescent="0.35">
      <c r="A5" s="734"/>
      <c r="B5" s="735">
        <v>2012</v>
      </c>
      <c r="C5" s="736"/>
      <c r="D5" s="736">
        <v>2013</v>
      </c>
      <c r="E5" s="736"/>
      <c r="F5" s="736">
        <v>2014</v>
      </c>
      <c r="G5" s="632" t="s">
        <v>5</v>
      </c>
      <c r="H5" s="735">
        <v>2012</v>
      </c>
      <c r="I5" s="736"/>
      <c r="J5" s="736">
        <v>2013</v>
      </c>
      <c r="K5" s="736"/>
      <c r="L5" s="736">
        <v>2014</v>
      </c>
      <c r="M5" s="632" t="s">
        <v>5</v>
      </c>
    </row>
    <row r="6" spans="1:13" ht="14.4" customHeight="1" x14ac:dyDescent="0.3">
      <c r="A6" s="622" t="s">
        <v>1382</v>
      </c>
      <c r="B6" s="737">
        <v>25783</v>
      </c>
      <c r="C6" s="590">
        <v>1</v>
      </c>
      <c r="D6" s="737">
        <v>43784</v>
      </c>
      <c r="E6" s="590">
        <v>1.6981732149090485</v>
      </c>
      <c r="F6" s="737">
        <v>50595</v>
      </c>
      <c r="G6" s="611">
        <v>1.9623395260442928</v>
      </c>
      <c r="H6" s="737"/>
      <c r="I6" s="590"/>
      <c r="J6" s="737"/>
      <c r="K6" s="590"/>
      <c r="L6" s="737"/>
      <c r="M6" s="738"/>
    </row>
    <row r="7" spans="1:13" ht="14.4" customHeight="1" x14ac:dyDescent="0.3">
      <c r="A7" s="625" t="s">
        <v>1383</v>
      </c>
      <c r="B7" s="739">
        <v>32409</v>
      </c>
      <c r="C7" s="596">
        <v>1</v>
      </c>
      <c r="D7" s="739">
        <v>14446</v>
      </c>
      <c r="E7" s="596">
        <v>0.44574038075843131</v>
      </c>
      <c r="F7" s="739">
        <v>26235</v>
      </c>
      <c r="G7" s="612">
        <v>0.80949736184393228</v>
      </c>
      <c r="H7" s="739"/>
      <c r="I7" s="596"/>
      <c r="J7" s="739"/>
      <c r="K7" s="596"/>
      <c r="L7" s="739"/>
      <c r="M7" s="740"/>
    </row>
    <row r="8" spans="1:13" ht="14.4" customHeight="1" x14ac:dyDescent="0.3">
      <c r="A8" s="625" t="s">
        <v>1384</v>
      </c>
      <c r="B8" s="739">
        <v>552128</v>
      </c>
      <c r="C8" s="596">
        <v>1</v>
      </c>
      <c r="D8" s="739">
        <v>485936</v>
      </c>
      <c r="E8" s="596">
        <v>0.880114755998609</v>
      </c>
      <c r="F8" s="739">
        <v>354859</v>
      </c>
      <c r="G8" s="612">
        <v>0.64271147270198214</v>
      </c>
      <c r="H8" s="739"/>
      <c r="I8" s="596"/>
      <c r="J8" s="739"/>
      <c r="K8" s="596"/>
      <c r="L8" s="739"/>
      <c r="M8" s="740"/>
    </row>
    <row r="9" spans="1:13" ht="14.4" customHeight="1" x14ac:dyDescent="0.3">
      <c r="A9" s="625" t="s">
        <v>1385</v>
      </c>
      <c r="B9" s="739">
        <v>49954</v>
      </c>
      <c r="C9" s="596">
        <v>1</v>
      </c>
      <c r="D9" s="739">
        <v>83228</v>
      </c>
      <c r="E9" s="596">
        <v>1.6660928053809505</v>
      </c>
      <c r="F9" s="739">
        <v>22704</v>
      </c>
      <c r="G9" s="612">
        <v>0.45449813828722424</v>
      </c>
      <c r="H9" s="739">
        <v>6405.18</v>
      </c>
      <c r="I9" s="596">
        <v>1</v>
      </c>
      <c r="J9" s="739">
        <v>402.62</v>
      </c>
      <c r="K9" s="596">
        <v>6.2858498902450821E-2</v>
      </c>
      <c r="L9" s="739">
        <v>252.8</v>
      </c>
      <c r="M9" s="740">
        <v>3.9468055542545254E-2</v>
      </c>
    </row>
    <row r="10" spans="1:13" ht="14.4" customHeight="1" x14ac:dyDescent="0.3">
      <c r="A10" s="625" t="s">
        <v>1386</v>
      </c>
      <c r="B10" s="739">
        <v>182944</v>
      </c>
      <c r="C10" s="596">
        <v>1</v>
      </c>
      <c r="D10" s="739">
        <v>207898</v>
      </c>
      <c r="E10" s="596">
        <v>1.1364023963617282</v>
      </c>
      <c r="F10" s="739">
        <v>191728</v>
      </c>
      <c r="G10" s="612">
        <v>1.0480146930208152</v>
      </c>
      <c r="H10" s="739"/>
      <c r="I10" s="596"/>
      <c r="J10" s="739"/>
      <c r="K10" s="596"/>
      <c r="L10" s="739"/>
      <c r="M10" s="740"/>
    </row>
    <row r="11" spans="1:13" ht="14.4" customHeight="1" x14ac:dyDescent="0.3">
      <c r="A11" s="625" t="s">
        <v>1387</v>
      </c>
      <c r="B11" s="739">
        <v>16205</v>
      </c>
      <c r="C11" s="596">
        <v>1</v>
      </c>
      <c r="D11" s="739">
        <v>1733</v>
      </c>
      <c r="E11" s="596">
        <v>0.10694230175871644</v>
      </c>
      <c r="F11" s="739">
        <v>5424</v>
      </c>
      <c r="G11" s="612">
        <v>0.33471150879358225</v>
      </c>
      <c r="H11" s="739"/>
      <c r="I11" s="596"/>
      <c r="J11" s="739"/>
      <c r="K11" s="596"/>
      <c r="L11" s="739"/>
      <c r="M11" s="740"/>
    </row>
    <row r="12" spans="1:13" ht="14.4" customHeight="1" x14ac:dyDescent="0.3">
      <c r="A12" s="625" t="s">
        <v>1388</v>
      </c>
      <c r="B12" s="739">
        <v>89200</v>
      </c>
      <c r="C12" s="596">
        <v>1</v>
      </c>
      <c r="D12" s="739">
        <v>110291</v>
      </c>
      <c r="E12" s="596">
        <v>1.2364461883408071</v>
      </c>
      <c r="F12" s="739">
        <v>75391</v>
      </c>
      <c r="G12" s="612">
        <v>0.84519058295964122</v>
      </c>
      <c r="H12" s="739"/>
      <c r="I12" s="596"/>
      <c r="J12" s="739"/>
      <c r="K12" s="596"/>
      <c r="L12" s="739"/>
      <c r="M12" s="740"/>
    </row>
    <row r="13" spans="1:13" ht="14.4" customHeight="1" thickBot="1" x14ac:dyDescent="0.35">
      <c r="A13" s="743" t="s">
        <v>1389</v>
      </c>
      <c r="B13" s="741">
        <v>30135</v>
      </c>
      <c r="C13" s="602">
        <v>1</v>
      </c>
      <c r="D13" s="741">
        <v>6899</v>
      </c>
      <c r="E13" s="602">
        <v>0.22893645262983242</v>
      </c>
      <c r="F13" s="741"/>
      <c r="G13" s="613"/>
      <c r="H13" s="741"/>
      <c r="I13" s="602"/>
      <c r="J13" s="741"/>
      <c r="K13" s="602"/>
      <c r="L13" s="741"/>
      <c r="M13" s="74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9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46" bestFit="1" customWidth="1"/>
    <col min="2" max="2" width="8.6640625" style="246" bestFit="1" customWidth="1"/>
    <col min="3" max="3" width="2.109375" style="246" bestFit="1" customWidth="1"/>
    <col min="4" max="4" width="8" style="246" bestFit="1" customWidth="1"/>
    <col min="5" max="5" width="52.88671875" style="246" bestFit="1" customWidth="1"/>
    <col min="6" max="7" width="11.109375" style="327" customWidth="1"/>
    <col min="8" max="9" width="9.33203125" style="327" hidden="1" customWidth="1"/>
    <col min="10" max="11" width="11.109375" style="327" customWidth="1"/>
    <col min="12" max="13" width="9.33203125" style="327" hidden="1" customWidth="1"/>
    <col min="14" max="15" width="11.109375" style="327" customWidth="1"/>
    <col min="16" max="16" width="11.109375" style="330" customWidth="1"/>
    <col min="17" max="17" width="11.109375" style="327" customWidth="1"/>
    <col min="18" max="16384" width="8.88671875" style="246"/>
  </cols>
  <sheetData>
    <row r="1" spans="1:17" ht="18.600000000000001" customHeight="1" thickBot="1" x14ac:dyDescent="0.4">
      <c r="A1" s="454" t="s">
        <v>1774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</row>
    <row r="2" spans="1:17" ht="14.4" customHeight="1" thickBot="1" x14ac:dyDescent="0.35">
      <c r="A2" s="369" t="s">
        <v>271</v>
      </c>
      <c r="B2" s="216"/>
      <c r="C2" s="216"/>
      <c r="D2" s="216"/>
      <c r="E2" s="21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3"/>
      <c r="Q2" s="346"/>
    </row>
    <row r="3" spans="1:17" ht="14.4" customHeight="1" thickBot="1" x14ac:dyDescent="0.35">
      <c r="E3" s="99" t="s">
        <v>145</v>
      </c>
      <c r="F3" s="203">
        <f t="shared" ref="F3:O3" si="0">SUBTOTAL(9,F6:F1048576)</f>
        <v>10299.470000000001</v>
      </c>
      <c r="G3" s="207">
        <f t="shared" si="0"/>
        <v>985163.18</v>
      </c>
      <c r="H3" s="208"/>
      <c r="I3" s="208"/>
      <c r="J3" s="203">
        <f t="shared" si="0"/>
        <v>9366.16</v>
      </c>
      <c r="K3" s="207">
        <f t="shared" si="0"/>
        <v>954617.62</v>
      </c>
      <c r="L3" s="208"/>
      <c r="M3" s="208"/>
      <c r="N3" s="203">
        <f t="shared" si="0"/>
        <v>7032.04</v>
      </c>
      <c r="O3" s="207">
        <f t="shared" si="0"/>
        <v>727188.8</v>
      </c>
      <c r="P3" s="168">
        <f>IF(G3=0,"",O3/G3)</f>
        <v>0.73814045709666087</v>
      </c>
      <c r="Q3" s="205">
        <f>IF(N3=0,"",O3/N3)</f>
        <v>103.41078833453736</v>
      </c>
    </row>
    <row r="4" spans="1:17" ht="14.4" customHeight="1" x14ac:dyDescent="0.3">
      <c r="A4" s="501" t="s">
        <v>64</v>
      </c>
      <c r="B4" s="500" t="s">
        <v>109</v>
      </c>
      <c r="C4" s="501" t="s">
        <v>110</v>
      </c>
      <c r="D4" s="502" t="s">
        <v>80</v>
      </c>
      <c r="E4" s="503" t="s">
        <v>14</v>
      </c>
      <c r="F4" s="504">
        <v>2012</v>
      </c>
      <c r="G4" s="505"/>
      <c r="H4" s="206"/>
      <c r="I4" s="206"/>
      <c r="J4" s="504">
        <v>2013</v>
      </c>
      <c r="K4" s="505"/>
      <c r="L4" s="206"/>
      <c r="M4" s="206"/>
      <c r="N4" s="504">
        <v>2014</v>
      </c>
      <c r="O4" s="505"/>
      <c r="P4" s="506" t="s">
        <v>5</v>
      </c>
      <c r="Q4" s="499" t="s">
        <v>112</v>
      </c>
    </row>
    <row r="5" spans="1:17" ht="14.4" customHeight="1" thickBot="1" x14ac:dyDescent="0.35">
      <c r="A5" s="637"/>
      <c r="B5" s="638"/>
      <c r="C5" s="637"/>
      <c r="D5" s="639"/>
      <c r="E5" s="640"/>
      <c r="F5" s="641" t="s">
        <v>81</v>
      </c>
      <c r="G5" s="642" t="s">
        <v>17</v>
      </c>
      <c r="H5" s="643"/>
      <c r="I5" s="643"/>
      <c r="J5" s="641" t="s">
        <v>81</v>
      </c>
      <c r="K5" s="642" t="s">
        <v>17</v>
      </c>
      <c r="L5" s="643"/>
      <c r="M5" s="643"/>
      <c r="N5" s="641" t="s">
        <v>81</v>
      </c>
      <c r="O5" s="642" t="s">
        <v>17</v>
      </c>
      <c r="P5" s="644"/>
      <c r="Q5" s="645"/>
    </row>
    <row r="6" spans="1:17" ht="14.4" customHeight="1" x14ac:dyDescent="0.3">
      <c r="A6" s="589" t="s">
        <v>1390</v>
      </c>
      <c r="B6" s="590" t="s">
        <v>1391</v>
      </c>
      <c r="C6" s="590" t="s">
        <v>1213</v>
      </c>
      <c r="D6" s="590" t="s">
        <v>1392</v>
      </c>
      <c r="E6" s="590" t="s">
        <v>1393</v>
      </c>
      <c r="F6" s="593">
        <v>1</v>
      </c>
      <c r="G6" s="593">
        <v>295</v>
      </c>
      <c r="H6" s="593">
        <v>1</v>
      </c>
      <c r="I6" s="593">
        <v>295</v>
      </c>
      <c r="J6" s="593">
        <v>1</v>
      </c>
      <c r="K6" s="593">
        <v>297</v>
      </c>
      <c r="L6" s="593">
        <v>1.006779661016949</v>
      </c>
      <c r="M6" s="593">
        <v>297</v>
      </c>
      <c r="N6" s="593">
        <v>2</v>
      </c>
      <c r="O6" s="593">
        <v>594</v>
      </c>
      <c r="P6" s="611">
        <v>2.0135593220338981</v>
      </c>
      <c r="Q6" s="594">
        <v>297</v>
      </c>
    </row>
    <row r="7" spans="1:17" ht="14.4" customHeight="1" x14ac:dyDescent="0.3">
      <c r="A7" s="595" t="s">
        <v>1390</v>
      </c>
      <c r="B7" s="596" t="s">
        <v>1391</v>
      </c>
      <c r="C7" s="596" t="s">
        <v>1213</v>
      </c>
      <c r="D7" s="596" t="s">
        <v>1394</v>
      </c>
      <c r="E7" s="596" t="s">
        <v>1395</v>
      </c>
      <c r="F7" s="599">
        <v>1</v>
      </c>
      <c r="G7" s="599">
        <v>1236</v>
      </c>
      <c r="H7" s="599">
        <v>1</v>
      </c>
      <c r="I7" s="599">
        <v>1236</v>
      </c>
      <c r="J7" s="599">
        <v>1</v>
      </c>
      <c r="K7" s="599">
        <v>1245</v>
      </c>
      <c r="L7" s="599">
        <v>1.0072815533980584</v>
      </c>
      <c r="M7" s="599">
        <v>1245</v>
      </c>
      <c r="N7" s="599">
        <v>1</v>
      </c>
      <c r="O7" s="599">
        <v>1245</v>
      </c>
      <c r="P7" s="612">
        <v>1.0072815533980584</v>
      </c>
      <c r="Q7" s="600">
        <v>1245</v>
      </c>
    </row>
    <row r="8" spans="1:17" ht="14.4" customHeight="1" x14ac:dyDescent="0.3">
      <c r="A8" s="595" t="s">
        <v>1390</v>
      </c>
      <c r="B8" s="596" t="s">
        <v>1391</v>
      </c>
      <c r="C8" s="596" t="s">
        <v>1213</v>
      </c>
      <c r="D8" s="596" t="s">
        <v>1396</v>
      </c>
      <c r="E8" s="596" t="s">
        <v>1397</v>
      </c>
      <c r="F8" s="599">
        <v>8</v>
      </c>
      <c r="G8" s="599">
        <v>17768</v>
      </c>
      <c r="H8" s="599">
        <v>1</v>
      </c>
      <c r="I8" s="599">
        <v>2221</v>
      </c>
      <c r="J8" s="599">
        <v>16</v>
      </c>
      <c r="K8" s="599">
        <v>35728</v>
      </c>
      <c r="L8" s="599">
        <v>2.0108059432687977</v>
      </c>
      <c r="M8" s="599">
        <v>2233</v>
      </c>
      <c r="N8" s="599">
        <v>16</v>
      </c>
      <c r="O8" s="599">
        <v>35728</v>
      </c>
      <c r="P8" s="612">
        <v>2.0108059432687977</v>
      </c>
      <c r="Q8" s="600">
        <v>2233</v>
      </c>
    </row>
    <row r="9" spans="1:17" ht="14.4" customHeight="1" x14ac:dyDescent="0.3">
      <c r="A9" s="595" t="s">
        <v>1390</v>
      </c>
      <c r="B9" s="596" t="s">
        <v>1391</v>
      </c>
      <c r="C9" s="596" t="s">
        <v>1213</v>
      </c>
      <c r="D9" s="596" t="s">
        <v>1398</v>
      </c>
      <c r="E9" s="596" t="s">
        <v>1399</v>
      </c>
      <c r="F9" s="599">
        <v>1</v>
      </c>
      <c r="G9" s="599">
        <v>6484</v>
      </c>
      <c r="H9" s="599">
        <v>1</v>
      </c>
      <c r="I9" s="599">
        <v>6484</v>
      </c>
      <c r="J9" s="599">
        <v>1</v>
      </c>
      <c r="K9" s="599">
        <v>6514</v>
      </c>
      <c r="L9" s="599">
        <v>1.0046267735965453</v>
      </c>
      <c r="M9" s="599">
        <v>6514</v>
      </c>
      <c r="N9" s="599">
        <v>2</v>
      </c>
      <c r="O9" s="599">
        <v>13028</v>
      </c>
      <c r="P9" s="612">
        <v>2.0092535471930906</v>
      </c>
      <c r="Q9" s="600">
        <v>6514</v>
      </c>
    </row>
    <row r="10" spans="1:17" ht="14.4" customHeight="1" x14ac:dyDescent="0.3">
      <c r="A10" s="595" t="s">
        <v>1400</v>
      </c>
      <c r="B10" s="596" t="s">
        <v>1401</v>
      </c>
      <c r="C10" s="596" t="s">
        <v>1213</v>
      </c>
      <c r="D10" s="596" t="s">
        <v>1402</v>
      </c>
      <c r="E10" s="596" t="s">
        <v>1403</v>
      </c>
      <c r="F10" s="599"/>
      <c r="G10" s="599"/>
      <c r="H10" s="599"/>
      <c r="I10" s="599"/>
      <c r="J10" s="599">
        <v>7</v>
      </c>
      <c r="K10" s="599">
        <v>2450</v>
      </c>
      <c r="L10" s="599"/>
      <c r="M10" s="599">
        <v>350</v>
      </c>
      <c r="N10" s="599">
        <v>2</v>
      </c>
      <c r="O10" s="599">
        <v>700</v>
      </c>
      <c r="P10" s="612"/>
      <c r="Q10" s="600">
        <v>350</v>
      </c>
    </row>
    <row r="11" spans="1:17" ht="14.4" customHeight="1" x14ac:dyDescent="0.3">
      <c r="A11" s="595" t="s">
        <v>1400</v>
      </c>
      <c r="B11" s="596" t="s">
        <v>1401</v>
      </c>
      <c r="C11" s="596" t="s">
        <v>1213</v>
      </c>
      <c r="D11" s="596" t="s">
        <v>1404</v>
      </c>
      <c r="E11" s="596" t="s">
        <v>1405</v>
      </c>
      <c r="F11" s="599">
        <v>3</v>
      </c>
      <c r="G11" s="599">
        <v>192</v>
      </c>
      <c r="H11" s="599">
        <v>1</v>
      </c>
      <c r="I11" s="599">
        <v>64</v>
      </c>
      <c r="J11" s="599">
        <v>3</v>
      </c>
      <c r="K11" s="599">
        <v>195</v>
      </c>
      <c r="L11" s="599">
        <v>1.015625</v>
      </c>
      <c r="M11" s="599">
        <v>65</v>
      </c>
      <c r="N11" s="599">
        <v>5</v>
      </c>
      <c r="O11" s="599">
        <v>325</v>
      </c>
      <c r="P11" s="612">
        <v>1.6927083333333333</v>
      </c>
      <c r="Q11" s="600">
        <v>65</v>
      </c>
    </row>
    <row r="12" spans="1:17" ht="14.4" customHeight="1" x14ac:dyDescent="0.3">
      <c r="A12" s="595" t="s">
        <v>1400</v>
      </c>
      <c r="B12" s="596" t="s">
        <v>1401</v>
      </c>
      <c r="C12" s="596" t="s">
        <v>1213</v>
      </c>
      <c r="D12" s="596" t="s">
        <v>1406</v>
      </c>
      <c r="E12" s="596" t="s">
        <v>1407</v>
      </c>
      <c r="F12" s="599">
        <v>40</v>
      </c>
      <c r="G12" s="599">
        <v>920</v>
      </c>
      <c r="H12" s="599">
        <v>1</v>
      </c>
      <c r="I12" s="599">
        <v>23</v>
      </c>
      <c r="J12" s="599">
        <v>7</v>
      </c>
      <c r="K12" s="599">
        <v>161</v>
      </c>
      <c r="L12" s="599">
        <v>0.17499999999999999</v>
      </c>
      <c r="M12" s="599">
        <v>23</v>
      </c>
      <c r="N12" s="599">
        <v>15</v>
      </c>
      <c r="O12" s="599">
        <v>345</v>
      </c>
      <c r="P12" s="612">
        <v>0.375</v>
      </c>
      <c r="Q12" s="600">
        <v>23</v>
      </c>
    </row>
    <row r="13" spans="1:17" ht="14.4" customHeight="1" x14ac:dyDescent="0.3">
      <c r="A13" s="595" t="s">
        <v>1400</v>
      </c>
      <c r="B13" s="596" t="s">
        <v>1401</v>
      </c>
      <c r="C13" s="596" t="s">
        <v>1213</v>
      </c>
      <c r="D13" s="596" t="s">
        <v>1408</v>
      </c>
      <c r="E13" s="596" t="s">
        <v>1409</v>
      </c>
      <c r="F13" s="599">
        <v>9</v>
      </c>
      <c r="G13" s="599">
        <v>486</v>
      </c>
      <c r="H13" s="599">
        <v>1</v>
      </c>
      <c r="I13" s="599">
        <v>54</v>
      </c>
      <c r="J13" s="599"/>
      <c r="K13" s="599"/>
      <c r="L13" s="599"/>
      <c r="M13" s="599"/>
      <c r="N13" s="599">
        <v>5</v>
      </c>
      <c r="O13" s="599">
        <v>270</v>
      </c>
      <c r="P13" s="612">
        <v>0.55555555555555558</v>
      </c>
      <c r="Q13" s="600">
        <v>54</v>
      </c>
    </row>
    <row r="14" spans="1:17" ht="14.4" customHeight="1" x14ac:dyDescent="0.3">
      <c r="A14" s="595" t="s">
        <v>1400</v>
      </c>
      <c r="B14" s="596" t="s">
        <v>1401</v>
      </c>
      <c r="C14" s="596" t="s">
        <v>1213</v>
      </c>
      <c r="D14" s="596" t="s">
        <v>1410</v>
      </c>
      <c r="E14" s="596" t="s">
        <v>1411</v>
      </c>
      <c r="F14" s="599">
        <v>18</v>
      </c>
      <c r="G14" s="599">
        <v>1386</v>
      </c>
      <c r="H14" s="599">
        <v>1</v>
      </c>
      <c r="I14" s="599">
        <v>77</v>
      </c>
      <c r="J14" s="599">
        <v>6</v>
      </c>
      <c r="K14" s="599">
        <v>462</v>
      </c>
      <c r="L14" s="599">
        <v>0.33333333333333331</v>
      </c>
      <c r="M14" s="599">
        <v>77</v>
      </c>
      <c r="N14" s="599">
        <v>19</v>
      </c>
      <c r="O14" s="599">
        <v>1463</v>
      </c>
      <c r="P14" s="612">
        <v>1.0555555555555556</v>
      </c>
      <c r="Q14" s="600">
        <v>77</v>
      </c>
    </row>
    <row r="15" spans="1:17" ht="14.4" customHeight="1" x14ac:dyDescent="0.3">
      <c r="A15" s="595" t="s">
        <v>1400</v>
      </c>
      <c r="B15" s="596" t="s">
        <v>1401</v>
      </c>
      <c r="C15" s="596" t="s">
        <v>1213</v>
      </c>
      <c r="D15" s="596" t="s">
        <v>1412</v>
      </c>
      <c r="E15" s="596" t="s">
        <v>1413</v>
      </c>
      <c r="F15" s="599">
        <v>397</v>
      </c>
      <c r="G15" s="599">
        <v>8734</v>
      </c>
      <c r="H15" s="599">
        <v>1</v>
      </c>
      <c r="I15" s="599">
        <v>22</v>
      </c>
      <c r="J15" s="599">
        <v>195</v>
      </c>
      <c r="K15" s="599">
        <v>4290</v>
      </c>
      <c r="L15" s="599">
        <v>0.49118387909319899</v>
      </c>
      <c r="M15" s="599">
        <v>22</v>
      </c>
      <c r="N15" s="599">
        <v>285</v>
      </c>
      <c r="O15" s="599">
        <v>6270</v>
      </c>
      <c r="P15" s="612">
        <v>0.71788413098236781</v>
      </c>
      <c r="Q15" s="600">
        <v>22</v>
      </c>
    </row>
    <row r="16" spans="1:17" ht="14.4" customHeight="1" x14ac:dyDescent="0.3">
      <c r="A16" s="595" t="s">
        <v>1400</v>
      </c>
      <c r="B16" s="596" t="s">
        <v>1401</v>
      </c>
      <c r="C16" s="596" t="s">
        <v>1213</v>
      </c>
      <c r="D16" s="596" t="s">
        <v>1414</v>
      </c>
      <c r="E16" s="596" t="s">
        <v>1415</v>
      </c>
      <c r="F16" s="599">
        <v>9</v>
      </c>
      <c r="G16" s="599">
        <v>1881</v>
      </c>
      <c r="H16" s="599">
        <v>1</v>
      </c>
      <c r="I16" s="599">
        <v>209</v>
      </c>
      <c r="J16" s="599"/>
      <c r="K16" s="599"/>
      <c r="L16" s="599"/>
      <c r="M16" s="599"/>
      <c r="N16" s="599"/>
      <c r="O16" s="599"/>
      <c r="P16" s="612"/>
      <c r="Q16" s="600"/>
    </row>
    <row r="17" spans="1:17" ht="14.4" customHeight="1" x14ac:dyDescent="0.3">
      <c r="A17" s="595" t="s">
        <v>1400</v>
      </c>
      <c r="B17" s="596" t="s">
        <v>1401</v>
      </c>
      <c r="C17" s="596" t="s">
        <v>1213</v>
      </c>
      <c r="D17" s="596" t="s">
        <v>1416</v>
      </c>
      <c r="E17" s="596" t="s">
        <v>1417</v>
      </c>
      <c r="F17" s="599">
        <v>27</v>
      </c>
      <c r="G17" s="599">
        <v>1782</v>
      </c>
      <c r="H17" s="599">
        <v>1</v>
      </c>
      <c r="I17" s="599">
        <v>66</v>
      </c>
      <c r="J17" s="599">
        <v>20</v>
      </c>
      <c r="K17" s="599">
        <v>1320</v>
      </c>
      <c r="L17" s="599">
        <v>0.7407407407407407</v>
      </c>
      <c r="M17" s="599">
        <v>66</v>
      </c>
      <c r="N17" s="599">
        <v>22</v>
      </c>
      <c r="O17" s="599">
        <v>1452</v>
      </c>
      <c r="P17" s="612">
        <v>0.81481481481481477</v>
      </c>
      <c r="Q17" s="600">
        <v>66</v>
      </c>
    </row>
    <row r="18" spans="1:17" ht="14.4" customHeight="1" x14ac:dyDescent="0.3">
      <c r="A18" s="595" t="s">
        <v>1400</v>
      </c>
      <c r="B18" s="596" t="s">
        <v>1401</v>
      </c>
      <c r="C18" s="596" t="s">
        <v>1213</v>
      </c>
      <c r="D18" s="596" t="s">
        <v>1418</v>
      </c>
      <c r="E18" s="596" t="s">
        <v>1419</v>
      </c>
      <c r="F18" s="599">
        <v>346</v>
      </c>
      <c r="G18" s="599">
        <v>7958</v>
      </c>
      <c r="H18" s="599">
        <v>1</v>
      </c>
      <c r="I18" s="599">
        <v>23</v>
      </c>
      <c r="J18" s="599">
        <v>182</v>
      </c>
      <c r="K18" s="599">
        <v>4368</v>
      </c>
      <c r="L18" s="599">
        <v>0.54888162854988687</v>
      </c>
      <c r="M18" s="599">
        <v>24</v>
      </c>
      <c r="N18" s="599">
        <v>265</v>
      </c>
      <c r="O18" s="599">
        <v>6360</v>
      </c>
      <c r="P18" s="612">
        <v>0.7991957778336265</v>
      </c>
      <c r="Q18" s="600">
        <v>24</v>
      </c>
    </row>
    <row r="19" spans="1:17" ht="14.4" customHeight="1" x14ac:dyDescent="0.3">
      <c r="A19" s="595" t="s">
        <v>1400</v>
      </c>
      <c r="B19" s="596" t="s">
        <v>1401</v>
      </c>
      <c r="C19" s="596" t="s">
        <v>1213</v>
      </c>
      <c r="D19" s="596" t="s">
        <v>1420</v>
      </c>
      <c r="E19" s="596" t="s">
        <v>1421</v>
      </c>
      <c r="F19" s="599">
        <v>9</v>
      </c>
      <c r="G19" s="599">
        <v>1620</v>
      </c>
      <c r="H19" s="599">
        <v>1</v>
      </c>
      <c r="I19" s="599">
        <v>180</v>
      </c>
      <c r="J19" s="599"/>
      <c r="K19" s="599"/>
      <c r="L19" s="599"/>
      <c r="M19" s="599"/>
      <c r="N19" s="599">
        <v>6</v>
      </c>
      <c r="O19" s="599">
        <v>1080</v>
      </c>
      <c r="P19" s="612">
        <v>0.66666666666666663</v>
      </c>
      <c r="Q19" s="600">
        <v>180</v>
      </c>
    </row>
    <row r="20" spans="1:17" ht="14.4" customHeight="1" x14ac:dyDescent="0.3">
      <c r="A20" s="595" t="s">
        <v>1400</v>
      </c>
      <c r="B20" s="596" t="s">
        <v>1401</v>
      </c>
      <c r="C20" s="596" t="s">
        <v>1213</v>
      </c>
      <c r="D20" s="596" t="s">
        <v>1422</v>
      </c>
      <c r="E20" s="596" t="s">
        <v>1423</v>
      </c>
      <c r="F20" s="599">
        <v>8</v>
      </c>
      <c r="G20" s="599">
        <v>2024</v>
      </c>
      <c r="H20" s="599">
        <v>1</v>
      </c>
      <c r="I20" s="599">
        <v>253</v>
      </c>
      <c r="J20" s="599"/>
      <c r="K20" s="599"/>
      <c r="L20" s="599"/>
      <c r="M20" s="599"/>
      <c r="N20" s="599">
        <v>14</v>
      </c>
      <c r="O20" s="599">
        <v>3542</v>
      </c>
      <c r="P20" s="612">
        <v>1.75</v>
      </c>
      <c r="Q20" s="600">
        <v>253</v>
      </c>
    </row>
    <row r="21" spans="1:17" ht="14.4" customHeight="1" x14ac:dyDescent="0.3">
      <c r="A21" s="595" t="s">
        <v>1400</v>
      </c>
      <c r="B21" s="596" t="s">
        <v>1401</v>
      </c>
      <c r="C21" s="596" t="s">
        <v>1213</v>
      </c>
      <c r="D21" s="596" t="s">
        <v>1424</v>
      </c>
      <c r="E21" s="596" t="s">
        <v>1425</v>
      </c>
      <c r="F21" s="599">
        <v>11</v>
      </c>
      <c r="G21" s="599">
        <v>2376</v>
      </c>
      <c r="H21" s="599">
        <v>1</v>
      </c>
      <c r="I21" s="599">
        <v>216</v>
      </c>
      <c r="J21" s="599"/>
      <c r="K21" s="599"/>
      <c r="L21" s="599"/>
      <c r="M21" s="599"/>
      <c r="N21" s="599">
        <v>8</v>
      </c>
      <c r="O21" s="599">
        <v>1728</v>
      </c>
      <c r="P21" s="612">
        <v>0.72727272727272729</v>
      </c>
      <c r="Q21" s="600">
        <v>216</v>
      </c>
    </row>
    <row r="22" spans="1:17" ht="14.4" customHeight="1" x14ac:dyDescent="0.3">
      <c r="A22" s="595" t="s">
        <v>1400</v>
      </c>
      <c r="B22" s="596" t="s">
        <v>1401</v>
      </c>
      <c r="C22" s="596" t="s">
        <v>1213</v>
      </c>
      <c r="D22" s="596" t="s">
        <v>1426</v>
      </c>
      <c r="E22" s="596" t="s">
        <v>1427</v>
      </c>
      <c r="F22" s="599">
        <v>61</v>
      </c>
      <c r="G22" s="599">
        <v>3050</v>
      </c>
      <c r="H22" s="599">
        <v>1</v>
      </c>
      <c r="I22" s="599">
        <v>50</v>
      </c>
      <c r="J22" s="599">
        <v>24</v>
      </c>
      <c r="K22" s="599">
        <v>1200</v>
      </c>
      <c r="L22" s="599">
        <v>0.39344262295081966</v>
      </c>
      <c r="M22" s="599">
        <v>50</v>
      </c>
      <c r="N22" s="599">
        <v>54</v>
      </c>
      <c r="O22" s="599">
        <v>2700</v>
      </c>
      <c r="P22" s="612">
        <v>0.88524590163934425</v>
      </c>
      <c r="Q22" s="600">
        <v>50</v>
      </c>
    </row>
    <row r="23" spans="1:17" ht="14.4" customHeight="1" x14ac:dyDescent="0.3">
      <c r="A23" s="595" t="s">
        <v>1428</v>
      </c>
      <c r="B23" s="596" t="s">
        <v>1429</v>
      </c>
      <c r="C23" s="596" t="s">
        <v>1213</v>
      </c>
      <c r="D23" s="596" t="s">
        <v>1430</v>
      </c>
      <c r="E23" s="596" t="s">
        <v>1431</v>
      </c>
      <c r="F23" s="599">
        <v>23</v>
      </c>
      <c r="G23" s="599">
        <v>621</v>
      </c>
      <c r="H23" s="599">
        <v>1</v>
      </c>
      <c r="I23" s="599">
        <v>27</v>
      </c>
      <c r="J23" s="599">
        <v>20</v>
      </c>
      <c r="K23" s="599">
        <v>540</v>
      </c>
      <c r="L23" s="599">
        <v>0.86956521739130432</v>
      </c>
      <c r="M23" s="599">
        <v>27</v>
      </c>
      <c r="N23" s="599">
        <v>11</v>
      </c>
      <c r="O23" s="599">
        <v>297</v>
      </c>
      <c r="P23" s="612">
        <v>0.47826086956521741</v>
      </c>
      <c r="Q23" s="600">
        <v>27</v>
      </c>
    </row>
    <row r="24" spans="1:17" ht="14.4" customHeight="1" x14ac:dyDescent="0.3">
      <c r="A24" s="595" t="s">
        <v>1428</v>
      </c>
      <c r="B24" s="596" t="s">
        <v>1429</v>
      </c>
      <c r="C24" s="596" t="s">
        <v>1213</v>
      </c>
      <c r="D24" s="596" t="s">
        <v>1432</v>
      </c>
      <c r="E24" s="596" t="s">
        <v>1433</v>
      </c>
      <c r="F24" s="599">
        <v>2</v>
      </c>
      <c r="G24" s="599">
        <v>108</v>
      </c>
      <c r="H24" s="599">
        <v>1</v>
      </c>
      <c r="I24" s="599">
        <v>54</v>
      </c>
      <c r="J24" s="599"/>
      <c r="K24" s="599"/>
      <c r="L24" s="599"/>
      <c r="M24" s="599"/>
      <c r="N24" s="599"/>
      <c r="O24" s="599"/>
      <c r="P24" s="612"/>
      <c r="Q24" s="600"/>
    </row>
    <row r="25" spans="1:17" ht="14.4" customHeight="1" x14ac:dyDescent="0.3">
      <c r="A25" s="595" t="s">
        <v>1428</v>
      </c>
      <c r="B25" s="596" t="s">
        <v>1429</v>
      </c>
      <c r="C25" s="596" t="s">
        <v>1213</v>
      </c>
      <c r="D25" s="596" t="s">
        <v>1434</v>
      </c>
      <c r="E25" s="596" t="s">
        <v>1435</v>
      </c>
      <c r="F25" s="599"/>
      <c r="G25" s="599"/>
      <c r="H25" s="599"/>
      <c r="I25" s="599"/>
      <c r="J25" s="599">
        <v>1</v>
      </c>
      <c r="K25" s="599">
        <v>24</v>
      </c>
      <c r="L25" s="599"/>
      <c r="M25" s="599">
        <v>24</v>
      </c>
      <c r="N25" s="599"/>
      <c r="O25" s="599"/>
      <c r="P25" s="612"/>
      <c r="Q25" s="600"/>
    </row>
    <row r="26" spans="1:17" ht="14.4" customHeight="1" x14ac:dyDescent="0.3">
      <c r="A26" s="595" t="s">
        <v>1428</v>
      </c>
      <c r="B26" s="596" t="s">
        <v>1429</v>
      </c>
      <c r="C26" s="596" t="s">
        <v>1213</v>
      </c>
      <c r="D26" s="596" t="s">
        <v>1436</v>
      </c>
      <c r="E26" s="596" t="s">
        <v>1437</v>
      </c>
      <c r="F26" s="599">
        <v>29</v>
      </c>
      <c r="G26" s="599">
        <v>783</v>
      </c>
      <c r="H26" s="599">
        <v>1</v>
      </c>
      <c r="I26" s="599">
        <v>27</v>
      </c>
      <c r="J26" s="599">
        <v>24</v>
      </c>
      <c r="K26" s="599">
        <v>648</v>
      </c>
      <c r="L26" s="599">
        <v>0.82758620689655171</v>
      </c>
      <c r="M26" s="599">
        <v>27</v>
      </c>
      <c r="N26" s="599">
        <v>12</v>
      </c>
      <c r="O26" s="599">
        <v>324</v>
      </c>
      <c r="P26" s="612">
        <v>0.41379310344827586</v>
      </c>
      <c r="Q26" s="600">
        <v>27</v>
      </c>
    </row>
    <row r="27" spans="1:17" ht="14.4" customHeight="1" x14ac:dyDescent="0.3">
      <c r="A27" s="595" t="s">
        <v>1428</v>
      </c>
      <c r="B27" s="596" t="s">
        <v>1429</v>
      </c>
      <c r="C27" s="596" t="s">
        <v>1213</v>
      </c>
      <c r="D27" s="596" t="s">
        <v>1438</v>
      </c>
      <c r="E27" s="596" t="s">
        <v>1439</v>
      </c>
      <c r="F27" s="599">
        <v>1823</v>
      </c>
      <c r="G27" s="599">
        <v>102088</v>
      </c>
      <c r="H27" s="599">
        <v>1</v>
      </c>
      <c r="I27" s="599">
        <v>56</v>
      </c>
      <c r="J27" s="599">
        <v>1001</v>
      </c>
      <c r="K27" s="599">
        <v>56056</v>
      </c>
      <c r="L27" s="599">
        <v>0.5490948985189249</v>
      </c>
      <c r="M27" s="599">
        <v>56</v>
      </c>
      <c r="N27" s="599">
        <v>602</v>
      </c>
      <c r="O27" s="599">
        <v>33712</v>
      </c>
      <c r="P27" s="612">
        <v>0.33022490400438836</v>
      </c>
      <c r="Q27" s="600">
        <v>56</v>
      </c>
    </row>
    <row r="28" spans="1:17" ht="14.4" customHeight="1" x14ac:dyDescent="0.3">
      <c r="A28" s="595" t="s">
        <v>1428</v>
      </c>
      <c r="B28" s="596" t="s">
        <v>1429</v>
      </c>
      <c r="C28" s="596" t="s">
        <v>1213</v>
      </c>
      <c r="D28" s="596" t="s">
        <v>1440</v>
      </c>
      <c r="E28" s="596" t="s">
        <v>1441</v>
      </c>
      <c r="F28" s="599">
        <v>3</v>
      </c>
      <c r="G28" s="599">
        <v>81</v>
      </c>
      <c r="H28" s="599">
        <v>1</v>
      </c>
      <c r="I28" s="599">
        <v>27</v>
      </c>
      <c r="J28" s="599">
        <v>1</v>
      </c>
      <c r="K28" s="599">
        <v>27</v>
      </c>
      <c r="L28" s="599">
        <v>0.33333333333333331</v>
      </c>
      <c r="M28" s="599">
        <v>27</v>
      </c>
      <c r="N28" s="599">
        <v>2</v>
      </c>
      <c r="O28" s="599">
        <v>54</v>
      </c>
      <c r="P28" s="612">
        <v>0.66666666666666663</v>
      </c>
      <c r="Q28" s="600">
        <v>27</v>
      </c>
    </row>
    <row r="29" spans="1:17" ht="14.4" customHeight="1" x14ac:dyDescent="0.3">
      <c r="A29" s="595" t="s">
        <v>1428</v>
      </c>
      <c r="B29" s="596" t="s">
        <v>1429</v>
      </c>
      <c r="C29" s="596" t="s">
        <v>1213</v>
      </c>
      <c r="D29" s="596" t="s">
        <v>1442</v>
      </c>
      <c r="E29" s="596" t="s">
        <v>1443</v>
      </c>
      <c r="F29" s="599">
        <v>8</v>
      </c>
      <c r="G29" s="599">
        <v>176</v>
      </c>
      <c r="H29" s="599">
        <v>1</v>
      </c>
      <c r="I29" s="599">
        <v>22</v>
      </c>
      <c r="J29" s="599">
        <v>5</v>
      </c>
      <c r="K29" s="599">
        <v>110</v>
      </c>
      <c r="L29" s="599">
        <v>0.625</v>
      </c>
      <c r="M29" s="599">
        <v>22</v>
      </c>
      <c r="N29" s="599">
        <v>298</v>
      </c>
      <c r="O29" s="599">
        <v>6556</v>
      </c>
      <c r="P29" s="612">
        <v>37.25</v>
      </c>
      <c r="Q29" s="600">
        <v>22</v>
      </c>
    </row>
    <row r="30" spans="1:17" ht="14.4" customHeight="1" x14ac:dyDescent="0.3">
      <c r="A30" s="595" t="s">
        <v>1428</v>
      </c>
      <c r="B30" s="596" t="s">
        <v>1429</v>
      </c>
      <c r="C30" s="596" t="s">
        <v>1213</v>
      </c>
      <c r="D30" s="596" t="s">
        <v>1444</v>
      </c>
      <c r="E30" s="596" t="s">
        <v>1445</v>
      </c>
      <c r="F30" s="599">
        <v>1018</v>
      </c>
      <c r="G30" s="599">
        <v>62098</v>
      </c>
      <c r="H30" s="599">
        <v>1</v>
      </c>
      <c r="I30" s="599">
        <v>61</v>
      </c>
      <c r="J30" s="599">
        <v>1008</v>
      </c>
      <c r="K30" s="599">
        <v>61488</v>
      </c>
      <c r="L30" s="599">
        <v>0.99017681728880158</v>
      </c>
      <c r="M30" s="599">
        <v>61</v>
      </c>
      <c r="N30" s="599">
        <v>662</v>
      </c>
      <c r="O30" s="599">
        <v>40382</v>
      </c>
      <c r="P30" s="612">
        <v>0.650294695481336</v>
      </c>
      <c r="Q30" s="600">
        <v>61</v>
      </c>
    </row>
    <row r="31" spans="1:17" ht="14.4" customHeight="1" x14ac:dyDescent="0.3">
      <c r="A31" s="595" t="s">
        <v>1428</v>
      </c>
      <c r="B31" s="596" t="s">
        <v>1429</v>
      </c>
      <c r="C31" s="596" t="s">
        <v>1213</v>
      </c>
      <c r="D31" s="596" t="s">
        <v>1446</v>
      </c>
      <c r="E31" s="596" t="s">
        <v>1447</v>
      </c>
      <c r="F31" s="599"/>
      <c r="G31" s="599"/>
      <c r="H31" s="599"/>
      <c r="I31" s="599"/>
      <c r="J31" s="599"/>
      <c r="K31" s="599"/>
      <c r="L31" s="599"/>
      <c r="M31" s="599"/>
      <c r="N31" s="599">
        <v>65</v>
      </c>
      <c r="O31" s="599">
        <v>5265</v>
      </c>
      <c r="P31" s="612"/>
      <c r="Q31" s="600">
        <v>81</v>
      </c>
    </row>
    <row r="32" spans="1:17" ht="14.4" customHeight="1" x14ac:dyDescent="0.3">
      <c r="A32" s="595" t="s">
        <v>1428</v>
      </c>
      <c r="B32" s="596" t="s">
        <v>1429</v>
      </c>
      <c r="C32" s="596" t="s">
        <v>1213</v>
      </c>
      <c r="D32" s="596" t="s">
        <v>1448</v>
      </c>
      <c r="E32" s="596" t="s">
        <v>1449</v>
      </c>
      <c r="F32" s="599">
        <v>3</v>
      </c>
      <c r="G32" s="599">
        <v>2961</v>
      </c>
      <c r="H32" s="599">
        <v>1</v>
      </c>
      <c r="I32" s="599">
        <v>987</v>
      </c>
      <c r="J32" s="599">
        <v>6</v>
      </c>
      <c r="K32" s="599">
        <v>5922</v>
      </c>
      <c r="L32" s="599">
        <v>2</v>
      </c>
      <c r="M32" s="599">
        <v>987</v>
      </c>
      <c r="N32" s="599">
        <v>2</v>
      </c>
      <c r="O32" s="599">
        <v>1974</v>
      </c>
      <c r="P32" s="612">
        <v>0.66666666666666663</v>
      </c>
      <c r="Q32" s="600">
        <v>987</v>
      </c>
    </row>
    <row r="33" spans="1:17" ht="14.4" customHeight="1" x14ac:dyDescent="0.3">
      <c r="A33" s="595" t="s">
        <v>1428</v>
      </c>
      <c r="B33" s="596" t="s">
        <v>1429</v>
      </c>
      <c r="C33" s="596" t="s">
        <v>1213</v>
      </c>
      <c r="D33" s="596" t="s">
        <v>1450</v>
      </c>
      <c r="E33" s="596" t="s">
        <v>1451</v>
      </c>
      <c r="F33" s="599">
        <v>306</v>
      </c>
      <c r="G33" s="599">
        <v>9180</v>
      </c>
      <c r="H33" s="599">
        <v>1</v>
      </c>
      <c r="I33" s="599">
        <v>30</v>
      </c>
      <c r="J33" s="599">
        <v>359</v>
      </c>
      <c r="K33" s="599">
        <v>10770</v>
      </c>
      <c r="L33" s="599">
        <v>1.173202614379085</v>
      </c>
      <c r="M33" s="599">
        <v>30</v>
      </c>
      <c r="N33" s="599">
        <v>235</v>
      </c>
      <c r="O33" s="599">
        <v>7050</v>
      </c>
      <c r="P33" s="612">
        <v>0.76797385620915037</v>
      </c>
      <c r="Q33" s="600">
        <v>30</v>
      </c>
    </row>
    <row r="34" spans="1:17" ht="14.4" customHeight="1" x14ac:dyDescent="0.3">
      <c r="A34" s="595" t="s">
        <v>1428</v>
      </c>
      <c r="B34" s="596" t="s">
        <v>1429</v>
      </c>
      <c r="C34" s="596" t="s">
        <v>1213</v>
      </c>
      <c r="D34" s="596" t="s">
        <v>1452</v>
      </c>
      <c r="E34" s="596" t="s">
        <v>1453</v>
      </c>
      <c r="F34" s="599">
        <v>5</v>
      </c>
      <c r="G34" s="599">
        <v>955</v>
      </c>
      <c r="H34" s="599">
        <v>1</v>
      </c>
      <c r="I34" s="599">
        <v>191</v>
      </c>
      <c r="J34" s="599"/>
      <c r="K34" s="599"/>
      <c r="L34" s="599"/>
      <c r="M34" s="599"/>
      <c r="N34" s="599"/>
      <c r="O34" s="599"/>
      <c r="P34" s="612"/>
      <c r="Q34" s="600"/>
    </row>
    <row r="35" spans="1:17" ht="14.4" customHeight="1" x14ac:dyDescent="0.3">
      <c r="A35" s="595" t="s">
        <v>1428</v>
      </c>
      <c r="B35" s="596" t="s">
        <v>1429</v>
      </c>
      <c r="C35" s="596" t="s">
        <v>1213</v>
      </c>
      <c r="D35" s="596" t="s">
        <v>1454</v>
      </c>
      <c r="E35" s="596" t="s">
        <v>1455</v>
      </c>
      <c r="F35" s="599"/>
      <c r="G35" s="599"/>
      <c r="H35" s="599"/>
      <c r="I35" s="599"/>
      <c r="J35" s="599">
        <v>1</v>
      </c>
      <c r="K35" s="599">
        <v>266</v>
      </c>
      <c r="L35" s="599"/>
      <c r="M35" s="599">
        <v>266</v>
      </c>
      <c r="N35" s="599"/>
      <c r="O35" s="599"/>
      <c r="P35" s="612"/>
      <c r="Q35" s="600"/>
    </row>
    <row r="36" spans="1:17" ht="14.4" customHeight="1" x14ac:dyDescent="0.3">
      <c r="A36" s="595" t="s">
        <v>1428</v>
      </c>
      <c r="B36" s="596" t="s">
        <v>1429</v>
      </c>
      <c r="C36" s="596" t="s">
        <v>1213</v>
      </c>
      <c r="D36" s="596" t="s">
        <v>1456</v>
      </c>
      <c r="E36" s="596" t="s">
        <v>1457</v>
      </c>
      <c r="F36" s="599"/>
      <c r="G36" s="599"/>
      <c r="H36" s="599"/>
      <c r="I36" s="599"/>
      <c r="J36" s="599">
        <v>1</v>
      </c>
      <c r="K36" s="599">
        <v>230</v>
      </c>
      <c r="L36" s="599"/>
      <c r="M36" s="599">
        <v>230</v>
      </c>
      <c r="N36" s="599"/>
      <c r="O36" s="599"/>
      <c r="P36" s="612"/>
      <c r="Q36" s="600"/>
    </row>
    <row r="37" spans="1:17" ht="14.4" customHeight="1" x14ac:dyDescent="0.3">
      <c r="A37" s="595" t="s">
        <v>1428</v>
      </c>
      <c r="B37" s="596" t="s">
        <v>1429</v>
      </c>
      <c r="C37" s="596" t="s">
        <v>1213</v>
      </c>
      <c r="D37" s="596" t="s">
        <v>1458</v>
      </c>
      <c r="E37" s="596" t="s">
        <v>1459</v>
      </c>
      <c r="F37" s="599">
        <v>26</v>
      </c>
      <c r="G37" s="599">
        <v>442</v>
      </c>
      <c r="H37" s="599">
        <v>1</v>
      </c>
      <c r="I37" s="599">
        <v>17</v>
      </c>
      <c r="J37" s="599">
        <v>38</v>
      </c>
      <c r="K37" s="599">
        <v>646</v>
      </c>
      <c r="L37" s="599">
        <v>1.4615384615384615</v>
      </c>
      <c r="M37" s="599">
        <v>17</v>
      </c>
      <c r="N37" s="599">
        <v>30</v>
      </c>
      <c r="O37" s="599">
        <v>510</v>
      </c>
      <c r="P37" s="612">
        <v>1.1538461538461537</v>
      </c>
      <c r="Q37" s="600">
        <v>17</v>
      </c>
    </row>
    <row r="38" spans="1:17" ht="14.4" customHeight="1" x14ac:dyDescent="0.3">
      <c r="A38" s="595" t="s">
        <v>1428</v>
      </c>
      <c r="B38" s="596" t="s">
        <v>1429</v>
      </c>
      <c r="C38" s="596" t="s">
        <v>1213</v>
      </c>
      <c r="D38" s="596" t="s">
        <v>1460</v>
      </c>
      <c r="E38" s="596" t="s">
        <v>1461</v>
      </c>
      <c r="F38" s="599">
        <v>6</v>
      </c>
      <c r="G38" s="599">
        <v>372</v>
      </c>
      <c r="H38" s="599">
        <v>1</v>
      </c>
      <c r="I38" s="599">
        <v>62</v>
      </c>
      <c r="J38" s="599"/>
      <c r="K38" s="599"/>
      <c r="L38" s="599"/>
      <c r="M38" s="599"/>
      <c r="N38" s="599"/>
      <c r="O38" s="599"/>
      <c r="P38" s="612"/>
      <c r="Q38" s="600"/>
    </row>
    <row r="39" spans="1:17" ht="14.4" customHeight="1" x14ac:dyDescent="0.3">
      <c r="A39" s="595" t="s">
        <v>1428</v>
      </c>
      <c r="B39" s="596" t="s">
        <v>1429</v>
      </c>
      <c r="C39" s="596" t="s">
        <v>1213</v>
      </c>
      <c r="D39" s="596" t="s">
        <v>1462</v>
      </c>
      <c r="E39" s="596" t="s">
        <v>1463</v>
      </c>
      <c r="F39" s="599">
        <v>2</v>
      </c>
      <c r="G39" s="599">
        <v>682</v>
      </c>
      <c r="H39" s="599">
        <v>1</v>
      </c>
      <c r="I39" s="599">
        <v>341</v>
      </c>
      <c r="J39" s="599"/>
      <c r="K39" s="599"/>
      <c r="L39" s="599"/>
      <c r="M39" s="599"/>
      <c r="N39" s="599"/>
      <c r="O39" s="599"/>
      <c r="P39" s="612"/>
      <c r="Q39" s="600"/>
    </row>
    <row r="40" spans="1:17" ht="14.4" customHeight="1" x14ac:dyDescent="0.3">
      <c r="A40" s="595" t="s">
        <v>1428</v>
      </c>
      <c r="B40" s="596" t="s">
        <v>1429</v>
      </c>
      <c r="C40" s="596" t="s">
        <v>1213</v>
      </c>
      <c r="D40" s="596" t="s">
        <v>1464</v>
      </c>
      <c r="E40" s="596" t="s">
        <v>1465</v>
      </c>
      <c r="F40" s="599">
        <v>5</v>
      </c>
      <c r="G40" s="599">
        <v>265</v>
      </c>
      <c r="H40" s="599">
        <v>1</v>
      </c>
      <c r="I40" s="599">
        <v>53</v>
      </c>
      <c r="J40" s="599"/>
      <c r="K40" s="599"/>
      <c r="L40" s="599"/>
      <c r="M40" s="599"/>
      <c r="N40" s="599"/>
      <c r="O40" s="599"/>
      <c r="P40" s="612"/>
      <c r="Q40" s="600"/>
    </row>
    <row r="41" spans="1:17" ht="14.4" customHeight="1" x14ac:dyDescent="0.3">
      <c r="A41" s="595" t="s">
        <v>1428</v>
      </c>
      <c r="B41" s="596" t="s">
        <v>1429</v>
      </c>
      <c r="C41" s="596" t="s">
        <v>1213</v>
      </c>
      <c r="D41" s="596" t="s">
        <v>1466</v>
      </c>
      <c r="E41" s="596" t="s">
        <v>1467</v>
      </c>
      <c r="F41" s="599">
        <v>1</v>
      </c>
      <c r="G41" s="599">
        <v>60</v>
      </c>
      <c r="H41" s="599">
        <v>1</v>
      </c>
      <c r="I41" s="599">
        <v>60</v>
      </c>
      <c r="J41" s="599"/>
      <c r="K41" s="599"/>
      <c r="L41" s="599"/>
      <c r="M41" s="599"/>
      <c r="N41" s="599"/>
      <c r="O41" s="599"/>
      <c r="P41" s="612"/>
      <c r="Q41" s="600"/>
    </row>
    <row r="42" spans="1:17" ht="14.4" customHeight="1" x14ac:dyDescent="0.3">
      <c r="A42" s="595" t="s">
        <v>1428</v>
      </c>
      <c r="B42" s="596" t="s">
        <v>1429</v>
      </c>
      <c r="C42" s="596" t="s">
        <v>1213</v>
      </c>
      <c r="D42" s="596" t="s">
        <v>1468</v>
      </c>
      <c r="E42" s="596" t="s">
        <v>1469</v>
      </c>
      <c r="F42" s="599">
        <v>1</v>
      </c>
      <c r="G42" s="599">
        <v>61</v>
      </c>
      <c r="H42" s="599">
        <v>1</v>
      </c>
      <c r="I42" s="599">
        <v>61</v>
      </c>
      <c r="J42" s="599"/>
      <c r="K42" s="599"/>
      <c r="L42" s="599"/>
      <c r="M42" s="599"/>
      <c r="N42" s="599"/>
      <c r="O42" s="599"/>
      <c r="P42" s="612"/>
      <c r="Q42" s="600"/>
    </row>
    <row r="43" spans="1:17" ht="14.4" customHeight="1" x14ac:dyDescent="0.3">
      <c r="A43" s="595" t="s">
        <v>1428</v>
      </c>
      <c r="B43" s="596" t="s">
        <v>1429</v>
      </c>
      <c r="C43" s="596" t="s">
        <v>1213</v>
      </c>
      <c r="D43" s="596" t="s">
        <v>1470</v>
      </c>
      <c r="E43" s="596" t="s">
        <v>1471</v>
      </c>
      <c r="F43" s="599">
        <v>9</v>
      </c>
      <c r="G43" s="599">
        <v>171</v>
      </c>
      <c r="H43" s="599">
        <v>1</v>
      </c>
      <c r="I43" s="599">
        <v>19</v>
      </c>
      <c r="J43" s="599">
        <v>19</v>
      </c>
      <c r="K43" s="599">
        <v>361</v>
      </c>
      <c r="L43" s="599">
        <v>2.1111111111111112</v>
      </c>
      <c r="M43" s="599">
        <v>19</v>
      </c>
      <c r="N43" s="599">
        <v>11</v>
      </c>
      <c r="O43" s="599">
        <v>209</v>
      </c>
      <c r="P43" s="612">
        <v>1.2222222222222223</v>
      </c>
      <c r="Q43" s="600">
        <v>19</v>
      </c>
    </row>
    <row r="44" spans="1:17" ht="14.4" customHeight="1" x14ac:dyDescent="0.3">
      <c r="A44" s="595" t="s">
        <v>1428</v>
      </c>
      <c r="B44" s="596" t="s">
        <v>1429</v>
      </c>
      <c r="C44" s="596" t="s">
        <v>1213</v>
      </c>
      <c r="D44" s="596" t="s">
        <v>1472</v>
      </c>
      <c r="E44" s="596" t="s">
        <v>1473</v>
      </c>
      <c r="F44" s="599"/>
      <c r="G44" s="599"/>
      <c r="H44" s="599"/>
      <c r="I44" s="599"/>
      <c r="J44" s="599">
        <v>3</v>
      </c>
      <c r="K44" s="599">
        <v>315</v>
      </c>
      <c r="L44" s="599"/>
      <c r="M44" s="599">
        <v>105</v>
      </c>
      <c r="N44" s="599"/>
      <c r="O44" s="599"/>
      <c r="P44" s="612"/>
      <c r="Q44" s="600"/>
    </row>
    <row r="45" spans="1:17" ht="14.4" customHeight="1" x14ac:dyDescent="0.3">
      <c r="A45" s="595" t="s">
        <v>1428</v>
      </c>
      <c r="B45" s="596" t="s">
        <v>1429</v>
      </c>
      <c r="C45" s="596" t="s">
        <v>1213</v>
      </c>
      <c r="D45" s="596" t="s">
        <v>1474</v>
      </c>
      <c r="E45" s="596" t="s">
        <v>1475</v>
      </c>
      <c r="F45" s="599">
        <v>4</v>
      </c>
      <c r="G45" s="599">
        <v>1844</v>
      </c>
      <c r="H45" s="599">
        <v>1</v>
      </c>
      <c r="I45" s="599">
        <v>461</v>
      </c>
      <c r="J45" s="599">
        <v>6</v>
      </c>
      <c r="K45" s="599">
        <v>2766</v>
      </c>
      <c r="L45" s="599">
        <v>1.5</v>
      </c>
      <c r="M45" s="599">
        <v>461</v>
      </c>
      <c r="N45" s="599">
        <v>3</v>
      </c>
      <c r="O45" s="599">
        <v>1383</v>
      </c>
      <c r="P45" s="612">
        <v>0.75</v>
      </c>
      <c r="Q45" s="600">
        <v>461</v>
      </c>
    </row>
    <row r="46" spans="1:17" ht="14.4" customHeight="1" x14ac:dyDescent="0.3">
      <c r="A46" s="595" t="s">
        <v>1428</v>
      </c>
      <c r="B46" s="596" t="s">
        <v>1429</v>
      </c>
      <c r="C46" s="596" t="s">
        <v>1213</v>
      </c>
      <c r="D46" s="596" t="s">
        <v>1476</v>
      </c>
      <c r="E46" s="596" t="s">
        <v>1477</v>
      </c>
      <c r="F46" s="599">
        <v>9</v>
      </c>
      <c r="G46" s="599">
        <v>2808</v>
      </c>
      <c r="H46" s="599">
        <v>1</v>
      </c>
      <c r="I46" s="599">
        <v>312</v>
      </c>
      <c r="J46" s="599">
        <v>9</v>
      </c>
      <c r="K46" s="599">
        <v>2808</v>
      </c>
      <c r="L46" s="599">
        <v>1</v>
      </c>
      <c r="M46" s="599">
        <v>312</v>
      </c>
      <c r="N46" s="599">
        <v>10</v>
      </c>
      <c r="O46" s="599">
        <v>3120</v>
      </c>
      <c r="P46" s="612">
        <v>1.1111111111111112</v>
      </c>
      <c r="Q46" s="600">
        <v>312</v>
      </c>
    </row>
    <row r="47" spans="1:17" ht="14.4" customHeight="1" x14ac:dyDescent="0.3">
      <c r="A47" s="595" t="s">
        <v>1428</v>
      </c>
      <c r="B47" s="596" t="s">
        <v>1429</v>
      </c>
      <c r="C47" s="596" t="s">
        <v>1213</v>
      </c>
      <c r="D47" s="596" t="s">
        <v>1478</v>
      </c>
      <c r="E47" s="596" t="s">
        <v>1479</v>
      </c>
      <c r="F47" s="599">
        <v>327</v>
      </c>
      <c r="G47" s="599">
        <v>60495</v>
      </c>
      <c r="H47" s="599">
        <v>1</v>
      </c>
      <c r="I47" s="599">
        <v>185</v>
      </c>
      <c r="J47" s="599">
        <v>325</v>
      </c>
      <c r="K47" s="599">
        <v>60125</v>
      </c>
      <c r="L47" s="599">
        <v>0.99388379204892963</v>
      </c>
      <c r="M47" s="599">
        <v>185</v>
      </c>
      <c r="N47" s="599">
        <v>246</v>
      </c>
      <c r="O47" s="599">
        <v>45510</v>
      </c>
      <c r="P47" s="612">
        <v>0.75229357798165142</v>
      </c>
      <c r="Q47" s="600">
        <v>185</v>
      </c>
    </row>
    <row r="48" spans="1:17" ht="14.4" customHeight="1" x14ac:dyDescent="0.3">
      <c r="A48" s="595" t="s">
        <v>1428</v>
      </c>
      <c r="B48" s="596" t="s">
        <v>1429</v>
      </c>
      <c r="C48" s="596" t="s">
        <v>1213</v>
      </c>
      <c r="D48" s="596" t="s">
        <v>1480</v>
      </c>
      <c r="E48" s="596" t="s">
        <v>1481</v>
      </c>
      <c r="F48" s="599">
        <v>6</v>
      </c>
      <c r="G48" s="599">
        <v>756</v>
      </c>
      <c r="H48" s="599">
        <v>1</v>
      </c>
      <c r="I48" s="599">
        <v>126</v>
      </c>
      <c r="J48" s="599"/>
      <c r="K48" s="599"/>
      <c r="L48" s="599"/>
      <c r="M48" s="599"/>
      <c r="N48" s="599"/>
      <c r="O48" s="599"/>
      <c r="P48" s="612"/>
      <c r="Q48" s="600"/>
    </row>
    <row r="49" spans="1:17" ht="14.4" customHeight="1" x14ac:dyDescent="0.3">
      <c r="A49" s="595" t="s">
        <v>1428</v>
      </c>
      <c r="B49" s="596" t="s">
        <v>1429</v>
      </c>
      <c r="C49" s="596" t="s">
        <v>1213</v>
      </c>
      <c r="D49" s="596" t="s">
        <v>1482</v>
      </c>
      <c r="E49" s="596" t="s">
        <v>1483</v>
      </c>
      <c r="F49" s="599">
        <v>4</v>
      </c>
      <c r="G49" s="599">
        <v>144</v>
      </c>
      <c r="H49" s="599">
        <v>1</v>
      </c>
      <c r="I49" s="599">
        <v>36</v>
      </c>
      <c r="J49" s="599"/>
      <c r="K49" s="599"/>
      <c r="L49" s="599"/>
      <c r="M49" s="599"/>
      <c r="N49" s="599"/>
      <c r="O49" s="599"/>
      <c r="P49" s="612"/>
      <c r="Q49" s="600"/>
    </row>
    <row r="50" spans="1:17" ht="14.4" customHeight="1" x14ac:dyDescent="0.3">
      <c r="A50" s="595" t="s">
        <v>1428</v>
      </c>
      <c r="B50" s="596" t="s">
        <v>1429</v>
      </c>
      <c r="C50" s="596" t="s">
        <v>1213</v>
      </c>
      <c r="D50" s="596" t="s">
        <v>1484</v>
      </c>
      <c r="E50" s="596" t="s">
        <v>1485</v>
      </c>
      <c r="F50" s="599">
        <v>3</v>
      </c>
      <c r="G50" s="599">
        <v>1047</v>
      </c>
      <c r="H50" s="599">
        <v>1</v>
      </c>
      <c r="I50" s="599">
        <v>349</v>
      </c>
      <c r="J50" s="599"/>
      <c r="K50" s="599"/>
      <c r="L50" s="599"/>
      <c r="M50" s="599"/>
      <c r="N50" s="599"/>
      <c r="O50" s="599"/>
      <c r="P50" s="612"/>
      <c r="Q50" s="600"/>
    </row>
    <row r="51" spans="1:17" ht="14.4" customHeight="1" x14ac:dyDescent="0.3">
      <c r="A51" s="595" t="s">
        <v>1428</v>
      </c>
      <c r="B51" s="596" t="s">
        <v>1429</v>
      </c>
      <c r="C51" s="596" t="s">
        <v>1213</v>
      </c>
      <c r="D51" s="596" t="s">
        <v>1486</v>
      </c>
      <c r="E51" s="596" t="s">
        <v>1487</v>
      </c>
      <c r="F51" s="599">
        <v>3</v>
      </c>
      <c r="G51" s="599">
        <v>1047</v>
      </c>
      <c r="H51" s="599">
        <v>1</v>
      </c>
      <c r="I51" s="599">
        <v>349</v>
      </c>
      <c r="J51" s="599"/>
      <c r="K51" s="599"/>
      <c r="L51" s="599"/>
      <c r="M51" s="599"/>
      <c r="N51" s="599"/>
      <c r="O51" s="599"/>
      <c r="P51" s="612"/>
      <c r="Q51" s="600"/>
    </row>
    <row r="52" spans="1:17" ht="14.4" customHeight="1" x14ac:dyDescent="0.3">
      <c r="A52" s="595" t="s">
        <v>1428</v>
      </c>
      <c r="B52" s="596" t="s">
        <v>1429</v>
      </c>
      <c r="C52" s="596" t="s">
        <v>1213</v>
      </c>
      <c r="D52" s="596" t="s">
        <v>1488</v>
      </c>
      <c r="E52" s="596" t="s">
        <v>1489</v>
      </c>
      <c r="F52" s="599"/>
      <c r="G52" s="599"/>
      <c r="H52" s="599"/>
      <c r="I52" s="599"/>
      <c r="J52" s="599">
        <v>1</v>
      </c>
      <c r="K52" s="599">
        <v>1210</v>
      </c>
      <c r="L52" s="599"/>
      <c r="M52" s="599">
        <v>1210</v>
      </c>
      <c r="N52" s="599"/>
      <c r="O52" s="599"/>
      <c r="P52" s="612"/>
      <c r="Q52" s="600"/>
    </row>
    <row r="53" spans="1:17" ht="14.4" customHeight="1" x14ac:dyDescent="0.3">
      <c r="A53" s="595" t="s">
        <v>1428</v>
      </c>
      <c r="B53" s="596" t="s">
        <v>1429</v>
      </c>
      <c r="C53" s="596" t="s">
        <v>1213</v>
      </c>
      <c r="D53" s="596" t="s">
        <v>1490</v>
      </c>
      <c r="E53" s="596" t="s">
        <v>1491</v>
      </c>
      <c r="F53" s="599">
        <v>49</v>
      </c>
      <c r="G53" s="599">
        <v>38318</v>
      </c>
      <c r="H53" s="599">
        <v>1</v>
      </c>
      <c r="I53" s="599">
        <v>782</v>
      </c>
      <c r="J53" s="599">
        <v>6</v>
      </c>
      <c r="K53" s="599">
        <v>4698</v>
      </c>
      <c r="L53" s="599">
        <v>0.12260556396471632</v>
      </c>
      <c r="M53" s="599">
        <v>783</v>
      </c>
      <c r="N53" s="599"/>
      <c r="O53" s="599"/>
      <c r="P53" s="612"/>
      <c r="Q53" s="600"/>
    </row>
    <row r="54" spans="1:17" ht="14.4" customHeight="1" x14ac:dyDescent="0.3">
      <c r="A54" s="595" t="s">
        <v>1428</v>
      </c>
      <c r="B54" s="596" t="s">
        <v>1429</v>
      </c>
      <c r="C54" s="596" t="s">
        <v>1213</v>
      </c>
      <c r="D54" s="596" t="s">
        <v>1492</v>
      </c>
      <c r="E54" s="596" t="s">
        <v>1493</v>
      </c>
      <c r="F54" s="599">
        <v>1</v>
      </c>
      <c r="G54" s="599">
        <v>186</v>
      </c>
      <c r="H54" s="599">
        <v>1</v>
      </c>
      <c r="I54" s="599">
        <v>186</v>
      </c>
      <c r="J54" s="599"/>
      <c r="K54" s="599"/>
      <c r="L54" s="599"/>
      <c r="M54" s="599"/>
      <c r="N54" s="599">
        <v>1</v>
      </c>
      <c r="O54" s="599">
        <v>186</v>
      </c>
      <c r="P54" s="612">
        <v>1</v>
      </c>
      <c r="Q54" s="600">
        <v>186</v>
      </c>
    </row>
    <row r="55" spans="1:17" ht="14.4" customHeight="1" x14ac:dyDescent="0.3">
      <c r="A55" s="595" t="s">
        <v>1428</v>
      </c>
      <c r="B55" s="596" t="s">
        <v>1429</v>
      </c>
      <c r="C55" s="596" t="s">
        <v>1213</v>
      </c>
      <c r="D55" s="596" t="s">
        <v>1494</v>
      </c>
      <c r="E55" s="596" t="s">
        <v>1495</v>
      </c>
      <c r="F55" s="599"/>
      <c r="G55" s="599"/>
      <c r="H55" s="599"/>
      <c r="I55" s="599"/>
      <c r="J55" s="599"/>
      <c r="K55" s="599"/>
      <c r="L55" s="599"/>
      <c r="M55" s="599"/>
      <c r="N55" s="599">
        <v>2</v>
      </c>
      <c r="O55" s="599">
        <v>354</v>
      </c>
      <c r="P55" s="612"/>
      <c r="Q55" s="600">
        <v>177</v>
      </c>
    </row>
    <row r="56" spans="1:17" ht="14.4" customHeight="1" x14ac:dyDescent="0.3">
      <c r="A56" s="595" t="s">
        <v>1428</v>
      </c>
      <c r="B56" s="596" t="s">
        <v>1429</v>
      </c>
      <c r="C56" s="596" t="s">
        <v>1213</v>
      </c>
      <c r="D56" s="596" t="s">
        <v>1496</v>
      </c>
      <c r="E56" s="596" t="s">
        <v>1497</v>
      </c>
      <c r="F56" s="599">
        <v>9</v>
      </c>
      <c r="G56" s="599">
        <v>2034</v>
      </c>
      <c r="H56" s="599">
        <v>1</v>
      </c>
      <c r="I56" s="599">
        <v>226</v>
      </c>
      <c r="J56" s="599">
        <v>19</v>
      </c>
      <c r="K56" s="599">
        <v>4313</v>
      </c>
      <c r="L56" s="599">
        <v>2.1204523107177975</v>
      </c>
      <c r="M56" s="599">
        <v>227</v>
      </c>
      <c r="N56" s="599">
        <v>22</v>
      </c>
      <c r="O56" s="599">
        <v>4994</v>
      </c>
      <c r="P56" s="612">
        <v>2.455260570304818</v>
      </c>
      <c r="Q56" s="600">
        <v>227</v>
      </c>
    </row>
    <row r="57" spans="1:17" ht="14.4" customHeight="1" x14ac:dyDescent="0.3">
      <c r="A57" s="595" t="s">
        <v>1428</v>
      </c>
      <c r="B57" s="596" t="s">
        <v>1429</v>
      </c>
      <c r="C57" s="596" t="s">
        <v>1213</v>
      </c>
      <c r="D57" s="596" t="s">
        <v>1498</v>
      </c>
      <c r="E57" s="596" t="s">
        <v>1499</v>
      </c>
      <c r="F57" s="599"/>
      <c r="G57" s="599"/>
      <c r="H57" s="599"/>
      <c r="I57" s="599"/>
      <c r="J57" s="599">
        <v>1</v>
      </c>
      <c r="K57" s="599">
        <v>560</v>
      </c>
      <c r="L57" s="599"/>
      <c r="M57" s="599">
        <v>560</v>
      </c>
      <c r="N57" s="599"/>
      <c r="O57" s="599"/>
      <c r="P57" s="612"/>
      <c r="Q57" s="600"/>
    </row>
    <row r="58" spans="1:17" ht="14.4" customHeight="1" x14ac:dyDescent="0.3">
      <c r="A58" s="595" t="s">
        <v>1428</v>
      </c>
      <c r="B58" s="596" t="s">
        <v>1429</v>
      </c>
      <c r="C58" s="596" t="s">
        <v>1213</v>
      </c>
      <c r="D58" s="596" t="s">
        <v>1412</v>
      </c>
      <c r="E58" s="596" t="s">
        <v>1413</v>
      </c>
      <c r="F58" s="599">
        <v>6</v>
      </c>
      <c r="G58" s="599">
        <v>132</v>
      </c>
      <c r="H58" s="599">
        <v>1</v>
      </c>
      <c r="I58" s="599">
        <v>22</v>
      </c>
      <c r="J58" s="599"/>
      <c r="K58" s="599"/>
      <c r="L58" s="599"/>
      <c r="M58" s="599"/>
      <c r="N58" s="599"/>
      <c r="O58" s="599"/>
      <c r="P58" s="612"/>
      <c r="Q58" s="600"/>
    </row>
    <row r="59" spans="1:17" ht="14.4" customHeight="1" x14ac:dyDescent="0.3">
      <c r="A59" s="595" t="s">
        <v>1428</v>
      </c>
      <c r="B59" s="596" t="s">
        <v>1429</v>
      </c>
      <c r="C59" s="596" t="s">
        <v>1213</v>
      </c>
      <c r="D59" s="596" t="s">
        <v>1500</v>
      </c>
      <c r="E59" s="596" t="s">
        <v>1501</v>
      </c>
      <c r="F59" s="599"/>
      <c r="G59" s="599"/>
      <c r="H59" s="599"/>
      <c r="I59" s="599"/>
      <c r="J59" s="599">
        <v>1</v>
      </c>
      <c r="K59" s="599">
        <v>88</v>
      </c>
      <c r="L59" s="599"/>
      <c r="M59" s="599">
        <v>88</v>
      </c>
      <c r="N59" s="599"/>
      <c r="O59" s="599"/>
      <c r="P59" s="612"/>
      <c r="Q59" s="600"/>
    </row>
    <row r="60" spans="1:17" ht="14.4" customHeight="1" x14ac:dyDescent="0.3">
      <c r="A60" s="595" t="s">
        <v>1428</v>
      </c>
      <c r="B60" s="596" t="s">
        <v>1429</v>
      </c>
      <c r="C60" s="596" t="s">
        <v>1213</v>
      </c>
      <c r="D60" s="596" t="s">
        <v>1502</v>
      </c>
      <c r="E60" s="596" t="s">
        <v>1503</v>
      </c>
      <c r="F60" s="599">
        <v>1025</v>
      </c>
      <c r="G60" s="599">
        <v>29725</v>
      </c>
      <c r="H60" s="599">
        <v>1</v>
      </c>
      <c r="I60" s="599">
        <v>29</v>
      </c>
      <c r="J60" s="599">
        <v>1014</v>
      </c>
      <c r="K60" s="599">
        <v>29406</v>
      </c>
      <c r="L60" s="599">
        <v>0.98926829268292682</v>
      </c>
      <c r="M60" s="599">
        <v>29</v>
      </c>
      <c r="N60" s="599">
        <v>610</v>
      </c>
      <c r="O60" s="599">
        <v>17690</v>
      </c>
      <c r="P60" s="612">
        <v>0.59512195121951217</v>
      </c>
      <c r="Q60" s="600">
        <v>29</v>
      </c>
    </row>
    <row r="61" spans="1:17" ht="14.4" customHeight="1" x14ac:dyDescent="0.3">
      <c r="A61" s="595" t="s">
        <v>1428</v>
      </c>
      <c r="B61" s="596" t="s">
        <v>1429</v>
      </c>
      <c r="C61" s="596" t="s">
        <v>1213</v>
      </c>
      <c r="D61" s="596" t="s">
        <v>1504</v>
      </c>
      <c r="E61" s="596" t="s">
        <v>1505</v>
      </c>
      <c r="F61" s="599">
        <v>1</v>
      </c>
      <c r="G61" s="599">
        <v>50</v>
      </c>
      <c r="H61" s="599">
        <v>1</v>
      </c>
      <c r="I61" s="599">
        <v>50</v>
      </c>
      <c r="J61" s="599"/>
      <c r="K61" s="599"/>
      <c r="L61" s="599"/>
      <c r="M61" s="599"/>
      <c r="N61" s="599"/>
      <c r="O61" s="599"/>
      <c r="P61" s="612"/>
      <c r="Q61" s="600"/>
    </row>
    <row r="62" spans="1:17" ht="14.4" customHeight="1" x14ac:dyDescent="0.3">
      <c r="A62" s="595" t="s">
        <v>1428</v>
      </c>
      <c r="B62" s="596" t="s">
        <v>1429</v>
      </c>
      <c r="C62" s="596" t="s">
        <v>1213</v>
      </c>
      <c r="D62" s="596" t="s">
        <v>1506</v>
      </c>
      <c r="E62" s="596" t="s">
        <v>1507</v>
      </c>
      <c r="F62" s="599">
        <v>17</v>
      </c>
      <c r="G62" s="599">
        <v>204</v>
      </c>
      <c r="H62" s="599">
        <v>1</v>
      </c>
      <c r="I62" s="599">
        <v>12</v>
      </c>
      <c r="J62" s="599">
        <v>11</v>
      </c>
      <c r="K62" s="599">
        <v>132</v>
      </c>
      <c r="L62" s="599">
        <v>0.6470588235294118</v>
      </c>
      <c r="M62" s="599">
        <v>12</v>
      </c>
      <c r="N62" s="599">
        <v>8</v>
      </c>
      <c r="O62" s="599">
        <v>96</v>
      </c>
      <c r="P62" s="612">
        <v>0.47058823529411764</v>
      </c>
      <c r="Q62" s="600">
        <v>12</v>
      </c>
    </row>
    <row r="63" spans="1:17" ht="14.4" customHeight="1" x14ac:dyDescent="0.3">
      <c r="A63" s="595" t="s">
        <v>1428</v>
      </c>
      <c r="B63" s="596" t="s">
        <v>1429</v>
      </c>
      <c r="C63" s="596" t="s">
        <v>1213</v>
      </c>
      <c r="D63" s="596" t="s">
        <v>1508</v>
      </c>
      <c r="E63" s="596" t="s">
        <v>1509</v>
      </c>
      <c r="F63" s="599"/>
      <c r="G63" s="599"/>
      <c r="H63" s="599"/>
      <c r="I63" s="599"/>
      <c r="J63" s="599">
        <v>1</v>
      </c>
      <c r="K63" s="599">
        <v>181</v>
      </c>
      <c r="L63" s="599"/>
      <c r="M63" s="599">
        <v>181</v>
      </c>
      <c r="N63" s="599">
        <v>2</v>
      </c>
      <c r="O63" s="599">
        <v>362</v>
      </c>
      <c r="P63" s="612"/>
      <c r="Q63" s="600">
        <v>181</v>
      </c>
    </row>
    <row r="64" spans="1:17" ht="14.4" customHeight="1" x14ac:dyDescent="0.3">
      <c r="A64" s="595" t="s">
        <v>1428</v>
      </c>
      <c r="B64" s="596" t="s">
        <v>1429</v>
      </c>
      <c r="C64" s="596" t="s">
        <v>1213</v>
      </c>
      <c r="D64" s="596" t="s">
        <v>1510</v>
      </c>
      <c r="E64" s="596" t="s">
        <v>1511</v>
      </c>
      <c r="F64" s="599">
        <v>1017</v>
      </c>
      <c r="G64" s="599">
        <v>72207</v>
      </c>
      <c r="H64" s="599">
        <v>1</v>
      </c>
      <c r="I64" s="599">
        <v>71</v>
      </c>
      <c r="J64" s="599">
        <v>1009</v>
      </c>
      <c r="K64" s="599">
        <v>71639</v>
      </c>
      <c r="L64" s="599">
        <v>0.99213372664700095</v>
      </c>
      <c r="M64" s="599">
        <v>71</v>
      </c>
      <c r="N64" s="599">
        <v>802</v>
      </c>
      <c r="O64" s="599">
        <v>56942</v>
      </c>
      <c r="P64" s="612">
        <v>0.78859390363815141</v>
      </c>
      <c r="Q64" s="600">
        <v>71</v>
      </c>
    </row>
    <row r="65" spans="1:17" ht="14.4" customHeight="1" x14ac:dyDescent="0.3">
      <c r="A65" s="595" t="s">
        <v>1428</v>
      </c>
      <c r="B65" s="596" t="s">
        <v>1429</v>
      </c>
      <c r="C65" s="596" t="s">
        <v>1213</v>
      </c>
      <c r="D65" s="596" t="s">
        <v>1394</v>
      </c>
      <c r="E65" s="596" t="s">
        <v>1395</v>
      </c>
      <c r="F65" s="599"/>
      <c r="G65" s="599"/>
      <c r="H65" s="599"/>
      <c r="I65" s="599"/>
      <c r="J65" s="599"/>
      <c r="K65" s="599"/>
      <c r="L65" s="599"/>
      <c r="M65" s="599"/>
      <c r="N65" s="599">
        <v>1</v>
      </c>
      <c r="O65" s="599">
        <v>1245</v>
      </c>
      <c r="P65" s="612"/>
      <c r="Q65" s="600">
        <v>1245</v>
      </c>
    </row>
    <row r="66" spans="1:17" ht="14.4" customHeight="1" x14ac:dyDescent="0.3">
      <c r="A66" s="595" t="s">
        <v>1428</v>
      </c>
      <c r="B66" s="596" t="s">
        <v>1429</v>
      </c>
      <c r="C66" s="596" t="s">
        <v>1213</v>
      </c>
      <c r="D66" s="596" t="s">
        <v>1512</v>
      </c>
      <c r="E66" s="596" t="s">
        <v>1513</v>
      </c>
      <c r="F66" s="599">
        <v>286</v>
      </c>
      <c r="G66" s="599">
        <v>42042</v>
      </c>
      <c r="H66" s="599">
        <v>1</v>
      </c>
      <c r="I66" s="599">
        <v>147</v>
      </c>
      <c r="J66" s="599">
        <v>286</v>
      </c>
      <c r="K66" s="599">
        <v>42042</v>
      </c>
      <c r="L66" s="599">
        <v>1</v>
      </c>
      <c r="M66" s="599">
        <v>147</v>
      </c>
      <c r="N66" s="599">
        <v>220</v>
      </c>
      <c r="O66" s="599">
        <v>32340</v>
      </c>
      <c r="P66" s="612">
        <v>0.76923076923076927</v>
      </c>
      <c r="Q66" s="600">
        <v>147</v>
      </c>
    </row>
    <row r="67" spans="1:17" ht="14.4" customHeight="1" x14ac:dyDescent="0.3">
      <c r="A67" s="595" t="s">
        <v>1428</v>
      </c>
      <c r="B67" s="596" t="s">
        <v>1429</v>
      </c>
      <c r="C67" s="596" t="s">
        <v>1213</v>
      </c>
      <c r="D67" s="596" t="s">
        <v>1514</v>
      </c>
      <c r="E67" s="596" t="s">
        <v>1515</v>
      </c>
      <c r="F67" s="599">
        <v>1029</v>
      </c>
      <c r="G67" s="599">
        <v>29841</v>
      </c>
      <c r="H67" s="599">
        <v>1</v>
      </c>
      <c r="I67" s="599">
        <v>29</v>
      </c>
      <c r="J67" s="599">
        <v>1018</v>
      </c>
      <c r="K67" s="599">
        <v>29522</v>
      </c>
      <c r="L67" s="599">
        <v>0.98931000971817296</v>
      </c>
      <c r="M67" s="599">
        <v>29</v>
      </c>
      <c r="N67" s="599">
        <v>616</v>
      </c>
      <c r="O67" s="599">
        <v>17864</v>
      </c>
      <c r="P67" s="612">
        <v>0.59863945578231292</v>
      </c>
      <c r="Q67" s="600">
        <v>29</v>
      </c>
    </row>
    <row r="68" spans="1:17" ht="14.4" customHeight="1" x14ac:dyDescent="0.3">
      <c r="A68" s="595" t="s">
        <v>1428</v>
      </c>
      <c r="B68" s="596" t="s">
        <v>1429</v>
      </c>
      <c r="C68" s="596" t="s">
        <v>1213</v>
      </c>
      <c r="D68" s="596" t="s">
        <v>1516</v>
      </c>
      <c r="E68" s="596" t="s">
        <v>1517</v>
      </c>
      <c r="F68" s="599">
        <v>3</v>
      </c>
      <c r="G68" s="599">
        <v>93</v>
      </c>
      <c r="H68" s="599">
        <v>1</v>
      </c>
      <c r="I68" s="599">
        <v>31</v>
      </c>
      <c r="J68" s="599"/>
      <c r="K68" s="599"/>
      <c r="L68" s="599"/>
      <c r="M68" s="599"/>
      <c r="N68" s="599"/>
      <c r="O68" s="599"/>
      <c r="P68" s="612"/>
      <c r="Q68" s="600"/>
    </row>
    <row r="69" spans="1:17" ht="14.4" customHeight="1" x14ac:dyDescent="0.3">
      <c r="A69" s="595" t="s">
        <v>1428</v>
      </c>
      <c r="B69" s="596" t="s">
        <v>1429</v>
      </c>
      <c r="C69" s="596" t="s">
        <v>1213</v>
      </c>
      <c r="D69" s="596" t="s">
        <v>1518</v>
      </c>
      <c r="E69" s="596" t="s">
        <v>1519</v>
      </c>
      <c r="F69" s="599">
        <v>23</v>
      </c>
      <c r="G69" s="599">
        <v>621</v>
      </c>
      <c r="H69" s="599">
        <v>1</v>
      </c>
      <c r="I69" s="599">
        <v>27</v>
      </c>
      <c r="J69" s="599">
        <v>20</v>
      </c>
      <c r="K69" s="599">
        <v>540</v>
      </c>
      <c r="L69" s="599">
        <v>0.86956521739130432</v>
      </c>
      <c r="M69" s="599">
        <v>27</v>
      </c>
      <c r="N69" s="599">
        <v>10</v>
      </c>
      <c r="O69" s="599">
        <v>270</v>
      </c>
      <c r="P69" s="612">
        <v>0.43478260869565216</v>
      </c>
      <c r="Q69" s="600">
        <v>27</v>
      </c>
    </row>
    <row r="70" spans="1:17" ht="14.4" customHeight="1" x14ac:dyDescent="0.3">
      <c r="A70" s="595" t="s">
        <v>1428</v>
      </c>
      <c r="B70" s="596" t="s">
        <v>1429</v>
      </c>
      <c r="C70" s="596" t="s">
        <v>1213</v>
      </c>
      <c r="D70" s="596" t="s">
        <v>1520</v>
      </c>
      <c r="E70" s="596" t="s">
        <v>1521</v>
      </c>
      <c r="F70" s="599">
        <v>1</v>
      </c>
      <c r="G70" s="599">
        <v>22</v>
      </c>
      <c r="H70" s="599">
        <v>1</v>
      </c>
      <c r="I70" s="599">
        <v>22</v>
      </c>
      <c r="J70" s="599">
        <v>6</v>
      </c>
      <c r="K70" s="599">
        <v>132</v>
      </c>
      <c r="L70" s="599">
        <v>6</v>
      </c>
      <c r="M70" s="599">
        <v>22</v>
      </c>
      <c r="N70" s="599">
        <v>1</v>
      </c>
      <c r="O70" s="599">
        <v>22</v>
      </c>
      <c r="P70" s="612">
        <v>1</v>
      </c>
      <c r="Q70" s="600">
        <v>22</v>
      </c>
    </row>
    <row r="71" spans="1:17" ht="14.4" customHeight="1" x14ac:dyDescent="0.3">
      <c r="A71" s="595" t="s">
        <v>1428</v>
      </c>
      <c r="B71" s="596" t="s">
        <v>1429</v>
      </c>
      <c r="C71" s="596" t="s">
        <v>1213</v>
      </c>
      <c r="D71" s="596" t="s">
        <v>1522</v>
      </c>
      <c r="E71" s="596" t="s">
        <v>1523</v>
      </c>
      <c r="F71" s="599">
        <v>1</v>
      </c>
      <c r="G71" s="599">
        <v>850</v>
      </c>
      <c r="H71" s="599">
        <v>1</v>
      </c>
      <c r="I71" s="599">
        <v>850</v>
      </c>
      <c r="J71" s="599"/>
      <c r="K71" s="599"/>
      <c r="L71" s="599"/>
      <c r="M71" s="599"/>
      <c r="N71" s="599"/>
      <c r="O71" s="599"/>
      <c r="P71" s="612"/>
      <c r="Q71" s="600"/>
    </row>
    <row r="72" spans="1:17" ht="14.4" customHeight="1" x14ac:dyDescent="0.3">
      <c r="A72" s="595" t="s">
        <v>1428</v>
      </c>
      <c r="B72" s="596" t="s">
        <v>1429</v>
      </c>
      <c r="C72" s="596" t="s">
        <v>1213</v>
      </c>
      <c r="D72" s="596" t="s">
        <v>1524</v>
      </c>
      <c r="E72" s="596" t="s">
        <v>1525</v>
      </c>
      <c r="F72" s="599">
        <v>14</v>
      </c>
      <c r="G72" s="599">
        <v>350</v>
      </c>
      <c r="H72" s="599">
        <v>1</v>
      </c>
      <c r="I72" s="599">
        <v>25</v>
      </c>
      <c r="J72" s="599">
        <v>11</v>
      </c>
      <c r="K72" s="599">
        <v>275</v>
      </c>
      <c r="L72" s="599">
        <v>0.7857142857142857</v>
      </c>
      <c r="M72" s="599">
        <v>25</v>
      </c>
      <c r="N72" s="599">
        <v>7</v>
      </c>
      <c r="O72" s="599">
        <v>175</v>
      </c>
      <c r="P72" s="612">
        <v>0.5</v>
      </c>
      <c r="Q72" s="600">
        <v>25</v>
      </c>
    </row>
    <row r="73" spans="1:17" ht="14.4" customHeight="1" x14ac:dyDescent="0.3">
      <c r="A73" s="595" t="s">
        <v>1428</v>
      </c>
      <c r="B73" s="596" t="s">
        <v>1429</v>
      </c>
      <c r="C73" s="596" t="s">
        <v>1213</v>
      </c>
      <c r="D73" s="596" t="s">
        <v>1526</v>
      </c>
      <c r="E73" s="596" t="s">
        <v>1527</v>
      </c>
      <c r="F73" s="599">
        <v>10</v>
      </c>
      <c r="G73" s="599">
        <v>330</v>
      </c>
      <c r="H73" s="599">
        <v>1</v>
      </c>
      <c r="I73" s="599">
        <v>33</v>
      </c>
      <c r="J73" s="599">
        <v>9</v>
      </c>
      <c r="K73" s="599">
        <v>297</v>
      </c>
      <c r="L73" s="599">
        <v>0.9</v>
      </c>
      <c r="M73" s="599">
        <v>33</v>
      </c>
      <c r="N73" s="599">
        <v>7</v>
      </c>
      <c r="O73" s="599">
        <v>231</v>
      </c>
      <c r="P73" s="612">
        <v>0.7</v>
      </c>
      <c r="Q73" s="600">
        <v>33</v>
      </c>
    </row>
    <row r="74" spans="1:17" ht="14.4" customHeight="1" x14ac:dyDescent="0.3">
      <c r="A74" s="595" t="s">
        <v>1428</v>
      </c>
      <c r="B74" s="596" t="s">
        <v>1429</v>
      </c>
      <c r="C74" s="596" t="s">
        <v>1213</v>
      </c>
      <c r="D74" s="596" t="s">
        <v>1528</v>
      </c>
      <c r="E74" s="596" t="s">
        <v>1529</v>
      </c>
      <c r="F74" s="599"/>
      <c r="G74" s="599"/>
      <c r="H74" s="599"/>
      <c r="I74" s="599"/>
      <c r="J74" s="599">
        <v>7</v>
      </c>
      <c r="K74" s="599">
        <v>210</v>
      </c>
      <c r="L74" s="599"/>
      <c r="M74" s="599">
        <v>30</v>
      </c>
      <c r="N74" s="599"/>
      <c r="O74" s="599"/>
      <c r="P74" s="612"/>
      <c r="Q74" s="600"/>
    </row>
    <row r="75" spans="1:17" ht="14.4" customHeight="1" x14ac:dyDescent="0.3">
      <c r="A75" s="595" t="s">
        <v>1428</v>
      </c>
      <c r="B75" s="596" t="s">
        <v>1429</v>
      </c>
      <c r="C75" s="596" t="s">
        <v>1213</v>
      </c>
      <c r="D75" s="596" t="s">
        <v>1530</v>
      </c>
      <c r="E75" s="596" t="s">
        <v>1531</v>
      </c>
      <c r="F75" s="599">
        <v>7</v>
      </c>
      <c r="G75" s="599">
        <v>182</v>
      </c>
      <c r="H75" s="599">
        <v>1</v>
      </c>
      <c r="I75" s="599">
        <v>26</v>
      </c>
      <c r="J75" s="599">
        <v>5</v>
      </c>
      <c r="K75" s="599">
        <v>130</v>
      </c>
      <c r="L75" s="599">
        <v>0.7142857142857143</v>
      </c>
      <c r="M75" s="599">
        <v>26</v>
      </c>
      <c r="N75" s="599">
        <v>6</v>
      </c>
      <c r="O75" s="599">
        <v>156</v>
      </c>
      <c r="P75" s="612">
        <v>0.8571428571428571</v>
      </c>
      <c r="Q75" s="600">
        <v>26</v>
      </c>
    </row>
    <row r="76" spans="1:17" ht="14.4" customHeight="1" x14ac:dyDescent="0.3">
      <c r="A76" s="595" t="s">
        <v>1428</v>
      </c>
      <c r="B76" s="596" t="s">
        <v>1429</v>
      </c>
      <c r="C76" s="596" t="s">
        <v>1213</v>
      </c>
      <c r="D76" s="596" t="s">
        <v>1532</v>
      </c>
      <c r="E76" s="596" t="s">
        <v>1533</v>
      </c>
      <c r="F76" s="599">
        <v>2</v>
      </c>
      <c r="G76" s="599">
        <v>168</v>
      </c>
      <c r="H76" s="599">
        <v>1</v>
      </c>
      <c r="I76" s="599">
        <v>84</v>
      </c>
      <c r="J76" s="599"/>
      <c r="K76" s="599"/>
      <c r="L76" s="599"/>
      <c r="M76" s="599"/>
      <c r="N76" s="599"/>
      <c r="O76" s="599"/>
      <c r="P76" s="612"/>
      <c r="Q76" s="600"/>
    </row>
    <row r="77" spans="1:17" ht="14.4" customHeight="1" x14ac:dyDescent="0.3">
      <c r="A77" s="595" t="s">
        <v>1428</v>
      </c>
      <c r="B77" s="596" t="s">
        <v>1429</v>
      </c>
      <c r="C77" s="596" t="s">
        <v>1213</v>
      </c>
      <c r="D77" s="596" t="s">
        <v>1534</v>
      </c>
      <c r="E77" s="596" t="s">
        <v>1535</v>
      </c>
      <c r="F77" s="599"/>
      <c r="G77" s="599"/>
      <c r="H77" s="599"/>
      <c r="I77" s="599"/>
      <c r="J77" s="599">
        <v>1</v>
      </c>
      <c r="K77" s="599">
        <v>174</v>
      </c>
      <c r="L77" s="599"/>
      <c r="M77" s="599">
        <v>174</v>
      </c>
      <c r="N77" s="599">
        <v>2</v>
      </c>
      <c r="O77" s="599">
        <v>348</v>
      </c>
      <c r="P77" s="612"/>
      <c r="Q77" s="600">
        <v>174</v>
      </c>
    </row>
    <row r="78" spans="1:17" ht="14.4" customHeight="1" x14ac:dyDescent="0.3">
      <c r="A78" s="595" t="s">
        <v>1428</v>
      </c>
      <c r="B78" s="596" t="s">
        <v>1429</v>
      </c>
      <c r="C78" s="596" t="s">
        <v>1213</v>
      </c>
      <c r="D78" s="596" t="s">
        <v>1536</v>
      </c>
      <c r="E78" s="596" t="s">
        <v>1537</v>
      </c>
      <c r="F78" s="599">
        <v>63</v>
      </c>
      <c r="G78" s="599">
        <v>945</v>
      </c>
      <c r="H78" s="599">
        <v>1</v>
      </c>
      <c r="I78" s="599">
        <v>15</v>
      </c>
      <c r="J78" s="599">
        <v>53</v>
      </c>
      <c r="K78" s="599">
        <v>795</v>
      </c>
      <c r="L78" s="599">
        <v>0.84126984126984128</v>
      </c>
      <c r="M78" s="599">
        <v>15</v>
      </c>
      <c r="N78" s="599">
        <v>48</v>
      </c>
      <c r="O78" s="599">
        <v>720</v>
      </c>
      <c r="P78" s="612">
        <v>0.76190476190476186</v>
      </c>
      <c r="Q78" s="600">
        <v>15</v>
      </c>
    </row>
    <row r="79" spans="1:17" ht="14.4" customHeight="1" x14ac:dyDescent="0.3">
      <c r="A79" s="595" t="s">
        <v>1428</v>
      </c>
      <c r="B79" s="596" t="s">
        <v>1429</v>
      </c>
      <c r="C79" s="596" t="s">
        <v>1213</v>
      </c>
      <c r="D79" s="596" t="s">
        <v>1538</v>
      </c>
      <c r="E79" s="596" t="s">
        <v>1539</v>
      </c>
      <c r="F79" s="599">
        <v>27</v>
      </c>
      <c r="G79" s="599">
        <v>621</v>
      </c>
      <c r="H79" s="599">
        <v>1</v>
      </c>
      <c r="I79" s="599">
        <v>23</v>
      </c>
      <c r="J79" s="599">
        <v>19</v>
      </c>
      <c r="K79" s="599">
        <v>437</v>
      </c>
      <c r="L79" s="599">
        <v>0.70370370370370372</v>
      </c>
      <c r="M79" s="599">
        <v>23</v>
      </c>
      <c r="N79" s="599">
        <v>14</v>
      </c>
      <c r="O79" s="599">
        <v>322</v>
      </c>
      <c r="P79" s="612">
        <v>0.51851851851851849</v>
      </c>
      <c r="Q79" s="600">
        <v>23</v>
      </c>
    </row>
    <row r="80" spans="1:17" ht="14.4" customHeight="1" x14ac:dyDescent="0.3">
      <c r="A80" s="595" t="s">
        <v>1428</v>
      </c>
      <c r="B80" s="596" t="s">
        <v>1429</v>
      </c>
      <c r="C80" s="596" t="s">
        <v>1213</v>
      </c>
      <c r="D80" s="596" t="s">
        <v>1540</v>
      </c>
      <c r="E80" s="596" t="s">
        <v>1541</v>
      </c>
      <c r="F80" s="599">
        <v>2</v>
      </c>
      <c r="G80" s="599">
        <v>74</v>
      </c>
      <c r="H80" s="599">
        <v>1</v>
      </c>
      <c r="I80" s="599">
        <v>37</v>
      </c>
      <c r="J80" s="599">
        <v>1</v>
      </c>
      <c r="K80" s="599">
        <v>37</v>
      </c>
      <c r="L80" s="599">
        <v>0.5</v>
      </c>
      <c r="M80" s="599">
        <v>37</v>
      </c>
      <c r="N80" s="599"/>
      <c r="O80" s="599"/>
      <c r="P80" s="612"/>
      <c r="Q80" s="600"/>
    </row>
    <row r="81" spans="1:17" ht="14.4" customHeight="1" x14ac:dyDescent="0.3">
      <c r="A81" s="595" t="s">
        <v>1428</v>
      </c>
      <c r="B81" s="596" t="s">
        <v>1429</v>
      </c>
      <c r="C81" s="596" t="s">
        <v>1213</v>
      </c>
      <c r="D81" s="596" t="s">
        <v>1542</v>
      </c>
      <c r="E81" s="596" t="s">
        <v>1543</v>
      </c>
      <c r="F81" s="599">
        <v>2</v>
      </c>
      <c r="G81" s="599">
        <v>46</v>
      </c>
      <c r="H81" s="599">
        <v>1</v>
      </c>
      <c r="I81" s="599">
        <v>23</v>
      </c>
      <c r="J81" s="599">
        <v>1</v>
      </c>
      <c r="K81" s="599">
        <v>23</v>
      </c>
      <c r="L81" s="599">
        <v>0.5</v>
      </c>
      <c r="M81" s="599">
        <v>23</v>
      </c>
      <c r="N81" s="599">
        <v>1</v>
      </c>
      <c r="O81" s="599">
        <v>23</v>
      </c>
      <c r="P81" s="612">
        <v>0.5</v>
      </c>
      <c r="Q81" s="600">
        <v>23</v>
      </c>
    </row>
    <row r="82" spans="1:17" ht="14.4" customHeight="1" x14ac:dyDescent="0.3">
      <c r="A82" s="595" t="s">
        <v>1428</v>
      </c>
      <c r="B82" s="596" t="s">
        <v>1429</v>
      </c>
      <c r="C82" s="596" t="s">
        <v>1213</v>
      </c>
      <c r="D82" s="596" t="s">
        <v>1544</v>
      </c>
      <c r="E82" s="596" t="s">
        <v>1545</v>
      </c>
      <c r="F82" s="599">
        <v>2</v>
      </c>
      <c r="G82" s="599">
        <v>338</v>
      </c>
      <c r="H82" s="599">
        <v>1</v>
      </c>
      <c r="I82" s="599">
        <v>169</v>
      </c>
      <c r="J82" s="599">
        <v>2</v>
      </c>
      <c r="K82" s="599">
        <v>338</v>
      </c>
      <c r="L82" s="599">
        <v>1</v>
      </c>
      <c r="M82" s="599">
        <v>169</v>
      </c>
      <c r="N82" s="599">
        <v>1</v>
      </c>
      <c r="O82" s="599">
        <v>169</v>
      </c>
      <c r="P82" s="612">
        <v>0.5</v>
      </c>
      <c r="Q82" s="600">
        <v>169</v>
      </c>
    </row>
    <row r="83" spans="1:17" ht="14.4" customHeight="1" x14ac:dyDescent="0.3">
      <c r="A83" s="595" t="s">
        <v>1428</v>
      </c>
      <c r="B83" s="596" t="s">
        <v>1429</v>
      </c>
      <c r="C83" s="596" t="s">
        <v>1213</v>
      </c>
      <c r="D83" s="596" t="s">
        <v>1546</v>
      </c>
      <c r="E83" s="596" t="s">
        <v>1547</v>
      </c>
      <c r="F83" s="599">
        <v>3</v>
      </c>
      <c r="G83" s="599">
        <v>972</v>
      </c>
      <c r="H83" s="599">
        <v>1</v>
      </c>
      <c r="I83" s="599">
        <v>324</v>
      </c>
      <c r="J83" s="599"/>
      <c r="K83" s="599"/>
      <c r="L83" s="599"/>
      <c r="M83" s="599"/>
      <c r="N83" s="599"/>
      <c r="O83" s="599"/>
      <c r="P83" s="612"/>
      <c r="Q83" s="600"/>
    </row>
    <row r="84" spans="1:17" ht="14.4" customHeight="1" x14ac:dyDescent="0.3">
      <c r="A84" s="595" t="s">
        <v>1428</v>
      </c>
      <c r="B84" s="596" t="s">
        <v>1429</v>
      </c>
      <c r="C84" s="596" t="s">
        <v>1213</v>
      </c>
      <c r="D84" s="596" t="s">
        <v>1548</v>
      </c>
      <c r="E84" s="596" t="s">
        <v>1549</v>
      </c>
      <c r="F84" s="599"/>
      <c r="G84" s="599"/>
      <c r="H84" s="599"/>
      <c r="I84" s="599"/>
      <c r="J84" s="599">
        <v>1</v>
      </c>
      <c r="K84" s="599">
        <v>277</v>
      </c>
      <c r="L84" s="599"/>
      <c r="M84" s="599">
        <v>277</v>
      </c>
      <c r="N84" s="599">
        <v>1</v>
      </c>
      <c r="O84" s="599">
        <v>277</v>
      </c>
      <c r="P84" s="612"/>
      <c r="Q84" s="600">
        <v>277</v>
      </c>
    </row>
    <row r="85" spans="1:17" ht="14.4" customHeight="1" x14ac:dyDescent="0.3">
      <c r="A85" s="595" t="s">
        <v>1428</v>
      </c>
      <c r="B85" s="596" t="s">
        <v>1429</v>
      </c>
      <c r="C85" s="596" t="s">
        <v>1213</v>
      </c>
      <c r="D85" s="596" t="s">
        <v>1550</v>
      </c>
      <c r="E85" s="596" t="s">
        <v>1551</v>
      </c>
      <c r="F85" s="599">
        <v>7</v>
      </c>
      <c r="G85" s="599">
        <v>203</v>
      </c>
      <c r="H85" s="599">
        <v>1</v>
      </c>
      <c r="I85" s="599">
        <v>29</v>
      </c>
      <c r="J85" s="599">
        <v>5</v>
      </c>
      <c r="K85" s="599">
        <v>145</v>
      </c>
      <c r="L85" s="599">
        <v>0.7142857142857143</v>
      </c>
      <c r="M85" s="599">
        <v>29</v>
      </c>
      <c r="N85" s="599">
        <v>6</v>
      </c>
      <c r="O85" s="599">
        <v>174</v>
      </c>
      <c r="P85" s="612">
        <v>0.8571428571428571</v>
      </c>
      <c r="Q85" s="600">
        <v>29</v>
      </c>
    </row>
    <row r="86" spans="1:17" ht="14.4" customHeight="1" x14ac:dyDescent="0.3">
      <c r="A86" s="595" t="s">
        <v>1428</v>
      </c>
      <c r="B86" s="596" t="s">
        <v>1429</v>
      </c>
      <c r="C86" s="596" t="s">
        <v>1213</v>
      </c>
      <c r="D86" s="596" t="s">
        <v>1552</v>
      </c>
      <c r="E86" s="596" t="s">
        <v>1553</v>
      </c>
      <c r="F86" s="599"/>
      <c r="G86" s="599"/>
      <c r="H86" s="599"/>
      <c r="I86" s="599"/>
      <c r="J86" s="599"/>
      <c r="K86" s="599"/>
      <c r="L86" s="599"/>
      <c r="M86" s="599"/>
      <c r="N86" s="599">
        <v>2</v>
      </c>
      <c r="O86" s="599">
        <v>394</v>
      </c>
      <c r="P86" s="612"/>
      <c r="Q86" s="600">
        <v>197</v>
      </c>
    </row>
    <row r="87" spans="1:17" ht="14.4" customHeight="1" x14ac:dyDescent="0.3">
      <c r="A87" s="595" t="s">
        <v>1428</v>
      </c>
      <c r="B87" s="596" t="s">
        <v>1429</v>
      </c>
      <c r="C87" s="596" t="s">
        <v>1213</v>
      </c>
      <c r="D87" s="596" t="s">
        <v>1554</v>
      </c>
      <c r="E87" s="596" t="s">
        <v>1555</v>
      </c>
      <c r="F87" s="599">
        <v>17</v>
      </c>
      <c r="G87" s="599">
        <v>255</v>
      </c>
      <c r="H87" s="599">
        <v>1</v>
      </c>
      <c r="I87" s="599">
        <v>15</v>
      </c>
      <c r="J87" s="599">
        <v>7</v>
      </c>
      <c r="K87" s="599">
        <v>105</v>
      </c>
      <c r="L87" s="599">
        <v>0.41176470588235292</v>
      </c>
      <c r="M87" s="599">
        <v>15</v>
      </c>
      <c r="N87" s="599">
        <v>2</v>
      </c>
      <c r="O87" s="599">
        <v>30</v>
      </c>
      <c r="P87" s="612">
        <v>0.11764705882352941</v>
      </c>
      <c r="Q87" s="600">
        <v>15</v>
      </c>
    </row>
    <row r="88" spans="1:17" ht="14.4" customHeight="1" x14ac:dyDescent="0.3">
      <c r="A88" s="595" t="s">
        <v>1428</v>
      </c>
      <c r="B88" s="596" t="s">
        <v>1429</v>
      </c>
      <c r="C88" s="596" t="s">
        <v>1213</v>
      </c>
      <c r="D88" s="596" t="s">
        <v>1556</v>
      </c>
      <c r="E88" s="596" t="s">
        <v>1557</v>
      </c>
      <c r="F88" s="599">
        <v>27</v>
      </c>
      <c r="G88" s="599">
        <v>513</v>
      </c>
      <c r="H88" s="599">
        <v>1</v>
      </c>
      <c r="I88" s="599">
        <v>19</v>
      </c>
      <c r="J88" s="599">
        <v>39</v>
      </c>
      <c r="K88" s="599">
        <v>741</v>
      </c>
      <c r="L88" s="599">
        <v>1.4444444444444444</v>
      </c>
      <c r="M88" s="599">
        <v>19</v>
      </c>
      <c r="N88" s="599">
        <v>33</v>
      </c>
      <c r="O88" s="599">
        <v>627</v>
      </c>
      <c r="P88" s="612">
        <v>1.2222222222222223</v>
      </c>
      <c r="Q88" s="600">
        <v>19</v>
      </c>
    </row>
    <row r="89" spans="1:17" ht="14.4" customHeight="1" x14ac:dyDescent="0.3">
      <c r="A89" s="595" t="s">
        <v>1428</v>
      </c>
      <c r="B89" s="596" t="s">
        <v>1429</v>
      </c>
      <c r="C89" s="596" t="s">
        <v>1213</v>
      </c>
      <c r="D89" s="596" t="s">
        <v>1558</v>
      </c>
      <c r="E89" s="596" t="s">
        <v>1559</v>
      </c>
      <c r="F89" s="599">
        <v>27</v>
      </c>
      <c r="G89" s="599">
        <v>540</v>
      </c>
      <c r="H89" s="599">
        <v>1</v>
      </c>
      <c r="I89" s="599">
        <v>20</v>
      </c>
      <c r="J89" s="599">
        <v>40</v>
      </c>
      <c r="K89" s="599">
        <v>800</v>
      </c>
      <c r="L89" s="599">
        <v>1.4814814814814814</v>
      </c>
      <c r="M89" s="599">
        <v>20</v>
      </c>
      <c r="N89" s="599">
        <v>22</v>
      </c>
      <c r="O89" s="599">
        <v>440</v>
      </c>
      <c r="P89" s="612">
        <v>0.81481481481481477</v>
      </c>
      <c r="Q89" s="600">
        <v>20</v>
      </c>
    </row>
    <row r="90" spans="1:17" ht="14.4" customHeight="1" x14ac:dyDescent="0.3">
      <c r="A90" s="595" t="s">
        <v>1428</v>
      </c>
      <c r="B90" s="596" t="s">
        <v>1429</v>
      </c>
      <c r="C90" s="596" t="s">
        <v>1213</v>
      </c>
      <c r="D90" s="596" t="s">
        <v>1560</v>
      </c>
      <c r="E90" s="596" t="s">
        <v>1561</v>
      </c>
      <c r="F90" s="599"/>
      <c r="G90" s="599"/>
      <c r="H90" s="599"/>
      <c r="I90" s="599"/>
      <c r="J90" s="599">
        <v>1</v>
      </c>
      <c r="K90" s="599">
        <v>184</v>
      </c>
      <c r="L90" s="599"/>
      <c r="M90" s="599">
        <v>184</v>
      </c>
      <c r="N90" s="599"/>
      <c r="O90" s="599"/>
      <c r="P90" s="612"/>
      <c r="Q90" s="600"/>
    </row>
    <row r="91" spans="1:17" ht="14.4" customHeight="1" x14ac:dyDescent="0.3">
      <c r="A91" s="595" t="s">
        <v>1428</v>
      </c>
      <c r="B91" s="596" t="s">
        <v>1429</v>
      </c>
      <c r="C91" s="596" t="s">
        <v>1213</v>
      </c>
      <c r="D91" s="596" t="s">
        <v>1562</v>
      </c>
      <c r="E91" s="596" t="s">
        <v>1563</v>
      </c>
      <c r="F91" s="599"/>
      <c r="G91" s="599"/>
      <c r="H91" s="599"/>
      <c r="I91" s="599"/>
      <c r="J91" s="599">
        <v>1</v>
      </c>
      <c r="K91" s="599">
        <v>266</v>
      </c>
      <c r="L91" s="599"/>
      <c r="M91" s="599">
        <v>266</v>
      </c>
      <c r="N91" s="599"/>
      <c r="O91" s="599"/>
      <c r="P91" s="612"/>
      <c r="Q91" s="600"/>
    </row>
    <row r="92" spans="1:17" ht="14.4" customHeight="1" x14ac:dyDescent="0.3">
      <c r="A92" s="595" t="s">
        <v>1428</v>
      </c>
      <c r="B92" s="596" t="s">
        <v>1429</v>
      </c>
      <c r="C92" s="596" t="s">
        <v>1213</v>
      </c>
      <c r="D92" s="596" t="s">
        <v>1564</v>
      </c>
      <c r="E92" s="596" t="s">
        <v>1565</v>
      </c>
      <c r="F92" s="599">
        <v>2</v>
      </c>
      <c r="G92" s="599">
        <v>1286</v>
      </c>
      <c r="H92" s="599">
        <v>1</v>
      </c>
      <c r="I92" s="599">
        <v>643</v>
      </c>
      <c r="J92" s="599">
        <v>3</v>
      </c>
      <c r="K92" s="599">
        <v>1932</v>
      </c>
      <c r="L92" s="599">
        <v>1.5023328149300155</v>
      </c>
      <c r="M92" s="599">
        <v>644</v>
      </c>
      <c r="N92" s="599"/>
      <c r="O92" s="599"/>
      <c r="P92" s="612"/>
      <c r="Q92" s="600"/>
    </row>
    <row r="93" spans="1:17" ht="14.4" customHeight="1" x14ac:dyDescent="0.3">
      <c r="A93" s="595" t="s">
        <v>1428</v>
      </c>
      <c r="B93" s="596" t="s">
        <v>1429</v>
      </c>
      <c r="C93" s="596" t="s">
        <v>1213</v>
      </c>
      <c r="D93" s="596" t="s">
        <v>1566</v>
      </c>
      <c r="E93" s="596" t="s">
        <v>1567</v>
      </c>
      <c r="F93" s="599">
        <v>9</v>
      </c>
      <c r="G93" s="599">
        <v>702</v>
      </c>
      <c r="H93" s="599">
        <v>1</v>
      </c>
      <c r="I93" s="599">
        <v>78</v>
      </c>
      <c r="J93" s="599">
        <v>8</v>
      </c>
      <c r="K93" s="599">
        <v>624</v>
      </c>
      <c r="L93" s="599">
        <v>0.88888888888888884</v>
      </c>
      <c r="M93" s="599">
        <v>78</v>
      </c>
      <c r="N93" s="599">
        <v>10</v>
      </c>
      <c r="O93" s="599">
        <v>780</v>
      </c>
      <c r="P93" s="612">
        <v>1.1111111111111112</v>
      </c>
      <c r="Q93" s="600">
        <v>78</v>
      </c>
    </row>
    <row r="94" spans="1:17" ht="14.4" customHeight="1" x14ac:dyDescent="0.3">
      <c r="A94" s="595" t="s">
        <v>1428</v>
      </c>
      <c r="B94" s="596" t="s">
        <v>1429</v>
      </c>
      <c r="C94" s="596" t="s">
        <v>1213</v>
      </c>
      <c r="D94" s="596" t="s">
        <v>1568</v>
      </c>
      <c r="E94" s="596" t="s">
        <v>1569</v>
      </c>
      <c r="F94" s="599">
        <v>6</v>
      </c>
      <c r="G94" s="599">
        <v>126</v>
      </c>
      <c r="H94" s="599">
        <v>1</v>
      </c>
      <c r="I94" s="599">
        <v>21</v>
      </c>
      <c r="J94" s="599">
        <v>1</v>
      </c>
      <c r="K94" s="599">
        <v>21</v>
      </c>
      <c r="L94" s="599">
        <v>0.16666666666666666</v>
      </c>
      <c r="M94" s="599">
        <v>21</v>
      </c>
      <c r="N94" s="599">
        <v>2</v>
      </c>
      <c r="O94" s="599">
        <v>42</v>
      </c>
      <c r="P94" s="612">
        <v>0.33333333333333331</v>
      </c>
      <c r="Q94" s="600">
        <v>21</v>
      </c>
    </row>
    <row r="95" spans="1:17" ht="14.4" customHeight="1" x14ac:dyDescent="0.3">
      <c r="A95" s="595" t="s">
        <v>1428</v>
      </c>
      <c r="B95" s="596" t="s">
        <v>1429</v>
      </c>
      <c r="C95" s="596" t="s">
        <v>1213</v>
      </c>
      <c r="D95" s="596" t="s">
        <v>1570</v>
      </c>
      <c r="E95" s="596" t="s">
        <v>1571</v>
      </c>
      <c r="F95" s="599"/>
      <c r="G95" s="599"/>
      <c r="H95" s="599"/>
      <c r="I95" s="599"/>
      <c r="J95" s="599">
        <v>2</v>
      </c>
      <c r="K95" s="599">
        <v>2176</v>
      </c>
      <c r="L95" s="599"/>
      <c r="M95" s="599">
        <v>1088</v>
      </c>
      <c r="N95" s="599"/>
      <c r="O95" s="599"/>
      <c r="P95" s="612"/>
      <c r="Q95" s="600"/>
    </row>
    <row r="96" spans="1:17" ht="14.4" customHeight="1" x14ac:dyDescent="0.3">
      <c r="A96" s="595" t="s">
        <v>1428</v>
      </c>
      <c r="B96" s="596" t="s">
        <v>1429</v>
      </c>
      <c r="C96" s="596" t="s">
        <v>1213</v>
      </c>
      <c r="D96" s="596" t="s">
        <v>1572</v>
      </c>
      <c r="E96" s="596" t="s">
        <v>1573</v>
      </c>
      <c r="F96" s="599">
        <v>4</v>
      </c>
      <c r="G96" s="599">
        <v>88</v>
      </c>
      <c r="H96" s="599">
        <v>1</v>
      </c>
      <c r="I96" s="599">
        <v>22</v>
      </c>
      <c r="J96" s="599"/>
      <c r="K96" s="599"/>
      <c r="L96" s="599"/>
      <c r="M96" s="599"/>
      <c r="N96" s="599">
        <v>3</v>
      </c>
      <c r="O96" s="599">
        <v>66</v>
      </c>
      <c r="P96" s="612">
        <v>0.75</v>
      </c>
      <c r="Q96" s="600">
        <v>22</v>
      </c>
    </row>
    <row r="97" spans="1:17" ht="14.4" customHeight="1" x14ac:dyDescent="0.3">
      <c r="A97" s="595" t="s">
        <v>1428</v>
      </c>
      <c r="B97" s="596" t="s">
        <v>1429</v>
      </c>
      <c r="C97" s="596" t="s">
        <v>1213</v>
      </c>
      <c r="D97" s="596" t="s">
        <v>1574</v>
      </c>
      <c r="E97" s="596" t="s">
        <v>1575</v>
      </c>
      <c r="F97" s="599"/>
      <c r="G97" s="599"/>
      <c r="H97" s="599"/>
      <c r="I97" s="599"/>
      <c r="J97" s="599">
        <v>2</v>
      </c>
      <c r="K97" s="599">
        <v>1136</v>
      </c>
      <c r="L97" s="599"/>
      <c r="M97" s="599">
        <v>568</v>
      </c>
      <c r="N97" s="599"/>
      <c r="O97" s="599"/>
      <c r="P97" s="612"/>
      <c r="Q97" s="600"/>
    </row>
    <row r="98" spans="1:17" ht="14.4" customHeight="1" x14ac:dyDescent="0.3">
      <c r="A98" s="595" t="s">
        <v>1428</v>
      </c>
      <c r="B98" s="596" t="s">
        <v>1429</v>
      </c>
      <c r="C98" s="596" t="s">
        <v>1213</v>
      </c>
      <c r="D98" s="596" t="s">
        <v>1576</v>
      </c>
      <c r="E98" s="596" t="s">
        <v>1577</v>
      </c>
      <c r="F98" s="599">
        <v>2</v>
      </c>
      <c r="G98" s="599">
        <v>1124</v>
      </c>
      <c r="H98" s="599">
        <v>1</v>
      </c>
      <c r="I98" s="599">
        <v>562</v>
      </c>
      <c r="J98" s="599"/>
      <c r="K98" s="599"/>
      <c r="L98" s="599"/>
      <c r="M98" s="599"/>
      <c r="N98" s="599">
        <v>1</v>
      </c>
      <c r="O98" s="599">
        <v>564</v>
      </c>
      <c r="P98" s="612">
        <v>0.50177935943060503</v>
      </c>
      <c r="Q98" s="600">
        <v>564</v>
      </c>
    </row>
    <row r="99" spans="1:17" ht="14.4" customHeight="1" x14ac:dyDescent="0.3">
      <c r="A99" s="595" t="s">
        <v>1428</v>
      </c>
      <c r="B99" s="596" t="s">
        <v>1429</v>
      </c>
      <c r="C99" s="596" t="s">
        <v>1213</v>
      </c>
      <c r="D99" s="596" t="s">
        <v>1578</v>
      </c>
      <c r="E99" s="596" t="s">
        <v>1579</v>
      </c>
      <c r="F99" s="599">
        <v>2</v>
      </c>
      <c r="G99" s="599">
        <v>2000</v>
      </c>
      <c r="H99" s="599">
        <v>1</v>
      </c>
      <c r="I99" s="599">
        <v>1000</v>
      </c>
      <c r="J99" s="599"/>
      <c r="K99" s="599"/>
      <c r="L99" s="599"/>
      <c r="M99" s="599"/>
      <c r="N99" s="599">
        <v>1</v>
      </c>
      <c r="O99" s="599">
        <v>1002</v>
      </c>
      <c r="P99" s="612">
        <v>0.501</v>
      </c>
      <c r="Q99" s="600">
        <v>1002</v>
      </c>
    </row>
    <row r="100" spans="1:17" ht="14.4" customHeight="1" x14ac:dyDescent="0.3">
      <c r="A100" s="595" t="s">
        <v>1428</v>
      </c>
      <c r="B100" s="596" t="s">
        <v>1429</v>
      </c>
      <c r="C100" s="596" t="s">
        <v>1213</v>
      </c>
      <c r="D100" s="596" t="s">
        <v>1580</v>
      </c>
      <c r="E100" s="596" t="s">
        <v>1581</v>
      </c>
      <c r="F100" s="599">
        <v>6</v>
      </c>
      <c r="G100" s="599">
        <v>138</v>
      </c>
      <c r="H100" s="599">
        <v>1</v>
      </c>
      <c r="I100" s="599">
        <v>23</v>
      </c>
      <c r="J100" s="599">
        <v>4</v>
      </c>
      <c r="K100" s="599">
        <v>92</v>
      </c>
      <c r="L100" s="599">
        <v>0.66666666666666663</v>
      </c>
      <c r="M100" s="599">
        <v>23</v>
      </c>
      <c r="N100" s="599">
        <v>1</v>
      </c>
      <c r="O100" s="599">
        <v>23</v>
      </c>
      <c r="P100" s="612">
        <v>0.16666666666666666</v>
      </c>
      <c r="Q100" s="600">
        <v>23</v>
      </c>
    </row>
    <row r="101" spans="1:17" ht="14.4" customHeight="1" x14ac:dyDescent="0.3">
      <c r="A101" s="595" t="s">
        <v>1428</v>
      </c>
      <c r="B101" s="596" t="s">
        <v>1429</v>
      </c>
      <c r="C101" s="596" t="s">
        <v>1213</v>
      </c>
      <c r="D101" s="596" t="s">
        <v>1582</v>
      </c>
      <c r="E101" s="596" t="s">
        <v>1583</v>
      </c>
      <c r="F101" s="599"/>
      <c r="G101" s="599"/>
      <c r="H101" s="599"/>
      <c r="I101" s="599"/>
      <c r="J101" s="599">
        <v>1</v>
      </c>
      <c r="K101" s="599">
        <v>291</v>
      </c>
      <c r="L101" s="599"/>
      <c r="M101" s="599">
        <v>291</v>
      </c>
      <c r="N101" s="599"/>
      <c r="O101" s="599"/>
      <c r="P101" s="612"/>
      <c r="Q101" s="600"/>
    </row>
    <row r="102" spans="1:17" ht="14.4" customHeight="1" x14ac:dyDescent="0.3">
      <c r="A102" s="595" t="s">
        <v>1428</v>
      </c>
      <c r="B102" s="596" t="s">
        <v>1429</v>
      </c>
      <c r="C102" s="596" t="s">
        <v>1213</v>
      </c>
      <c r="D102" s="596" t="s">
        <v>1584</v>
      </c>
      <c r="E102" s="596" t="s">
        <v>1585</v>
      </c>
      <c r="F102" s="599">
        <v>8</v>
      </c>
      <c r="G102" s="599">
        <v>360</v>
      </c>
      <c r="H102" s="599">
        <v>1</v>
      </c>
      <c r="I102" s="599">
        <v>45</v>
      </c>
      <c r="J102" s="599">
        <v>9</v>
      </c>
      <c r="K102" s="599">
        <v>405</v>
      </c>
      <c r="L102" s="599">
        <v>1.125</v>
      </c>
      <c r="M102" s="599">
        <v>45</v>
      </c>
      <c r="N102" s="599">
        <v>4</v>
      </c>
      <c r="O102" s="599">
        <v>180</v>
      </c>
      <c r="P102" s="612">
        <v>0.5</v>
      </c>
      <c r="Q102" s="600">
        <v>45</v>
      </c>
    </row>
    <row r="103" spans="1:17" ht="14.4" customHeight="1" x14ac:dyDescent="0.3">
      <c r="A103" s="595" t="s">
        <v>1428</v>
      </c>
      <c r="B103" s="596" t="s">
        <v>1429</v>
      </c>
      <c r="C103" s="596" t="s">
        <v>1213</v>
      </c>
      <c r="D103" s="596" t="s">
        <v>1586</v>
      </c>
      <c r="E103" s="596" t="s">
        <v>1479</v>
      </c>
      <c r="F103" s="599">
        <v>1</v>
      </c>
      <c r="G103" s="599">
        <v>185</v>
      </c>
      <c r="H103" s="599">
        <v>1</v>
      </c>
      <c r="I103" s="599">
        <v>185</v>
      </c>
      <c r="J103" s="599">
        <v>3</v>
      </c>
      <c r="K103" s="599">
        <v>555</v>
      </c>
      <c r="L103" s="599">
        <v>3</v>
      </c>
      <c r="M103" s="599">
        <v>185</v>
      </c>
      <c r="N103" s="599"/>
      <c r="O103" s="599"/>
      <c r="P103" s="612"/>
      <c r="Q103" s="600"/>
    </row>
    <row r="104" spans="1:17" ht="14.4" customHeight="1" x14ac:dyDescent="0.3">
      <c r="A104" s="595" t="s">
        <v>1428</v>
      </c>
      <c r="B104" s="596" t="s">
        <v>1429</v>
      </c>
      <c r="C104" s="596" t="s">
        <v>1213</v>
      </c>
      <c r="D104" s="596" t="s">
        <v>1587</v>
      </c>
      <c r="E104" s="596" t="s">
        <v>1588</v>
      </c>
      <c r="F104" s="599"/>
      <c r="G104" s="599"/>
      <c r="H104" s="599"/>
      <c r="I104" s="599"/>
      <c r="J104" s="599"/>
      <c r="K104" s="599"/>
      <c r="L104" s="599"/>
      <c r="M104" s="599"/>
      <c r="N104" s="599">
        <v>1</v>
      </c>
      <c r="O104" s="599">
        <v>145</v>
      </c>
      <c r="P104" s="612"/>
      <c r="Q104" s="600">
        <v>145</v>
      </c>
    </row>
    <row r="105" spans="1:17" ht="14.4" customHeight="1" x14ac:dyDescent="0.3">
      <c r="A105" s="595" t="s">
        <v>1428</v>
      </c>
      <c r="B105" s="596" t="s">
        <v>1429</v>
      </c>
      <c r="C105" s="596" t="s">
        <v>1213</v>
      </c>
      <c r="D105" s="596" t="s">
        <v>1589</v>
      </c>
      <c r="E105" s="596" t="s">
        <v>1590</v>
      </c>
      <c r="F105" s="599"/>
      <c r="G105" s="599"/>
      <c r="H105" s="599"/>
      <c r="I105" s="599"/>
      <c r="J105" s="599"/>
      <c r="K105" s="599"/>
      <c r="L105" s="599"/>
      <c r="M105" s="599"/>
      <c r="N105" s="599">
        <v>65</v>
      </c>
      <c r="O105" s="599">
        <v>2990</v>
      </c>
      <c r="P105" s="612"/>
      <c r="Q105" s="600">
        <v>46</v>
      </c>
    </row>
    <row r="106" spans="1:17" ht="14.4" customHeight="1" x14ac:dyDescent="0.3">
      <c r="A106" s="595" t="s">
        <v>1428</v>
      </c>
      <c r="B106" s="596" t="s">
        <v>1429</v>
      </c>
      <c r="C106" s="596" t="s">
        <v>1213</v>
      </c>
      <c r="D106" s="596" t="s">
        <v>1591</v>
      </c>
      <c r="E106" s="596" t="s">
        <v>1592</v>
      </c>
      <c r="F106" s="599">
        <v>6</v>
      </c>
      <c r="G106" s="599">
        <v>816</v>
      </c>
      <c r="H106" s="599">
        <v>1</v>
      </c>
      <c r="I106" s="599">
        <v>136</v>
      </c>
      <c r="J106" s="599"/>
      <c r="K106" s="599"/>
      <c r="L106" s="599"/>
      <c r="M106" s="599"/>
      <c r="N106" s="599"/>
      <c r="O106" s="599"/>
      <c r="P106" s="612"/>
      <c r="Q106" s="600"/>
    </row>
    <row r="107" spans="1:17" ht="14.4" customHeight="1" x14ac:dyDescent="0.3">
      <c r="A107" s="595" t="s">
        <v>1428</v>
      </c>
      <c r="B107" s="596" t="s">
        <v>1429</v>
      </c>
      <c r="C107" s="596" t="s">
        <v>1213</v>
      </c>
      <c r="D107" s="596" t="s">
        <v>1593</v>
      </c>
      <c r="E107" s="596" t="s">
        <v>1594</v>
      </c>
      <c r="F107" s="599">
        <v>6</v>
      </c>
      <c r="G107" s="599">
        <v>42</v>
      </c>
      <c r="H107" s="599">
        <v>1</v>
      </c>
      <c r="I107" s="599">
        <v>7</v>
      </c>
      <c r="J107" s="599"/>
      <c r="K107" s="599"/>
      <c r="L107" s="599"/>
      <c r="M107" s="599"/>
      <c r="N107" s="599"/>
      <c r="O107" s="599"/>
      <c r="P107" s="612"/>
      <c r="Q107" s="600"/>
    </row>
    <row r="108" spans="1:17" ht="14.4" customHeight="1" x14ac:dyDescent="0.3">
      <c r="A108" s="595" t="s">
        <v>1428</v>
      </c>
      <c r="B108" s="596" t="s">
        <v>1429</v>
      </c>
      <c r="C108" s="596" t="s">
        <v>1213</v>
      </c>
      <c r="D108" s="596" t="s">
        <v>1595</v>
      </c>
      <c r="E108" s="596" t="s">
        <v>1596</v>
      </c>
      <c r="F108" s="599"/>
      <c r="G108" s="599"/>
      <c r="H108" s="599"/>
      <c r="I108" s="599"/>
      <c r="J108" s="599"/>
      <c r="K108" s="599"/>
      <c r="L108" s="599"/>
      <c r="M108" s="599"/>
      <c r="N108" s="599">
        <v>1</v>
      </c>
      <c r="O108" s="599">
        <v>30</v>
      </c>
      <c r="P108" s="612"/>
      <c r="Q108" s="600">
        <v>30</v>
      </c>
    </row>
    <row r="109" spans="1:17" ht="14.4" customHeight="1" x14ac:dyDescent="0.3">
      <c r="A109" s="595" t="s">
        <v>1428</v>
      </c>
      <c r="B109" s="596" t="s">
        <v>1429</v>
      </c>
      <c r="C109" s="596" t="s">
        <v>1213</v>
      </c>
      <c r="D109" s="596" t="s">
        <v>1597</v>
      </c>
      <c r="E109" s="596" t="s">
        <v>1598</v>
      </c>
      <c r="F109" s="599">
        <v>1</v>
      </c>
      <c r="G109" s="599">
        <v>181</v>
      </c>
      <c r="H109" s="599">
        <v>1</v>
      </c>
      <c r="I109" s="599">
        <v>181</v>
      </c>
      <c r="J109" s="599"/>
      <c r="K109" s="599"/>
      <c r="L109" s="599"/>
      <c r="M109" s="599"/>
      <c r="N109" s="599"/>
      <c r="O109" s="599"/>
      <c r="P109" s="612"/>
      <c r="Q109" s="600"/>
    </row>
    <row r="110" spans="1:17" ht="14.4" customHeight="1" x14ac:dyDescent="0.3">
      <c r="A110" s="595" t="s">
        <v>1428</v>
      </c>
      <c r="B110" s="596" t="s">
        <v>1429</v>
      </c>
      <c r="C110" s="596" t="s">
        <v>1213</v>
      </c>
      <c r="D110" s="596" t="s">
        <v>1599</v>
      </c>
      <c r="E110" s="596" t="s">
        <v>1600</v>
      </c>
      <c r="F110" s="599">
        <v>1</v>
      </c>
      <c r="G110" s="599">
        <v>287</v>
      </c>
      <c r="H110" s="599">
        <v>1</v>
      </c>
      <c r="I110" s="599">
        <v>287</v>
      </c>
      <c r="J110" s="599"/>
      <c r="K110" s="599"/>
      <c r="L110" s="599"/>
      <c r="M110" s="599"/>
      <c r="N110" s="599"/>
      <c r="O110" s="599"/>
      <c r="P110" s="612"/>
      <c r="Q110" s="600"/>
    </row>
    <row r="111" spans="1:17" ht="14.4" customHeight="1" x14ac:dyDescent="0.3">
      <c r="A111" s="595" t="s">
        <v>1428</v>
      </c>
      <c r="B111" s="596" t="s">
        <v>1601</v>
      </c>
      <c r="C111" s="596" t="s">
        <v>1213</v>
      </c>
      <c r="D111" s="596" t="s">
        <v>1602</v>
      </c>
      <c r="E111" s="596" t="s">
        <v>1603</v>
      </c>
      <c r="F111" s="599">
        <v>70</v>
      </c>
      <c r="G111" s="599">
        <v>72450</v>
      </c>
      <c r="H111" s="599">
        <v>1</v>
      </c>
      <c r="I111" s="599">
        <v>1035</v>
      </c>
      <c r="J111" s="599">
        <v>83</v>
      </c>
      <c r="K111" s="599">
        <v>85905</v>
      </c>
      <c r="L111" s="599">
        <v>1.1857142857142857</v>
      </c>
      <c r="M111" s="599">
        <v>1035</v>
      </c>
      <c r="N111" s="599">
        <v>64</v>
      </c>
      <c r="O111" s="599">
        <v>66240</v>
      </c>
      <c r="P111" s="612">
        <v>0.91428571428571426</v>
      </c>
      <c r="Q111" s="600">
        <v>1035</v>
      </c>
    </row>
    <row r="112" spans="1:17" ht="14.4" customHeight="1" x14ac:dyDescent="0.3">
      <c r="A112" s="595" t="s">
        <v>1428</v>
      </c>
      <c r="B112" s="596" t="s">
        <v>1601</v>
      </c>
      <c r="C112" s="596" t="s">
        <v>1213</v>
      </c>
      <c r="D112" s="596" t="s">
        <v>1394</v>
      </c>
      <c r="E112" s="596" t="s">
        <v>1395</v>
      </c>
      <c r="F112" s="599">
        <v>1</v>
      </c>
      <c r="G112" s="599">
        <v>1236</v>
      </c>
      <c r="H112" s="599">
        <v>1</v>
      </c>
      <c r="I112" s="599">
        <v>1236</v>
      </c>
      <c r="J112" s="599"/>
      <c r="K112" s="599"/>
      <c r="L112" s="599"/>
      <c r="M112" s="599"/>
      <c r="N112" s="599"/>
      <c r="O112" s="599"/>
      <c r="P112" s="612"/>
      <c r="Q112" s="600"/>
    </row>
    <row r="113" spans="1:17" ht="14.4" customHeight="1" x14ac:dyDescent="0.3">
      <c r="A113" s="595" t="s">
        <v>1604</v>
      </c>
      <c r="B113" s="596" t="s">
        <v>1605</v>
      </c>
      <c r="C113" s="596" t="s">
        <v>1194</v>
      </c>
      <c r="D113" s="596" t="s">
        <v>1606</v>
      </c>
      <c r="E113" s="596" t="s">
        <v>1607</v>
      </c>
      <c r="F113" s="599"/>
      <c r="G113" s="599"/>
      <c r="H113" s="599"/>
      <c r="I113" s="599"/>
      <c r="J113" s="599"/>
      <c r="K113" s="599"/>
      <c r="L113" s="599"/>
      <c r="M113" s="599"/>
      <c r="N113" s="599">
        <v>0.03</v>
      </c>
      <c r="O113" s="599">
        <v>195.19</v>
      </c>
      <c r="P113" s="612"/>
      <c r="Q113" s="600">
        <v>6506.3333333333339</v>
      </c>
    </row>
    <row r="114" spans="1:17" ht="14.4" customHeight="1" x14ac:dyDescent="0.3">
      <c r="A114" s="595" t="s">
        <v>1604</v>
      </c>
      <c r="B114" s="596" t="s">
        <v>1605</v>
      </c>
      <c r="C114" s="596" t="s">
        <v>1194</v>
      </c>
      <c r="D114" s="596" t="s">
        <v>1608</v>
      </c>
      <c r="E114" s="596" t="s">
        <v>1607</v>
      </c>
      <c r="F114" s="599"/>
      <c r="G114" s="599"/>
      <c r="H114" s="599"/>
      <c r="I114" s="599"/>
      <c r="J114" s="599"/>
      <c r="K114" s="599"/>
      <c r="L114" s="599"/>
      <c r="M114" s="599"/>
      <c r="N114" s="599">
        <v>0.01</v>
      </c>
      <c r="O114" s="599">
        <v>57.61</v>
      </c>
      <c r="P114" s="612"/>
      <c r="Q114" s="600">
        <v>5761</v>
      </c>
    </row>
    <row r="115" spans="1:17" ht="14.4" customHeight="1" x14ac:dyDescent="0.3">
      <c r="A115" s="595" t="s">
        <v>1604</v>
      </c>
      <c r="B115" s="596" t="s">
        <v>1605</v>
      </c>
      <c r="C115" s="596" t="s">
        <v>1194</v>
      </c>
      <c r="D115" s="596" t="s">
        <v>1609</v>
      </c>
      <c r="E115" s="596" t="s">
        <v>1610</v>
      </c>
      <c r="F115" s="599">
        <v>0.2</v>
      </c>
      <c r="G115" s="599">
        <v>193.34</v>
      </c>
      <c r="H115" s="599">
        <v>1</v>
      </c>
      <c r="I115" s="599">
        <v>966.69999999999993</v>
      </c>
      <c r="J115" s="599"/>
      <c r="K115" s="599"/>
      <c r="L115" s="599"/>
      <c r="M115" s="599"/>
      <c r="N115" s="599"/>
      <c r="O115" s="599"/>
      <c r="P115" s="612"/>
      <c r="Q115" s="600"/>
    </row>
    <row r="116" spans="1:17" ht="14.4" customHeight="1" x14ac:dyDescent="0.3">
      <c r="A116" s="595" t="s">
        <v>1604</v>
      </c>
      <c r="B116" s="596" t="s">
        <v>1605</v>
      </c>
      <c r="C116" s="596" t="s">
        <v>1194</v>
      </c>
      <c r="D116" s="596" t="s">
        <v>1611</v>
      </c>
      <c r="E116" s="596" t="s">
        <v>1612</v>
      </c>
      <c r="F116" s="599">
        <v>1</v>
      </c>
      <c r="G116" s="599">
        <v>5653.55</v>
      </c>
      <c r="H116" s="599">
        <v>1</v>
      </c>
      <c r="I116" s="599">
        <v>5653.55</v>
      </c>
      <c r="J116" s="599"/>
      <c r="K116" s="599"/>
      <c r="L116" s="599"/>
      <c r="M116" s="599"/>
      <c r="N116" s="599"/>
      <c r="O116" s="599"/>
      <c r="P116" s="612"/>
      <c r="Q116" s="600"/>
    </row>
    <row r="117" spans="1:17" ht="14.4" customHeight="1" x14ac:dyDescent="0.3">
      <c r="A117" s="595" t="s">
        <v>1604</v>
      </c>
      <c r="B117" s="596" t="s">
        <v>1605</v>
      </c>
      <c r="C117" s="596" t="s">
        <v>1194</v>
      </c>
      <c r="D117" s="596" t="s">
        <v>1613</v>
      </c>
      <c r="E117" s="596" t="s">
        <v>1614</v>
      </c>
      <c r="F117" s="599">
        <v>0.01</v>
      </c>
      <c r="G117" s="599">
        <v>54.13</v>
      </c>
      <c r="H117" s="599">
        <v>1</v>
      </c>
      <c r="I117" s="599">
        <v>5413</v>
      </c>
      <c r="J117" s="599"/>
      <c r="K117" s="599"/>
      <c r="L117" s="599"/>
      <c r="M117" s="599"/>
      <c r="N117" s="599"/>
      <c r="O117" s="599"/>
      <c r="P117" s="612"/>
      <c r="Q117" s="600"/>
    </row>
    <row r="118" spans="1:17" ht="14.4" customHeight="1" x14ac:dyDescent="0.3">
      <c r="A118" s="595" t="s">
        <v>1604</v>
      </c>
      <c r="B118" s="596" t="s">
        <v>1605</v>
      </c>
      <c r="C118" s="596" t="s">
        <v>1194</v>
      </c>
      <c r="D118" s="596" t="s">
        <v>1615</v>
      </c>
      <c r="E118" s="596" t="s">
        <v>1614</v>
      </c>
      <c r="F118" s="599"/>
      <c r="G118" s="599"/>
      <c r="H118" s="599"/>
      <c r="I118" s="599"/>
      <c r="J118" s="599">
        <v>0.01</v>
      </c>
      <c r="K118" s="599">
        <v>109.21</v>
      </c>
      <c r="L118" s="599"/>
      <c r="M118" s="599">
        <v>10921</v>
      </c>
      <c r="N118" s="599"/>
      <c r="O118" s="599"/>
      <c r="P118" s="612"/>
      <c r="Q118" s="600"/>
    </row>
    <row r="119" spans="1:17" ht="14.4" customHeight="1" x14ac:dyDescent="0.3">
      <c r="A119" s="595" t="s">
        <v>1604</v>
      </c>
      <c r="B119" s="596" t="s">
        <v>1605</v>
      </c>
      <c r="C119" s="596" t="s">
        <v>1194</v>
      </c>
      <c r="D119" s="596" t="s">
        <v>1616</v>
      </c>
      <c r="E119" s="596" t="s">
        <v>1617</v>
      </c>
      <c r="F119" s="599">
        <v>0.26</v>
      </c>
      <c r="G119" s="599">
        <v>504.15999999999997</v>
      </c>
      <c r="H119" s="599">
        <v>1</v>
      </c>
      <c r="I119" s="599">
        <v>1939.0769230769229</v>
      </c>
      <c r="J119" s="599">
        <v>0.15000000000000002</v>
      </c>
      <c r="K119" s="599">
        <v>293.41000000000003</v>
      </c>
      <c r="L119" s="599">
        <v>0.58197794350999688</v>
      </c>
      <c r="M119" s="599">
        <v>1956.0666666666666</v>
      </c>
      <c r="N119" s="599"/>
      <c r="O119" s="599"/>
      <c r="P119" s="612"/>
      <c r="Q119" s="600"/>
    </row>
    <row r="120" spans="1:17" ht="14.4" customHeight="1" x14ac:dyDescent="0.3">
      <c r="A120" s="595" t="s">
        <v>1604</v>
      </c>
      <c r="B120" s="596" t="s">
        <v>1605</v>
      </c>
      <c r="C120" s="596" t="s">
        <v>1213</v>
      </c>
      <c r="D120" s="596" t="s">
        <v>1618</v>
      </c>
      <c r="E120" s="596" t="s">
        <v>1619</v>
      </c>
      <c r="F120" s="599">
        <v>7</v>
      </c>
      <c r="G120" s="599">
        <v>1512</v>
      </c>
      <c r="H120" s="599">
        <v>1</v>
      </c>
      <c r="I120" s="599">
        <v>216</v>
      </c>
      <c r="J120" s="599">
        <v>9</v>
      </c>
      <c r="K120" s="599">
        <v>1953</v>
      </c>
      <c r="L120" s="599">
        <v>1.2916666666666667</v>
      </c>
      <c r="M120" s="599">
        <v>217</v>
      </c>
      <c r="N120" s="599">
        <v>14</v>
      </c>
      <c r="O120" s="599">
        <v>3038</v>
      </c>
      <c r="P120" s="612">
        <v>2.0092592592592591</v>
      </c>
      <c r="Q120" s="600">
        <v>217</v>
      </c>
    </row>
    <row r="121" spans="1:17" ht="14.4" customHeight="1" x14ac:dyDescent="0.3">
      <c r="A121" s="595" t="s">
        <v>1604</v>
      </c>
      <c r="B121" s="596" t="s">
        <v>1605</v>
      </c>
      <c r="C121" s="596" t="s">
        <v>1213</v>
      </c>
      <c r="D121" s="596" t="s">
        <v>1620</v>
      </c>
      <c r="E121" s="596" t="s">
        <v>1621</v>
      </c>
      <c r="F121" s="599">
        <v>5</v>
      </c>
      <c r="G121" s="599">
        <v>1090</v>
      </c>
      <c r="H121" s="599">
        <v>1</v>
      </c>
      <c r="I121" s="599">
        <v>218</v>
      </c>
      <c r="J121" s="599">
        <v>4</v>
      </c>
      <c r="K121" s="599">
        <v>876</v>
      </c>
      <c r="L121" s="599">
        <v>0.80366972477064225</v>
      </c>
      <c r="M121" s="599">
        <v>219</v>
      </c>
      <c r="N121" s="599">
        <v>4</v>
      </c>
      <c r="O121" s="599">
        <v>876</v>
      </c>
      <c r="P121" s="612">
        <v>0.80366972477064225</v>
      </c>
      <c r="Q121" s="600">
        <v>219</v>
      </c>
    </row>
    <row r="122" spans="1:17" ht="14.4" customHeight="1" x14ac:dyDescent="0.3">
      <c r="A122" s="595" t="s">
        <v>1604</v>
      </c>
      <c r="B122" s="596" t="s">
        <v>1605</v>
      </c>
      <c r="C122" s="596" t="s">
        <v>1213</v>
      </c>
      <c r="D122" s="596" t="s">
        <v>1622</v>
      </c>
      <c r="E122" s="596" t="s">
        <v>1623</v>
      </c>
      <c r="F122" s="599"/>
      <c r="G122" s="599"/>
      <c r="H122" s="599"/>
      <c r="I122" s="599"/>
      <c r="J122" s="599">
        <v>1</v>
      </c>
      <c r="K122" s="599">
        <v>449</v>
      </c>
      <c r="L122" s="599"/>
      <c r="M122" s="599">
        <v>449</v>
      </c>
      <c r="N122" s="599"/>
      <c r="O122" s="599"/>
      <c r="P122" s="612"/>
      <c r="Q122" s="600"/>
    </row>
    <row r="123" spans="1:17" ht="14.4" customHeight="1" x14ac:dyDescent="0.3">
      <c r="A123" s="595" t="s">
        <v>1604</v>
      </c>
      <c r="B123" s="596" t="s">
        <v>1605</v>
      </c>
      <c r="C123" s="596" t="s">
        <v>1213</v>
      </c>
      <c r="D123" s="596" t="s">
        <v>1624</v>
      </c>
      <c r="E123" s="596" t="s">
        <v>1625</v>
      </c>
      <c r="F123" s="599">
        <v>2</v>
      </c>
      <c r="G123" s="599">
        <v>10130</v>
      </c>
      <c r="H123" s="599">
        <v>1</v>
      </c>
      <c r="I123" s="599">
        <v>5065</v>
      </c>
      <c r="J123" s="599">
        <v>9</v>
      </c>
      <c r="K123" s="599">
        <v>45612</v>
      </c>
      <c r="L123" s="599">
        <v>4.5026653504442251</v>
      </c>
      <c r="M123" s="599">
        <v>5068</v>
      </c>
      <c r="N123" s="599">
        <v>1</v>
      </c>
      <c r="O123" s="599">
        <v>5068</v>
      </c>
      <c r="P123" s="612">
        <v>0.50029615004935835</v>
      </c>
      <c r="Q123" s="600">
        <v>5068</v>
      </c>
    </row>
    <row r="124" spans="1:17" ht="14.4" customHeight="1" x14ac:dyDescent="0.3">
      <c r="A124" s="595" t="s">
        <v>1604</v>
      </c>
      <c r="B124" s="596" t="s">
        <v>1605</v>
      </c>
      <c r="C124" s="596" t="s">
        <v>1213</v>
      </c>
      <c r="D124" s="596" t="s">
        <v>1626</v>
      </c>
      <c r="E124" s="596" t="s">
        <v>1627</v>
      </c>
      <c r="F124" s="599">
        <v>1</v>
      </c>
      <c r="G124" s="599">
        <v>5505</v>
      </c>
      <c r="H124" s="599">
        <v>1</v>
      </c>
      <c r="I124" s="599">
        <v>5505</v>
      </c>
      <c r="J124" s="599">
        <v>1</v>
      </c>
      <c r="K124" s="599">
        <v>5508</v>
      </c>
      <c r="L124" s="599">
        <v>1.0005449591280653</v>
      </c>
      <c r="M124" s="599">
        <v>5508</v>
      </c>
      <c r="N124" s="599"/>
      <c r="O124" s="599"/>
      <c r="P124" s="612"/>
      <c r="Q124" s="600"/>
    </row>
    <row r="125" spans="1:17" ht="14.4" customHeight="1" x14ac:dyDescent="0.3">
      <c r="A125" s="595" t="s">
        <v>1604</v>
      </c>
      <c r="B125" s="596" t="s">
        <v>1605</v>
      </c>
      <c r="C125" s="596" t="s">
        <v>1213</v>
      </c>
      <c r="D125" s="596" t="s">
        <v>1628</v>
      </c>
      <c r="E125" s="596" t="s">
        <v>1629</v>
      </c>
      <c r="F125" s="599">
        <v>62</v>
      </c>
      <c r="G125" s="599">
        <v>10664</v>
      </c>
      <c r="H125" s="599">
        <v>1</v>
      </c>
      <c r="I125" s="599">
        <v>172</v>
      </c>
      <c r="J125" s="599">
        <v>61</v>
      </c>
      <c r="K125" s="599">
        <v>10553</v>
      </c>
      <c r="L125" s="599">
        <v>0.98959114778694679</v>
      </c>
      <c r="M125" s="599">
        <v>173</v>
      </c>
      <c r="N125" s="599">
        <v>72</v>
      </c>
      <c r="O125" s="599">
        <v>12456</v>
      </c>
      <c r="P125" s="612">
        <v>1.1680420105026257</v>
      </c>
      <c r="Q125" s="600">
        <v>173</v>
      </c>
    </row>
    <row r="126" spans="1:17" ht="14.4" customHeight="1" x14ac:dyDescent="0.3">
      <c r="A126" s="595" t="s">
        <v>1604</v>
      </c>
      <c r="B126" s="596" t="s">
        <v>1605</v>
      </c>
      <c r="C126" s="596" t="s">
        <v>1213</v>
      </c>
      <c r="D126" s="596" t="s">
        <v>1630</v>
      </c>
      <c r="E126" s="596" t="s">
        <v>1631</v>
      </c>
      <c r="F126" s="599">
        <v>3</v>
      </c>
      <c r="G126" s="599">
        <v>8073</v>
      </c>
      <c r="H126" s="599">
        <v>1</v>
      </c>
      <c r="I126" s="599">
        <v>2691</v>
      </c>
      <c r="J126" s="599">
        <v>6</v>
      </c>
      <c r="K126" s="599">
        <v>16152</v>
      </c>
      <c r="L126" s="599">
        <v>2.0007432181345224</v>
      </c>
      <c r="M126" s="599">
        <v>2692</v>
      </c>
      <c r="N126" s="599"/>
      <c r="O126" s="599"/>
      <c r="P126" s="612"/>
      <c r="Q126" s="600"/>
    </row>
    <row r="127" spans="1:17" ht="14.4" customHeight="1" x14ac:dyDescent="0.3">
      <c r="A127" s="595" t="s">
        <v>1604</v>
      </c>
      <c r="B127" s="596" t="s">
        <v>1605</v>
      </c>
      <c r="C127" s="596" t="s">
        <v>1213</v>
      </c>
      <c r="D127" s="596" t="s">
        <v>1632</v>
      </c>
      <c r="E127" s="596" t="s">
        <v>1633</v>
      </c>
      <c r="F127" s="599">
        <v>2</v>
      </c>
      <c r="G127" s="599">
        <v>10354</v>
      </c>
      <c r="H127" s="599">
        <v>1</v>
      </c>
      <c r="I127" s="599">
        <v>5177</v>
      </c>
      <c r="J127" s="599"/>
      <c r="K127" s="599"/>
      <c r="L127" s="599"/>
      <c r="M127" s="599"/>
      <c r="N127" s="599"/>
      <c r="O127" s="599"/>
      <c r="P127" s="612"/>
      <c r="Q127" s="600"/>
    </row>
    <row r="128" spans="1:17" ht="14.4" customHeight="1" x14ac:dyDescent="0.3">
      <c r="A128" s="595" t="s">
        <v>1604</v>
      </c>
      <c r="B128" s="596" t="s">
        <v>1605</v>
      </c>
      <c r="C128" s="596" t="s">
        <v>1213</v>
      </c>
      <c r="D128" s="596" t="s">
        <v>1634</v>
      </c>
      <c r="E128" s="596" t="s">
        <v>1635</v>
      </c>
      <c r="F128" s="599">
        <v>1</v>
      </c>
      <c r="G128" s="599">
        <v>657</v>
      </c>
      <c r="H128" s="599">
        <v>1</v>
      </c>
      <c r="I128" s="599">
        <v>657</v>
      </c>
      <c r="J128" s="599">
        <v>1</v>
      </c>
      <c r="K128" s="599">
        <v>658</v>
      </c>
      <c r="L128" s="599">
        <v>1.0015220700152208</v>
      </c>
      <c r="M128" s="599">
        <v>658</v>
      </c>
      <c r="N128" s="599">
        <v>1</v>
      </c>
      <c r="O128" s="599">
        <v>658</v>
      </c>
      <c r="P128" s="612">
        <v>1.0015220700152208</v>
      </c>
      <c r="Q128" s="600">
        <v>658</v>
      </c>
    </row>
    <row r="129" spans="1:17" ht="14.4" customHeight="1" x14ac:dyDescent="0.3">
      <c r="A129" s="595" t="s">
        <v>1604</v>
      </c>
      <c r="B129" s="596" t="s">
        <v>1605</v>
      </c>
      <c r="C129" s="596" t="s">
        <v>1213</v>
      </c>
      <c r="D129" s="596" t="s">
        <v>1636</v>
      </c>
      <c r="E129" s="596" t="s">
        <v>1637</v>
      </c>
      <c r="F129" s="599"/>
      <c r="G129" s="599"/>
      <c r="H129" s="599"/>
      <c r="I129" s="599"/>
      <c r="J129" s="599">
        <v>1</v>
      </c>
      <c r="K129" s="599">
        <v>555</v>
      </c>
      <c r="L129" s="599"/>
      <c r="M129" s="599">
        <v>555</v>
      </c>
      <c r="N129" s="599"/>
      <c r="O129" s="599"/>
      <c r="P129" s="612"/>
      <c r="Q129" s="600"/>
    </row>
    <row r="130" spans="1:17" ht="14.4" customHeight="1" x14ac:dyDescent="0.3">
      <c r="A130" s="595" t="s">
        <v>1604</v>
      </c>
      <c r="B130" s="596" t="s">
        <v>1605</v>
      </c>
      <c r="C130" s="596" t="s">
        <v>1213</v>
      </c>
      <c r="D130" s="596" t="s">
        <v>1638</v>
      </c>
      <c r="E130" s="596" t="s">
        <v>1639</v>
      </c>
      <c r="F130" s="599">
        <v>1</v>
      </c>
      <c r="G130" s="599">
        <v>149</v>
      </c>
      <c r="H130" s="599">
        <v>1</v>
      </c>
      <c r="I130" s="599">
        <v>149</v>
      </c>
      <c r="J130" s="599"/>
      <c r="K130" s="599"/>
      <c r="L130" s="599"/>
      <c r="M130" s="599"/>
      <c r="N130" s="599"/>
      <c r="O130" s="599"/>
      <c r="P130" s="612"/>
      <c r="Q130" s="600"/>
    </row>
    <row r="131" spans="1:17" ht="14.4" customHeight="1" x14ac:dyDescent="0.3">
      <c r="A131" s="595" t="s">
        <v>1604</v>
      </c>
      <c r="B131" s="596" t="s">
        <v>1605</v>
      </c>
      <c r="C131" s="596" t="s">
        <v>1213</v>
      </c>
      <c r="D131" s="596" t="s">
        <v>1640</v>
      </c>
      <c r="E131" s="596" t="s">
        <v>1641</v>
      </c>
      <c r="F131" s="599"/>
      <c r="G131" s="599"/>
      <c r="H131" s="599"/>
      <c r="I131" s="599"/>
      <c r="J131" s="599"/>
      <c r="K131" s="599"/>
      <c r="L131" s="599"/>
      <c r="M131" s="599"/>
      <c r="N131" s="599">
        <v>1</v>
      </c>
      <c r="O131" s="599">
        <v>193</v>
      </c>
      <c r="P131" s="612"/>
      <c r="Q131" s="600">
        <v>193</v>
      </c>
    </row>
    <row r="132" spans="1:17" ht="14.4" customHeight="1" x14ac:dyDescent="0.3">
      <c r="A132" s="595" t="s">
        <v>1604</v>
      </c>
      <c r="B132" s="596" t="s">
        <v>1605</v>
      </c>
      <c r="C132" s="596" t="s">
        <v>1213</v>
      </c>
      <c r="D132" s="596" t="s">
        <v>1642</v>
      </c>
      <c r="E132" s="596" t="s">
        <v>1643</v>
      </c>
      <c r="F132" s="599"/>
      <c r="G132" s="599"/>
      <c r="H132" s="599"/>
      <c r="I132" s="599"/>
      <c r="J132" s="599"/>
      <c r="K132" s="599"/>
      <c r="L132" s="599"/>
      <c r="M132" s="599"/>
      <c r="N132" s="599">
        <v>1</v>
      </c>
      <c r="O132" s="599">
        <v>415</v>
      </c>
      <c r="P132" s="612"/>
      <c r="Q132" s="600">
        <v>415</v>
      </c>
    </row>
    <row r="133" spans="1:17" ht="14.4" customHeight="1" x14ac:dyDescent="0.3">
      <c r="A133" s="595" t="s">
        <v>1604</v>
      </c>
      <c r="B133" s="596" t="s">
        <v>1605</v>
      </c>
      <c r="C133" s="596" t="s">
        <v>1213</v>
      </c>
      <c r="D133" s="596" t="s">
        <v>1644</v>
      </c>
      <c r="E133" s="596" t="s">
        <v>1645</v>
      </c>
      <c r="F133" s="599">
        <v>2</v>
      </c>
      <c r="G133" s="599">
        <v>1820</v>
      </c>
      <c r="H133" s="599">
        <v>1</v>
      </c>
      <c r="I133" s="599">
        <v>910</v>
      </c>
      <c r="J133" s="599">
        <v>1</v>
      </c>
      <c r="K133" s="599">
        <v>912</v>
      </c>
      <c r="L133" s="599">
        <v>0.50109890109890109</v>
      </c>
      <c r="M133" s="599">
        <v>912</v>
      </c>
      <c r="N133" s="599"/>
      <c r="O133" s="599"/>
      <c r="P133" s="612"/>
      <c r="Q133" s="600"/>
    </row>
    <row r="134" spans="1:17" ht="14.4" customHeight="1" x14ac:dyDescent="0.3">
      <c r="A134" s="595" t="s">
        <v>1646</v>
      </c>
      <c r="B134" s="596" t="s">
        <v>1647</v>
      </c>
      <c r="C134" s="596" t="s">
        <v>1213</v>
      </c>
      <c r="D134" s="596" t="s">
        <v>1648</v>
      </c>
      <c r="E134" s="596" t="s">
        <v>1649</v>
      </c>
      <c r="F134" s="599">
        <v>3</v>
      </c>
      <c r="G134" s="599">
        <v>606</v>
      </c>
      <c r="H134" s="599">
        <v>1</v>
      </c>
      <c r="I134" s="599">
        <v>202</v>
      </c>
      <c r="J134" s="599">
        <v>4</v>
      </c>
      <c r="K134" s="599">
        <v>812</v>
      </c>
      <c r="L134" s="599">
        <v>1.3399339933993399</v>
      </c>
      <c r="M134" s="599">
        <v>203</v>
      </c>
      <c r="N134" s="599">
        <v>5</v>
      </c>
      <c r="O134" s="599">
        <v>1015</v>
      </c>
      <c r="P134" s="612">
        <v>1.6749174917491749</v>
      </c>
      <c r="Q134" s="600">
        <v>203</v>
      </c>
    </row>
    <row r="135" spans="1:17" ht="14.4" customHeight="1" x14ac:dyDescent="0.3">
      <c r="A135" s="595" t="s">
        <v>1646</v>
      </c>
      <c r="B135" s="596" t="s">
        <v>1647</v>
      </c>
      <c r="C135" s="596" t="s">
        <v>1213</v>
      </c>
      <c r="D135" s="596" t="s">
        <v>1650</v>
      </c>
      <c r="E135" s="596" t="s">
        <v>1651</v>
      </c>
      <c r="F135" s="599"/>
      <c r="G135" s="599"/>
      <c r="H135" s="599"/>
      <c r="I135" s="599"/>
      <c r="J135" s="599">
        <v>7</v>
      </c>
      <c r="K135" s="599">
        <v>2044</v>
      </c>
      <c r="L135" s="599"/>
      <c r="M135" s="599">
        <v>292</v>
      </c>
      <c r="N135" s="599">
        <v>7</v>
      </c>
      <c r="O135" s="599">
        <v>2044</v>
      </c>
      <c r="P135" s="612"/>
      <c r="Q135" s="600">
        <v>292</v>
      </c>
    </row>
    <row r="136" spans="1:17" ht="14.4" customHeight="1" x14ac:dyDescent="0.3">
      <c r="A136" s="595" t="s">
        <v>1646</v>
      </c>
      <c r="B136" s="596" t="s">
        <v>1647</v>
      </c>
      <c r="C136" s="596" t="s">
        <v>1213</v>
      </c>
      <c r="D136" s="596" t="s">
        <v>1652</v>
      </c>
      <c r="E136" s="596" t="s">
        <v>1653</v>
      </c>
      <c r="F136" s="599"/>
      <c r="G136" s="599"/>
      <c r="H136" s="599"/>
      <c r="I136" s="599"/>
      <c r="J136" s="599">
        <v>6</v>
      </c>
      <c r="K136" s="599">
        <v>558</v>
      </c>
      <c r="L136" s="599"/>
      <c r="M136" s="599">
        <v>93</v>
      </c>
      <c r="N136" s="599"/>
      <c r="O136" s="599"/>
      <c r="P136" s="612"/>
      <c r="Q136" s="600"/>
    </row>
    <row r="137" spans="1:17" ht="14.4" customHeight="1" x14ac:dyDescent="0.3">
      <c r="A137" s="595" t="s">
        <v>1646</v>
      </c>
      <c r="B137" s="596" t="s">
        <v>1647</v>
      </c>
      <c r="C137" s="596" t="s">
        <v>1213</v>
      </c>
      <c r="D137" s="596" t="s">
        <v>1654</v>
      </c>
      <c r="E137" s="596" t="s">
        <v>1655</v>
      </c>
      <c r="F137" s="599"/>
      <c r="G137" s="599"/>
      <c r="H137" s="599"/>
      <c r="I137" s="599"/>
      <c r="J137" s="599">
        <v>1</v>
      </c>
      <c r="K137" s="599">
        <v>220</v>
      </c>
      <c r="L137" s="599"/>
      <c r="M137" s="599">
        <v>220</v>
      </c>
      <c r="N137" s="599">
        <v>1</v>
      </c>
      <c r="O137" s="599">
        <v>220</v>
      </c>
      <c r="P137" s="612"/>
      <c r="Q137" s="600">
        <v>220</v>
      </c>
    </row>
    <row r="138" spans="1:17" ht="14.4" customHeight="1" x14ac:dyDescent="0.3">
      <c r="A138" s="595" t="s">
        <v>1646</v>
      </c>
      <c r="B138" s="596" t="s">
        <v>1647</v>
      </c>
      <c r="C138" s="596" t="s">
        <v>1213</v>
      </c>
      <c r="D138" s="596" t="s">
        <v>1656</v>
      </c>
      <c r="E138" s="596" t="s">
        <v>1657</v>
      </c>
      <c r="F138" s="599">
        <v>4</v>
      </c>
      <c r="G138" s="599">
        <v>532</v>
      </c>
      <c r="H138" s="599">
        <v>1</v>
      </c>
      <c r="I138" s="599">
        <v>133</v>
      </c>
      <c r="J138" s="599">
        <v>10</v>
      </c>
      <c r="K138" s="599">
        <v>1340</v>
      </c>
      <c r="L138" s="599">
        <v>2.518796992481203</v>
      </c>
      <c r="M138" s="599">
        <v>134</v>
      </c>
      <c r="N138" s="599">
        <v>4</v>
      </c>
      <c r="O138" s="599">
        <v>536</v>
      </c>
      <c r="P138" s="612">
        <v>1.0075187969924813</v>
      </c>
      <c r="Q138" s="600">
        <v>134</v>
      </c>
    </row>
    <row r="139" spans="1:17" ht="14.4" customHeight="1" x14ac:dyDescent="0.3">
      <c r="A139" s="595" t="s">
        <v>1646</v>
      </c>
      <c r="B139" s="596" t="s">
        <v>1647</v>
      </c>
      <c r="C139" s="596" t="s">
        <v>1213</v>
      </c>
      <c r="D139" s="596" t="s">
        <v>1658</v>
      </c>
      <c r="E139" s="596" t="s">
        <v>1659</v>
      </c>
      <c r="F139" s="599"/>
      <c r="G139" s="599"/>
      <c r="H139" s="599"/>
      <c r="I139" s="599"/>
      <c r="J139" s="599">
        <v>5</v>
      </c>
      <c r="K139" s="599">
        <v>1400</v>
      </c>
      <c r="L139" s="599"/>
      <c r="M139" s="599">
        <v>280</v>
      </c>
      <c r="N139" s="599">
        <v>1</v>
      </c>
      <c r="O139" s="599">
        <v>280</v>
      </c>
      <c r="P139" s="612"/>
      <c r="Q139" s="600">
        <v>280</v>
      </c>
    </row>
    <row r="140" spans="1:17" ht="14.4" customHeight="1" x14ac:dyDescent="0.3">
      <c r="A140" s="595" t="s">
        <v>1646</v>
      </c>
      <c r="B140" s="596" t="s">
        <v>1647</v>
      </c>
      <c r="C140" s="596" t="s">
        <v>1213</v>
      </c>
      <c r="D140" s="596" t="s">
        <v>1660</v>
      </c>
      <c r="E140" s="596" t="s">
        <v>1661</v>
      </c>
      <c r="F140" s="599">
        <v>1</v>
      </c>
      <c r="G140" s="599">
        <v>158</v>
      </c>
      <c r="H140" s="599">
        <v>1</v>
      </c>
      <c r="I140" s="599">
        <v>158</v>
      </c>
      <c r="J140" s="599">
        <v>8</v>
      </c>
      <c r="K140" s="599">
        <v>1272</v>
      </c>
      <c r="L140" s="599">
        <v>8.0506329113924053</v>
      </c>
      <c r="M140" s="599">
        <v>159</v>
      </c>
      <c r="N140" s="599">
        <v>5</v>
      </c>
      <c r="O140" s="599">
        <v>795</v>
      </c>
      <c r="P140" s="612">
        <v>5.0316455696202533</v>
      </c>
      <c r="Q140" s="600">
        <v>159</v>
      </c>
    </row>
    <row r="141" spans="1:17" ht="14.4" customHeight="1" x14ac:dyDescent="0.3">
      <c r="A141" s="595" t="s">
        <v>1646</v>
      </c>
      <c r="B141" s="596" t="s">
        <v>1647</v>
      </c>
      <c r="C141" s="596" t="s">
        <v>1213</v>
      </c>
      <c r="D141" s="596" t="s">
        <v>1662</v>
      </c>
      <c r="E141" s="596" t="s">
        <v>1663</v>
      </c>
      <c r="F141" s="599"/>
      <c r="G141" s="599"/>
      <c r="H141" s="599"/>
      <c r="I141" s="599"/>
      <c r="J141" s="599"/>
      <c r="K141" s="599"/>
      <c r="L141" s="599"/>
      <c r="M141" s="599"/>
      <c r="N141" s="599">
        <v>1</v>
      </c>
      <c r="O141" s="599">
        <v>141</v>
      </c>
      <c r="P141" s="612"/>
      <c r="Q141" s="600">
        <v>141</v>
      </c>
    </row>
    <row r="142" spans="1:17" ht="14.4" customHeight="1" x14ac:dyDescent="0.3">
      <c r="A142" s="595" t="s">
        <v>1646</v>
      </c>
      <c r="B142" s="596" t="s">
        <v>1647</v>
      </c>
      <c r="C142" s="596" t="s">
        <v>1213</v>
      </c>
      <c r="D142" s="596" t="s">
        <v>1664</v>
      </c>
      <c r="E142" s="596" t="s">
        <v>1663</v>
      </c>
      <c r="F142" s="599">
        <v>4</v>
      </c>
      <c r="G142" s="599">
        <v>312</v>
      </c>
      <c r="H142" s="599">
        <v>1</v>
      </c>
      <c r="I142" s="599">
        <v>78</v>
      </c>
      <c r="J142" s="599">
        <v>10</v>
      </c>
      <c r="K142" s="599">
        <v>780</v>
      </c>
      <c r="L142" s="599">
        <v>2.5</v>
      </c>
      <c r="M142" s="599">
        <v>78</v>
      </c>
      <c r="N142" s="599">
        <v>4</v>
      </c>
      <c r="O142" s="599">
        <v>312</v>
      </c>
      <c r="P142" s="612">
        <v>1</v>
      </c>
      <c r="Q142" s="600">
        <v>78</v>
      </c>
    </row>
    <row r="143" spans="1:17" ht="14.4" customHeight="1" x14ac:dyDescent="0.3">
      <c r="A143" s="595" t="s">
        <v>1646</v>
      </c>
      <c r="B143" s="596" t="s">
        <v>1647</v>
      </c>
      <c r="C143" s="596" t="s">
        <v>1213</v>
      </c>
      <c r="D143" s="596" t="s">
        <v>1665</v>
      </c>
      <c r="E143" s="596" t="s">
        <v>1666</v>
      </c>
      <c r="F143" s="599"/>
      <c r="G143" s="599"/>
      <c r="H143" s="599"/>
      <c r="I143" s="599"/>
      <c r="J143" s="599"/>
      <c r="K143" s="599"/>
      <c r="L143" s="599"/>
      <c r="M143" s="599"/>
      <c r="N143" s="599">
        <v>1</v>
      </c>
      <c r="O143" s="599">
        <v>303</v>
      </c>
      <c r="P143" s="612"/>
      <c r="Q143" s="600">
        <v>303</v>
      </c>
    </row>
    <row r="144" spans="1:17" ht="14.4" customHeight="1" x14ac:dyDescent="0.3">
      <c r="A144" s="595" t="s">
        <v>1646</v>
      </c>
      <c r="B144" s="596" t="s">
        <v>1647</v>
      </c>
      <c r="C144" s="596" t="s">
        <v>1213</v>
      </c>
      <c r="D144" s="596" t="s">
        <v>1667</v>
      </c>
      <c r="E144" s="596" t="s">
        <v>1668</v>
      </c>
      <c r="F144" s="599">
        <v>303</v>
      </c>
      <c r="G144" s="599">
        <v>147258</v>
      </c>
      <c r="H144" s="599">
        <v>1</v>
      </c>
      <c r="I144" s="599">
        <v>486</v>
      </c>
      <c r="J144" s="599">
        <v>336</v>
      </c>
      <c r="K144" s="599">
        <v>163296</v>
      </c>
      <c r="L144" s="599">
        <v>1.108910891089109</v>
      </c>
      <c r="M144" s="599">
        <v>486</v>
      </c>
      <c r="N144" s="599">
        <v>312</v>
      </c>
      <c r="O144" s="599">
        <v>151632</v>
      </c>
      <c r="P144" s="612">
        <v>1.0297029702970297</v>
      </c>
      <c r="Q144" s="600">
        <v>486</v>
      </c>
    </row>
    <row r="145" spans="1:17" ht="14.4" customHeight="1" x14ac:dyDescent="0.3">
      <c r="A145" s="595" t="s">
        <v>1646</v>
      </c>
      <c r="B145" s="596" t="s">
        <v>1647</v>
      </c>
      <c r="C145" s="596" t="s">
        <v>1213</v>
      </c>
      <c r="D145" s="596" t="s">
        <v>1669</v>
      </c>
      <c r="E145" s="596" t="s">
        <v>1670</v>
      </c>
      <c r="F145" s="599">
        <v>12</v>
      </c>
      <c r="G145" s="599">
        <v>1908</v>
      </c>
      <c r="H145" s="599">
        <v>1</v>
      </c>
      <c r="I145" s="599">
        <v>159</v>
      </c>
      <c r="J145" s="599">
        <v>8</v>
      </c>
      <c r="K145" s="599">
        <v>1280</v>
      </c>
      <c r="L145" s="599">
        <v>0.67085953878406712</v>
      </c>
      <c r="M145" s="599">
        <v>160</v>
      </c>
      <c r="N145" s="599">
        <v>4</v>
      </c>
      <c r="O145" s="599">
        <v>640</v>
      </c>
      <c r="P145" s="612">
        <v>0.33542976939203356</v>
      </c>
      <c r="Q145" s="600">
        <v>160</v>
      </c>
    </row>
    <row r="146" spans="1:17" ht="14.4" customHeight="1" x14ac:dyDescent="0.3">
      <c r="A146" s="595" t="s">
        <v>1646</v>
      </c>
      <c r="B146" s="596" t="s">
        <v>1647</v>
      </c>
      <c r="C146" s="596" t="s">
        <v>1213</v>
      </c>
      <c r="D146" s="596" t="s">
        <v>1671</v>
      </c>
      <c r="E146" s="596" t="s">
        <v>1649</v>
      </c>
      <c r="F146" s="599">
        <v>37</v>
      </c>
      <c r="G146" s="599">
        <v>2590</v>
      </c>
      <c r="H146" s="599">
        <v>1</v>
      </c>
      <c r="I146" s="599">
        <v>70</v>
      </c>
      <c r="J146" s="599">
        <v>21</v>
      </c>
      <c r="K146" s="599">
        <v>1470</v>
      </c>
      <c r="L146" s="599">
        <v>0.56756756756756754</v>
      </c>
      <c r="M146" s="599">
        <v>70</v>
      </c>
      <c r="N146" s="599">
        <v>16</v>
      </c>
      <c r="O146" s="599">
        <v>1120</v>
      </c>
      <c r="P146" s="612">
        <v>0.43243243243243246</v>
      </c>
      <c r="Q146" s="600">
        <v>70</v>
      </c>
    </row>
    <row r="147" spans="1:17" ht="14.4" customHeight="1" x14ac:dyDescent="0.3">
      <c r="A147" s="595" t="s">
        <v>1646</v>
      </c>
      <c r="B147" s="596" t="s">
        <v>1647</v>
      </c>
      <c r="C147" s="596" t="s">
        <v>1213</v>
      </c>
      <c r="D147" s="596" t="s">
        <v>1672</v>
      </c>
      <c r="E147" s="596" t="s">
        <v>1673</v>
      </c>
      <c r="F147" s="599"/>
      <c r="G147" s="599"/>
      <c r="H147" s="599"/>
      <c r="I147" s="599"/>
      <c r="J147" s="599">
        <v>3</v>
      </c>
      <c r="K147" s="599">
        <v>3567</v>
      </c>
      <c r="L147" s="599"/>
      <c r="M147" s="599">
        <v>1189</v>
      </c>
      <c r="N147" s="599">
        <v>2</v>
      </c>
      <c r="O147" s="599">
        <v>2378</v>
      </c>
      <c r="P147" s="612"/>
      <c r="Q147" s="600">
        <v>1189</v>
      </c>
    </row>
    <row r="148" spans="1:17" ht="14.4" customHeight="1" x14ac:dyDescent="0.3">
      <c r="A148" s="595" t="s">
        <v>1646</v>
      </c>
      <c r="B148" s="596" t="s">
        <v>1647</v>
      </c>
      <c r="C148" s="596" t="s">
        <v>1213</v>
      </c>
      <c r="D148" s="596" t="s">
        <v>1674</v>
      </c>
      <c r="E148" s="596" t="s">
        <v>1675</v>
      </c>
      <c r="F148" s="599">
        <v>84</v>
      </c>
      <c r="G148" s="599">
        <v>8988</v>
      </c>
      <c r="H148" s="599">
        <v>1</v>
      </c>
      <c r="I148" s="599">
        <v>107</v>
      </c>
      <c r="J148" s="599">
        <v>59</v>
      </c>
      <c r="K148" s="599">
        <v>6372</v>
      </c>
      <c r="L148" s="599">
        <v>0.70894526034712946</v>
      </c>
      <c r="M148" s="599">
        <v>108</v>
      </c>
      <c r="N148" s="599">
        <v>74</v>
      </c>
      <c r="O148" s="599">
        <v>7992</v>
      </c>
      <c r="P148" s="612">
        <v>0.88918558077436582</v>
      </c>
      <c r="Q148" s="600">
        <v>108</v>
      </c>
    </row>
    <row r="149" spans="1:17" ht="14.4" customHeight="1" x14ac:dyDescent="0.3">
      <c r="A149" s="595" t="s">
        <v>1646</v>
      </c>
      <c r="B149" s="596" t="s">
        <v>1647</v>
      </c>
      <c r="C149" s="596" t="s">
        <v>1213</v>
      </c>
      <c r="D149" s="596" t="s">
        <v>1676</v>
      </c>
      <c r="E149" s="596" t="s">
        <v>1677</v>
      </c>
      <c r="F149" s="599">
        <v>144</v>
      </c>
      <c r="G149" s="599">
        <v>20592</v>
      </c>
      <c r="H149" s="599">
        <v>1</v>
      </c>
      <c r="I149" s="599">
        <v>143</v>
      </c>
      <c r="J149" s="599">
        <v>154</v>
      </c>
      <c r="K149" s="599">
        <v>22176</v>
      </c>
      <c r="L149" s="599">
        <v>1.0769230769230769</v>
      </c>
      <c r="M149" s="599">
        <v>144</v>
      </c>
      <c r="N149" s="599">
        <v>155</v>
      </c>
      <c r="O149" s="599">
        <v>22320</v>
      </c>
      <c r="P149" s="612">
        <v>1.083916083916084</v>
      </c>
      <c r="Q149" s="600">
        <v>144</v>
      </c>
    </row>
    <row r="150" spans="1:17" ht="14.4" customHeight="1" x14ac:dyDescent="0.3">
      <c r="A150" s="595" t="s">
        <v>1646</v>
      </c>
      <c r="B150" s="596" t="s">
        <v>1647</v>
      </c>
      <c r="C150" s="596" t="s">
        <v>1213</v>
      </c>
      <c r="D150" s="596" t="s">
        <v>1678</v>
      </c>
      <c r="E150" s="596" t="s">
        <v>1679</v>
      </c>
      <c r="F150" s="599"/>
      <c r="G150" s="599"/>
      <c r="H150" s="599"/>
      <c r="I150" s="599"/>
      <c r="J150" s="599">
        <v>1</v>
      </c>
      <c r="K150" s="599">
        <v>1020</v>
      </c>
      <c r="L150" s="599"/>
      <c r="M150" s="599">
        <v>1020</v>
      </c>
      <c r="N150" s="599"/>
      <c r="O150" s="599"/>
      <c r="P150" s="612"/>
      <c r="Q150" s="600"/>
    </row>
    <row r="151" spans="1:17" ht="14.4" customHeight="1" x14ac:dyDescent="0.3">
      <c r="A151" s="595" t="s">
        <v>1646</v>
      </c>
      <c r="B151" s="596" t="s">
        <v>1647</v>
      </c>
      <c r="C151" s="596" t="s">
        <v>1213</v>
      </c>
      <c r="D151" s="596" t="s">
        <v>1680</v>
      </c>
      <c r="E151" s="596" t="s">
        <v>1681</v>
      </c>
      <c r="F151" s="599"/>
      <c r="G151" s="599"/>
      <c r="H151" s="599"/>
      <c r="I151" s="599"/>
      <c r="J151" s="599">
        <v>1</v>
      </c>
      <c r="K151" s="599">
        <v>291</v>
      </c>
      <c r="L151" s="599"/>
      <c r="M151" s="599">
        <v>291</v>
      </c>
      <c r="N151" s="599"/>
      <c r="O151" s="599"/>
      <c r="P151" s="612"/>
      <c r="Q151" s="600"/>
    </row>
    <row r="152" spans="1:17" ht="14.4" customHeight="1" x14ac:dyDescent="0.3">
      <c r="A152" s="595" t="s">
        <v>1682</v>
      </c>
      <c r="B152" s="596" t="s">
        <v>1683</v>
      </c>
      <c r="C152" s="596" t="s">
        <v>1213</v>
      </c>
      <c r="D152" s="596" t="s">
        <v>1684</v>
      </c>
      <c r="E152" s="596" t="s">
        <v>1685</v>
      </c>
      <c r="F152" s="599">
        <v>8</v>
      </c>
      <c r="G152" s="599">
        <v>424</v>
      </c>
      <c r="H152" s="599">
        <v>1</v>
      </c>
      <c r="I152" s="599">
        <v>53</v>
      </c>
      <c r="J152" s="599">
        <v>2</v>
      </c>
      <c r="K152" s="599">
        <v>106</v>
      </c>
      <c r="L152" s="599">
        <v>0.25</v>
      </c>
      <c r="M152" s="599">
        <v>53</v>
      </c>
      <c r="N152" s="599">
        <v>6</v>
      </c>
      <c r="O152" s="599">
        <v>318</v>
      </c>
      <c r="P152" s="612">
        <v>0.75</v>
      </c>
      <c r="Q152" s="600">
        <v>53</v>
      </c>
    </row>
    <row r="153" spans="1:17" ht="14.4" customHeight="1" x14ac:dyDescent="0.3">
      <c r="A153" s="595" t="s">
        <v>1682</v>
      </c>
      <c r="B153" s="596" t="s">
        <v>1683</v>
      </c>
      <c r="C153" s="596" t="s">
        <v>1213</v>
      </c>
      <c r="D153" s="596" t="s">
        <v>1686</v>
      </c>
      <c r="E153" s="596" t="s">
        <v>1687</v>
      </c>
      <c r="F153" s="599">
        <v>8</v>
      </c>
      <c r="G153" s="599">
        <v>960</v>
      </c>
      <c r="H153" s="599">
        <v>1</v>
      </c>
      <c r="I153" s="599">
        <v>120</v>
      </c>
      <c r="J153" s="599"/>
      <c r="K153" s="599"/>
      <c r="L153" s="599"/>
      <c r="M153" s="599"/>
      <c r="N153" s="599"/>
      <c r="O153" s="599"/>
      <c r="P153" s="612"/>
      <c r="Q153" s="600"/>
    </row>
    <row r="154" spans="1:17" ht="14.4" customHeight="1" x14ac:dyDescent="0.3">
      <c r="A154" s="595" t="s">
        <v>1682</v>
      </c>
      <c r="B154" s="596" t="s">
        <v>1683</v>
      </c>
      <c r="C154" s="596" t="s">
        <v>1213</v>
      </c>
      <c r="D154" s="596" t="s">
        <v>1688</v>
      </c>
      <c r="E154" s="596" t="s">
        <v>1689</v>
      </c>
      <c r="F154" s="599">
        <v>1</v>
      </c>
      <c r="G154" s="599">
        <v>379</v>
      </c>
      <c r="H154" s="599">
        <v>1</v>
      </c>
      <c r="I154" s="599">
        <v>379</v>
      </c>
      <c r="J154" s="599"/>
      <c r="K154" s="599"/>
      <c r="L154" s="599"/>
      <c r="M154" s="599"/>
      <c r="N154" s="599"/>
      <c r="O154" s="599"/>
      <c r="P154" s="612"/>
      <c r="Q154" s="600"/>
    </row>
    <row r="155" spans="1:17" ht="14.4" customHeight="1" x14ac:dyDescent="0.3">
      <c r="A155" s="595" t="s">
        <v>1682</v>
      </c>
      <c r="B155" s="596" t="s">
        <v>1683</v>
      </c>
      <c r="C155" s="596" t="s">
        <v>1213</v>
      </c>
      <c r="D155" s="596" t="s">
        <v>1690</v>
      </c>
      <c r="E155" s="596" t="s">
        <v>1691</v>
      </c>
      <c r="F155" s="599">
        <v>3</v>
      </c>
      <c r="G155" s="599">
        <v>501</v>
      </c>
      <c r="H155" s="599">
        <v>1</v>
      </c>
      <c r="I155" s="599">
        <v>167</v>
      </c>
      <c r="J155" s="599"/>
      <c r="K155" s="599"/>
      <c r="L155" s="599"/>
      <c r="M155" s="599"/>
      <c r="N155" s="599"/>
      <c r="O155" s="599"/>
      <c r="P155" s="612"/>
      <c r="Q155" s="600"/>
    </row>
    <row r="156" spans="1:17" ht="14.4" customHeight="1" x14ac:dyDescent="0.3">
      <c r="A156" s="595" t="s">
        <v>1682</v>
      </c>
      <c r="B156" s="596" t="s">
        <v>1683</v>
      </c>
      <c r="C156" s="596" t="s">
        <v>1213</v>
      </c>
      <c r="D156" s="596" t="s">
        <v>1692</v>
      </c>
      <c r="E156" s="596" t="s">
        <v>1693</v>
      </c>
      <c r="F156" s="599">
        <v>2</v>
      </c>
      <c r="G156" s="599">
        <v>626</v>
      </c>
      <c r="H156" s="599">
        <v>1</v>
      </c>
      <c r="I156" s="599">
        <v>313</v>
      </c>
      <c r="J156" s="599"/>
      <c r="K156" s="599"/>
      <c r="L156" s="599"/>
      <c r="M156" s="599"/>
      <c r="N156" s="599"/>
      <c r="O156" s="599"/>
      <c r="P156" s="612"/>
      <c r="Q156" s="600"/>
    </row>
    <row r="157" spans="1:17" ht="14.4" customHeight="1" x14ac:dyDescent="0.3">
      <c r="A157" s="595" t="s">
        <v>1682</v>
      </c>
      <c r="B157" s="596" t="s">
        <v>1683</v>
      </c>
      <c r="C157" s="596" t="s">
        <v>1213</v>
      </c>
      <c r="D157" s="596" t="s">
        <v>1694</v>
      </c>
      <c r="E157" s="596" t="s">
        <v>1695</v>
      </c>
      <c r="F157" s="599">
        <v>12</v>
      </c>
      <c r="G157" s="599">
        <v>4044</v>
      </c>
      <c r="H157" s="599">
        <v>1</v>
      </c>
      <c r="I157" s="599">
        <v>337</v>
      </c>
      <c r="J157" s="599">
        <v>1</v>
      </c>
      <c r="K157" s="599">
        <v>338</v>
      </c>
      <c r="L157" s="599">
        <v>8.3580613254203753E-2</v>
      </c>
      <c r="M157" s="599">
        <v>338</v>
      </c>
      <c r="N157" s="599">
        <v>8</v>
      </c>
      <c r="O157" s="599">
        <v>2704</v>
      </c>
      <c r="P157" s="612">
        <v>0.66864490603363003</v>
      </c>
      <c r="Q157" s="600">
        <v>338</v>
      </c>
    </row>
    <row r="158" spans="1:17" ht="14.4" customHeight="1" x14ac:dyDescent="0.3">
      <c r="A158" s="595" t="s">
        <v>1682</v>
      </c>
      <c r="B158" s="596" t="s">
        <v>1683</v>
      </c>
      <c r="C158" s="596" t="s">
        <v>1213</v>
      </c>
      <c r="D158" s="596" t="s">
        <v>1696</v>
      </c>
      <c r="E158" s="596" t="s">
        <v>1697</v>
      </c>
      <c r="F158" s="599">
        <v>1</v>
      </c>
      <c r="G158" s="599">
        <v>107</v>
      </c>
      <c r="H158" s="599">
        <v>1</v>
      </c>
      <c r="I158" s="599">
        <v>107</v>
      </c>
      <c r="J158" s="599"/>
      <c r="K158" s="599"/>
      <c r="L158" s="599"/>
      <c r="M158" s="599"/>
      <c r="N158" s="599"/>
      <c r="O158" s="599"/>
      <c r="P158" s="612"/>
      <c r="Q158" s="600"/>
    </row>
    <row r="159" spans="1:17" ht="14.4" customHeight="1" x14ac:dyDescent="0.3">
      <c r="A159" s="595" t="s">
        <v>1682</v>
      </c>
      <c r="B159" s="596" t="s">
        <v>1683</v>
      </c>
      <c r="C159" s="596" t="s">
        <v>1213</v>
      </c>
      <c r="D159" s="596" t="s">
        <v>1482</v>
      </c>
      <c r="E159" s="596" t="s">
        <v>1483</v>
      </c>
      <c r="F159" s="599">
        <v>1</v>
      </c>
      <c r="G159" s="599">
        <v>36</v>
      </c>
      <c r="H159" s="599">
        <v>1</v>
      </c>
      <c r="I159" s="599">
        <v>36</v>
      </c>
      <c r="J159" s="599"/>
      <c r="K159" s="599"/>
      <c r="L159" s="599"/>
      <c r="M159" s="599"/>
      <c r="N159" s="599"/>
      <c r="O159" s="599"/>
      <c r="P159" s="612"/>
      <c r="Q159" s="600"/>
    </row>
    <row r="160" spans="1:17" ht="14.4" customHeight="1" x14ac:dyDescent="0.3">
      <c r="A160" s="595" t="s">
        <v>1682</v>
      </c>
      <c r="B160" s="596" t="s">
        <v>1683</v>
      </c>
      <c r="C160" s="596" t="s">
        <v>1213</v>
      </c>
      <c r="D160" s="596" t="s">
        <v>1698</v>
      </c>
      <c r="E160" s="596" t="s">
        <v>1699</v>
      </c>
      <c r="F160" s="599">
        <v>6</v>
      </c>
      <c r="G160" s="599">
        <v>1680</v>
      </c>
      <c r="H160" s="599">
        <v>1</v>
      </c>
      <c r="I160" s="599">
        <v>280</v>
      </c>
      <c r="J160" s="599">
        <v>1</v>
      </c>
      <c r="K160" s="599">
        <v>281</v>
      </c>
      <c r="L160" s="599">
        <v>0.16726190476190475</v>
      </c>
      <c r="M160" s="599">
        <v>281</v>
      </c>
      <c r="N160" s="599">
        <v>1</v>
      </c>
      <c r="O160" s="599">
        <v>281</v>
      </c>
      <c r="P160" s="612">
        <v>0.16726190476190475</v>
      </c>
      <c r="Q160" s="600">
        <v>281</v>
      </c>
    </row>
    <row r="161" spans="1:17" ht="14.4" customHeight="1" x14ac:dyDescent="0.3">
      <c r="A161" s="595" t="s">
        <v>1682</v>
      </c>
      <c r="B161" s="596" t="s">
        <v>1683</v>
      </c>
      <c r="C161" s="596" t="s">
        <v>1213</v>
      </c>
      <c r="D161" s="596" t="s">
        <v>1700</v>
      </c>
      <c r="E161" s="596" t="s">
        <v>1701</v>
      </c>
      <c r="F161" s="599">
        <v>1</v>
      </c>
      <c r="G161" s="599">
        <v>453</v>
      </c>
      <c r="H161" s="599">
        <v>1</v>
      </c>
      <c r="I161" s="599">
        <v>453</v>
      </c>
      <c r="J161" s="599"/>
      <c r="K161" s="599"/>
      <c r="L161" s="599"/>
      <c r="M161" s="599"/>
      <c r="N161" s="599">
        <v>2</v>
      </c>
      <c r="O161" s="599">
        <v>912</v>
      </c>
      <c r="P161" s="612">
        <v>2.0132450331125828</v>
      </c>
      <c r="Q161" s="600">
        <v>456</v>
      </c>
    </row>
    <row r="162" spans="1:17" ht="14.4" customHeight="1" x14ac:dyDescent="0.3">
      <c r="A162" s="595" t="s">
        <v>1682</v>
      </c>
      <c r="B162" s="596" t="s">
        <v>1683</v>
      </c>
      <c r="C162" s="596" t="s">
        <v>1213</v>
      </c>
      <c r="D162" s="596" t="s">
        <v>1702</v>
      </c>
      <c r="E162" s="596" t="s">
        <v>1703</v>
      </c>
      <c r="F162" s="599">
        <v>8</v>
      </c>
      <c r="G162" s="599">
        <v>2760</v>
      </c>
      <c r="H162" s="599">
        <v>1</v>
      </c>
      <c r="I162" s="599">
        <v>345</v>
      </c>
      <c r="J162" s="599">
        <v>1</v>
      </c>
      <c r="K162" s="599">
        <v>348</v>
      </c>
      <c r="L162" s="599">
        <v>0.12608695652173912</v>
      </c>
      <c r="M162" s="599">
        <v>348</v>
      </c>
      <c r="N162" s="599">
        <v>3</v>
      </c>
      <c r="O162" s="599">
        <v>1044</v>
      </c>
      <c r="P162" s="612">
        <v>0.37826086956521737</v>
      </c>
      <c r="Q162" s="600">
        <v>348</v>
      </c>
    </row>
    <row r="163" spans="1:17" ht="14.4" customHeight="1" x14ac:dyDescent="0.3">
      <c r="A163" s="595" t="s">
        <v>1682</v>
      </c>
      <c r="B163" s="596" t="s">
        <v>1683</v>
      </c>
      <c r="C163" s="596" t="s">
        <v>1213</v>
      </c>
      <c r="D163" s="596" t="s">
        <v>1704</v>
      </c>
      <c r="E163" s="596" t="s">
        <v>1705</v>
      </c>
      <c r="F163" s="599">
        <v>1</v>
      </c>
      <c r="G163" s="599">
        <v>115</v>
      </c>
      <c r="H163" s="599">
        <v>1</v>
      </c>
      <c r="I163" s="599">
        <v>115</v>
      </c>
      <c r="J163" s="599"/>
      <c r="K163" s="599"/>
      <c r="L163" s="599"/>
      <c r="M163" s="599"/>
      <c r="N163" s="599"/>
      <c r="O163" s="599"/>
      <c r="P163" s="612"/>
      <c r="Q163" s="600"/>
    </row>
    <row r="164" spans="1:17" ht="14.4" customHeight="1" x14ac:dyDescent="0.3">
      <c r="A164" s="595" t="s">
        <v>1682</v>
      </c>
      <c r="B164" s="596" t="s">
        <v>1683</v>
      </c>
      <c r="C164" s="596" t="s">
        <v>1213</v>
      </c>
      <c r="D164" s="596" t="s">
        <v>1706</v>
      </c>
      <c r="E164" s="596" t="s">
        <v>1707</v>
      </c>
      <c r="F164" s="599">
        <v>1</v>
      </c>
      <c r="G164" s="599">
        <v>454</v>
      </c>
      <c r="H164" s="599">
        <v>1</v>
      </c>
      <c r="I164" s="599">
        <v>454</v>
      </c>
      <c r="J164" s="599"/>
      <c r="K164" s="599"/>
      <c r="L164" s="599"/>
      <c r="M164" s="599"/>
      <c r="N164" s="599"/>
      <c r="O164" s="599"/>
      <c r="P164" s="612"/>
      <c r="Q164" s="600"/>
    </row>
    <row r="165" spans="1:17" ht="14.4" customHeight="1" x14ac:dyDescent="0.3">
      <c r="A165" s="595" t="s">
        <v>1682</v>
      </c>
      <c r="B165" s="596" t="s">
        <v>1683</v>
      </c>
      <c r="C165" s="596" t="s">
        <v>1213</v>
      </c>
      <c r="D165" s="596" t="s">
        <v>1708</v>
      </c>
      <c r="E165" s="596" t="s">
        <v>1709</v>
      </c>
      <c r="F165" s="599">
        <v>21</v>
      </c>
      <c r="G165" s="599">
        <v>3444</v>
      </c>
      <c r="H165" s="599">
        <v>1</v>
      </c>
      <c r="I165" s="599">
        <v>164</v>
      </c>
      <c r="J165" s="599">
        <v>4</v>
      </c>
      <c r="K165" s="599">
        <v>660</v>
      </c>
      <c r="L165" s="599">
        <v>0.19163763066202091</v>
      </c>
      <c r="M165" s="599">
        <v>165</v>
      </c>
      <c r="N165" s="599">
        <v>1</v>
      </c>
      <c r="O165" s="599">
        <v>165</v>
      </c>
      <c r="P165" s="612">
        <v>4.7909407665505228E-2</v>
      </c>
      <c r="Q165" s="600">
        <v>165</v>
      </c>
    </row>
    <row r="166" spans="1:17" ht="14.4" customHeight="1" x14ac:dyDescent="0.3">
      <c r="A166" s="595" t="s">
        <v>1682</v>
      </c>
      <c r="B166" s="596" t="s">
        <v>1683</v>
      </c>
      <c r="C166" s="596" t="s">
        <v>1213</v>
      </c>
      <c r="D166" s="596" t="s">
        <v>1710</v>
      </c>
      <c r="E166" s="596" t="s">
        <v>1711</v>
      </c>
      <c r="F166" s="599">
        <v>1</v>
      </c>
      <c r="G166" s="599">
        <v>222</v>
      </c>
      <c r="H166" s="599">
        <v>1</v>
      </c>
      <c r="I166" s="599">
        <v>222</v>
      </c>
      <c r="J166" s="599"/>
      <c r="K166" s="599"/>
      <c r="L166" s="599"/>
      <c r="M166" s="599"/>
      <c r="N166" s="599"/>
      <c r="O166" s="599"/>
      <c r="P166" s="612"/>
      <c r="Q166" s="600"/>
    </row>
    <row r="167" spans="1:17" ht="14.4" customHeight="1" x14ac:dyDescent="0.3">
      <c r="A167" s="595" t="s">
        <v>1712</v>
      </c>
      <c r="B167" s="596" t="s">
        <v>531</v>
      </c>
      <c r="C167" s="596" t="s">
        <v>1213</v>
      </c>
      <c r="D167" s="596" t="s">
        <v>1713</v>
      </c>
      <c r="E167" s="596" t="s">
        <v>1714</v>
      </c>
      <c r="F167" s="599">
        <v>39</v>
      </c>
      <c r="G167" s="599">
        <v>6162</v>
      </c>
      <c r="H167" s="599">
        <v>1</v>
      </c>
      <c r="I167" s="599">
        <v>158</v>
      </c>
      <c r="J167" s="599">
        <v>50</v>
      </c>
      <c r="K167" s="599">
        <v>7950</v>
      </c>
      <c r="L167" s="599">
        <v>1.2901655306718598</v>
      </c>
      <c r="M167" s="599">
        <v>159</v>
      </c>
      <c r="N167" s="599">
        <v>40</v>
      </c>
      <c r="O167" s="599">
        <v>6360</v>
      </c>
      <c r="P167" s="612">
        <v>1.0321324245374879</v>
      </c>
      <c r="Q167" s="600">
        <v>159</v>
      </c>
    </row>
    <row r="168" spans="1:17" ht="14.4" customHeight="1" x14ac:dyDescent="0.3">
      <c r="A168" s="595" t="s">
        <v>1712</v>
      </c>
      <c r="B168" s="596" t="s">
        <v>531</v>
      </c>
      <c r="C168" s="596" t="s">
        <v>1213</v>
      </c>
      <c r="D168" s="596" t="s">
        <v>1715</v>
      </c>
      <c r="E168" s="596" t="s">
        <v>1716</v>
      </c>
      <c r="F168" s="599"/>
      <c r="G168" s="599"/>
      <c r="H168" s="599"/>
      <c r="I168" s="599"/>
      <c r="J168" s="599"/>
      <c r="K168" s="599"/>
      <c r="L168" s="599"/>
      <c r="M168" s="599"/>
      <c r="N168" s="599">
        <v>4</v>
      </c>
      <c r="O168" s="599">
        <v>4660</v>
      </c>
      <c r="P168" s="612"/>
      <c r="Q168" s="600">
        <v>1165</v>
      </c>
    </row>
    <row r="169" spans="1:17" ht="14.4" customHeight="1" x14ac:dyDescent="0.3">
      <c r="A169" s="595" t="s">
        <v>1712</v>
      </c>
      <c r="B169" s="596" t="s">
        <v>531</v>
      </c>
      <c r="C169" s="596" t="s">
        <v>1213</v>
      </c>
      <c r="D169" s="596" t="s">
        <v>1717</v>
      </c>
      <c r="E169" s="596" t="s">
        <v>1718</v>
      </c>
      <c r="F169" s="599">
        <v>515</v>
      </c>
      <c r="G169" s="599">
        <v>20085</v>
      </c>
      <c r="H169" s="599">
        <v>1</v>
      </c>
      <c r="I169" s="599">
        <v>39</v>
      </c>
      <c r="J169" s="599">
        <v>876</v>
      </c>
      <c r="K169" s="599">
        <v>34164</v>
      </c>
      <c r="L169" s="599">
        <v>1.7009708737864078</v>
      </c>
      <c r="M169" s="599">
        <v>39</v>
      </c>
      <c r="N169" s="599">
        <v>368</v>
      </c>
      <c r="O169" s="599">
        <v>14352</v>
      </c>
      <c r="P169" s="612">
        <v>0.71456310679611645</v>
      </c>
      <c r="Q169" s="600">
        <v>39</v>
      </c>
    </row>
    <row r="170" spans="1:17" ht="14.4" customHeight="1" x14ac:dyDescent="0.3">
      <c r="A170" s="595" t="s">
        <v>1712</v>
      </c>
      <c r="B170" s="596" t="s">
        <v>531</v>
      </c>
      <c r="C170" s="596" t="s">
        <v>1213</v>
      </c>
      <c r="D170" s="596" t="s">
        <v>1719</v>
      </c>
      <c r="E170" s="596" t="s">
        <v>1720</v>
      </c>
      <c r="F170" s="599"/>
      <c r="G170" s="599"/>
      <c r="H170" s="599"/>
      <c r="I170" s="599"/>
      <c r="J170" s="599"/>
      <c r="K170" s="599"/>
      <c r="L170" s="599"/>
      <c r="M170" s="599"/>
      <c r="N170" s="599">
        <v>2</v>
      </c>
      <c r="O170" s="599">
        <v>764</v>
      </c>
      <c r="P170" s="612"/>
      <c r="Q170" s="600">
        <v>382</v>
      </c>
    </row>
    <row r="171" spans="1:17" ht="14.4" customHeight="1" x14ac:dyDescent="0.3">
      <c r="A171" s="595" t="s">
        <v>1712</v>
      </c>
      <c r="B171" s="596" t="s">
        <v>531</v>
      </c>
      <c r="C171" s="596" t="s">
        <v>1213</v>
      </c>
      <c r="D171" s="596" t="s">
        <v>1721</v>
      </c>
      <c r="E171" s="596" t="s">
        <v>1722</v>
      </c>
      <c r="F171" s="599">
        <v>4</v>
      </c>
      <c r="G171" s="599">
        <v>144</v>
      </c>
      <c r="H171" s="599">
        <v>1</v>
      </c>
      <c r="I171" s="599">
        <v>36</v>
      </c>
      <c r="J171" s="599"/>
      <c r="K171" s="599"/>
      <c r="L171" s="599"/>
      <c r="M171" s="599"/>
      <c r="N171" s="599"/>
      <c r="O171" s="599"/>
      <c r="P171" s="612"/>
      <c r="Q171" s="600"/>
    </row>
    <row r="172" spans="1:17" ht="14.4" customHeight="1" x14ac:dyDescent="0.3">
      <c r="A172" s="595" t="s">
        <v>1712</v>
      </c>
      <c r="B172" s="596" t="s">
        <v>531</v>
      </c>
      <c r="C172" s="596" t="s">
        <v>1213</v>
      </c>
      <c r="D172" s="596" t="s">
        <v>1723</v>
      </c>
      <c r="E172" s="596" t="s">
        <v>1724</v>
      </c>
      <c r="F172" s="599"/>
      <c r="G172" s="599"/>
      <c r="H172" s="599"/>
      <c r="I172" s="599"/>
      <c r="J172" s="599">
        <v>3</v>
      </c>
      <c r="K172" s="599">
        <v>1332</v>
      </c>
      <c r="L172" s="599"/>
      <c r="M172" s="599">
        <v>444</v>
      </c>
      <c r="N172" s="599"/>
      <c r="O172" s="599"/>
      <c r="P172" s="612"/>
      <c r="Q172" s="600"/>
    </row>
    <row r="173" spans="1:17" ht="14.4" customHeight="1" x14ac:dyDescent="0.3">
      <c r="A173" s="595" t="s">
        <v>1712</v>
      </c>
      <c r="B173" s="596" t="s">
        <v>531</v>
      </c>
      <c r="C173" s="596" t="s">
        <v>1213</v>
      </c>
      <c r="D173" s="596" t="s">
        <v>1725</v>
      </c>
      <c r="E173" s="596" t="s">
        <v>1726</v>
      </c>
      <c r="F173" s="599">
        <v>1</v>
      </c>
      <c r="G173" s="599">
        <v>490</v>
      </c>
      <c r="H173" s="599">
        <v>1</v>
      </c>
      <c r="I173" s="599">
        <v>490</v>
      </c>
      <c r="J173" s="599"/>
      <c r="K173" s="599"/>
      <c r="L173" s="599"/>
      <c r="M173" s="599"/>
      <c r="N173" s="599"/>
      <c r="O173" s="599"/>
      <c r="P173" s="612"/>
      <c r="Q173" s="600"/>
    </row>
    <row r="174" spans="1:17" ht="14.4" customHeight="1" x14ac:dyDescent="0.3">
      <c r="A174" s="595" t="s">
        <v>1712</v>
      </c>
      <c r="B174" s="596" t="s">
        <v>531</v>
      </c>
      <c r="C174" s="596" t="s">
        <v>1213</v>
      </c>
      <c r="D174" s="596" t="s">
        <v>1727</v>
      </c>
      <c r="E174" s="596" t="s">
        <v>1728</v>
      </c>
      <c r="F174" s="599">
        <v>1</v>
      </c>
      <c r="G174" s="599">
        <v>31</v>
      </c>
      <c r="H174" s="599">
        <v>1</v>
      </c>
      <c r="I174" s="599">
        <v>31</v>
      </c>
      <c r="J174" s="599">
        <v>1</v>
      </c>
      <c r="K174" s="599">
        <v>31</v>
      </c>
      <c r="L174" s="599">
        <v>1</v>
      </c>
      <c r="M174" s="599">
        <v>31</v>
      </c>
      <c r="N174" s="599">
        <v>1</v>
      </c>
      <c r="O174" s="599">
        <v>31</v>
      </c>
      <c r="P174" s="612">
        <v>1</v>
      </c>
      <c r="Q174" s="600">
        <v>31</v>
      </c>
    </row>
    <row r="175" spans="1:17" ht="14.4" customHeight="1" x14ac:dyDescent="0.3">
      <c r="A175" s="595" t="s">
        <v>1712</v>
      </c>
      <c r="B175" s="596" t="s">
        <v>531</v>
      </c>
      <c r="C175" s="596" t="s">
        <v>1213</v>
      </c>
      <c r="D175" s="596" t="s">
        <v>1729</v>
      </c>
      <c r="E175" s="596" t="s">
        <v>1730</v>
      </c>
      <c r="F175" s="599">
        <v>3</v>
      </c>
      <c r="G175" s="599">
        <v>690</v>
      </c>
      <c r="H175" s="599">
        <v>1</v>
      </c>
      <c r="I175" s="599">
        <v>230</v>
      </c>
      <c r="J175" s="599">
        <v>4</v>
      </c>
      <c r="K175" s="599">
        <v>924</v>
      </c>
      <c r="L175" s="599">
        <v>1.3391304347826087</v>
      </c>
      <c r="M175" s="599">
        <v>231</v>
      </c>
      <c r="N175" s="599">
        <v>2</v>
      </c>
      <c r="O175" s="599">
        <v>462</v>
      </c>
      <c r="P175" s="612">
        <v>0.66956521739130437</v>
      </c>
      <c r="Q175" s="600">
        <v>231</v>
      </c>
    </row>
    <row r="176" spans="1:17" ht="14.4" customHeight="1" x14ac:dyDescent="0.3">
      <c r="A176" s="595" t="s">
        <v>1712</v>
      </c>
      <c r="B176" s="596" t="s">
        <v>531</v>
      </c>
      <c r="C176" s="596" t="s">
        <v>1213</v>
      </c>
      <c r="D176" s="596" t="s">
        <v>1731</v>
      </c>
      <c r="E176" s="596" t="s">
        <v>1732</v>
      </c>
      <c r="F176" s="599">
        <v>366</v>
      </c>
      <c r="G176" s="599">
        <v>40992</v>
      </c>
      <c r="H176" s="599">
        <v>1</v>
      </c>
      <c r="I176" s="599">
        <v>112</v>
      </c>
      <c r="J176" s="599">
        <v>462</v>
      </c>
      <c r="K176" s="599">
        <v>52206</v>
      </c>
      <c r="L176" s="599">
        <v>1.2735655737704918</v>
      </c>
      <c r="M176" s="599">
        <v>113</v>
      </c>
      <c r="N176" s="599">
        <v>307</v>
      </c>
      <c r="O176" s="599">
        <v>34691</v>
      </c>
      <c r="P176" s="612">
        <v>0.84628708040593281</v>
      </c>
      <c r="Q176" s="600">
        <v>113</v>
      </c>
    </row>
    <row r="177" spans="1:17" ht="14.4" customHeight="1" x14ac:dyDescent="0.3">
      <c r="A177" s="595" t="s">
        <v>1712</v>
      </c>
      <c r="B177" s="596" t="s">
        <v>531</v>
      </c>
      <c r="C177" s="596" t="s">
        <v>1213</v>
      </c>
      <c r="D177" s="596" t="s">
        <v>1733</v>
      </c>
      <c r="E177" s="596" t="s">
        <v>1734</v>
      </c>
      <c r="F177" s="599">
        <v>36</v>
      </c>
      <c r="G177" s="599">
        <v>2988</v>
      </c>
      <c r="H177" s="599">
        <v>1</v>
      </c>
      <c r="I177" s="599">
        <v>83</v>
      </c>
      <c r="J177" s="599">
        <v>29</v>
      </c>
      <c r="K177" s="599">
        <v>2436</v>
      </c>
      <c r="L177" s="599">
        <v>0.81526104417670686</v>
      </c>
      <c r="M177" s="599">
        <v>84</v>
      </c>
      <c r="N177" s="599">
        <v>16</v>
      </c>
      <c r="O177" s="599">
        <v>1344</v>
      </c>
      <c r="P177" s="612">
        <v>0.44979919678714858</v>
      </c>
      <c r="Q177" s="600">
        <v>84</v>
      </c>
    </row>
    <row r="178" spans="1:17" ht="14.4" customHeight="1" x14ac:dyDescent="0.3">
      <c r="A178" s="595" t="s">
        <v>1712</v>
      </c>
      <c r="B178" s="596" t="s">
        <v>531</v>
      </c>
      <c r="C178" s="596" t="s">
        <v>1213</v>
      </c>
      <c r="D178" s="596" t="s">
        <v>1735</v>
      </c>
      <c r="E178" s="596" t="s">
        <v>1736</v>
      </c>
      <c r="F178" s="599">
        <v>1</v>
      </c>
      <c r="G178" s="599">
        <v>95</v>
      </c>
      <c r="H178" s="599">
        <v>1</v>
      </c>
      <c r="I178" s="599">
        <v>95</v>
      </c>
      <c r="J178" s="599">
        <v>6</v>
      </c>
      <c r="K178" s="599">
        <v>576</v>
      </c>
      <c r="L178" s="599">
        <v>6.0631578947368423</v>
      </c>
      <c r="M178" s="599">
        <v>96</v>
      </c>
      <c r="N178" s="599"/>
      <c r="O178" s="599"/>
      <c r="P178" s="612"/>
      <c r="Q178" s="600"/>
    </row>
    <row r="179" spans="1:17" ht="14.4" customHeight="1" x14ac:dyDescent="0.3">
      <c r="A179" s="595" t="s">
        <v>1712</v>
      </c>
      <c r="B179" s="596" t="s">
        <v>531</v>
      </c>
      <c r="C179" s="596" t="s">
        <v>1213</v>
      </c>
      <c r="D179" s="596" t="s">
        <v>1737</v>
      </c>
      <c r="E179" s="596" t="s">
        <v>1738</v>
      </c>
      <c r="F179" s="599">
        <v>30</v>
      </c>
      <c r="G179" s="599">
        <v>630</v>
      </c>
      <c r="H179" s="599">
        <v>1</v>
      </c>
      <c r="I179" s="599">
        <v>21</v>
      </c>
      <c r="J179" s="599">
        <v>36</v>
      </c>
      <c r="K179" s="599">
        <v>756</v>
      </c>
      <c r="L179" s="599">
        <v>1.2</v>
      </c>
      <c r="M179" s="599">
        <v>21</v>
      </c>
      <c r="N179" s="599">
        <v>9</v>
      </c>
      <c r="O179" s="599">
        <v>189</v>
      </c>
      <c r="P179" s="612">
        <v>0.3</v>
      </c>
      <c r="Q179" s="600">
        <v>21</v>
      </c>
    </row>
    <row r="180" spans="1:17" ht="14.4" customHeight="1" x14ac:dyDescent="0.3">
      <c r="A180" s="595" t="s">
        <v>1712</v>
      </c>
      <c r="B180" s="596" t="s">
        <v>531</v>
      </c>
      <c r="C180" s="596" t="s">
        <v>1213</v>
      </c>
      <c r="D180" s="596" t="s">
        <v>1667</v>
      </c>
      <c r="E180" s="596" t="s">
        <v>1668</v>
      </c>
      <c r="F180" s="599">
        <v>24</v>
      </c>
      <c r="G180" s="599">
        <v>11664</v>
      </c>
      <c r="H180" s="599">
        <v>1</v>
      </c>
      <c r="I180" s="599">
        <v>486</v>
      </c>
      <c r="J180" s="599">
        <v>9</v>
      </c>
      <c r="K180" s="599">
        <v>4374</v>
      </c>
      <c r="L180" s="599">
        <v>0.375</v>
      </c>
      <c r="M180" s="599">
        <v>486</v>
      </c>
      <c r="N180" s="599">
        <v>21</v>
      </c>
      <c r="O180" s="599">
        <v>10206</v>
      </c>
      <c r="P180" s="612">
        <v>0.875</v>
      </c>
      <c r="Q180" s="600">
        <v>486</v>
      </c>
    </row>
    <row r="181" spans="1:17" ht="14.4" customHeight="1" x14ac:dyDescent="0.3">
      <c r="A181" s="595" t="s">
        <v>1712</v>
      </c>
      <c r="B181" s="596" t="s">
        <v>531</v>
      </c>
      <c r="C181" s="596" t="s">
        <v>1213</v>
      </c>
      <c r="D181" s="596" t="s">
        <v>1739</v>
      </c>
      <c r="E181" s="596" t="s">
        <v>1740</v>
      </c>
      <c r="F181" s="599">
        <v>33</v>
      </c>
      <c r="G181" s="599">
        <v>1320</v>
      </c>
      <c r="H181" s="599">
        <v>1</v>
      </c>
      <c r="I181" s="599">
        <v>40</v>
      </c>
      <c r="J181" s="599">
        <v>22</v>
      </c>
      <c r="K181" s="599">
        <v>880</v>
      </c>
      <c r="L181" s="599">
        <v>0.66666666666666663</v>
      </c>
      <c r="M181" s="599">
        <v>40</v>
      </c>
      <c r="N181" s="599">
        <v>8</v>
      </c>
      <c r="O181" s="599">
        <v>320</v>
      </c>
      <c r="P181" s="612">
        <v>0.24242424242424243</v>
      </c>
      <c r="Q181" s="600">
        <v>40</v>
      </c>
    </row>
    <row r="182" spans="1:17" ht="14.4" customHeight="1" x14ac:dyDescent="0.3">
      <c r="A182" s="595" t="s">
        <v>1712</v>
      </c>
      <c r="B182" s="596" t="s">
        <v>531</v>
      </c>
      <c r="C182" s="596" t="s">
        <v>1213</v>
      </c>
      <c r="D182" s="596" t="s">
        <v>1741</v>
      </c>
      <c r="E182" s="596" t="s">
        <v>1742</v>
      </c>
      <c r="F182" s="599">
        <v>2</v>
      </c>
      <c r="G182" s="599">
        <v>1206</v>
      </c>
      <c r="H182" s="599">
        <v>1</v>
      </c>
      <c r="I182" s="599">
        <v>603</v>
      </c>
      <c r="J182" s="599">
        <v>1</v>
      </c>
      <c r="K182" s="599">
        <v>604</v>
      </c>
      <c r="L182" s="599">
        <v>0.50082918739635163</v>
      </c>
      <c r="M182" s="599">
        <v>604</v>
      </c>
      <c r="N182" s="599">
        <v>1</v>
      </c>
      <c r="O182" s="599">
        <v>604</v>
      </c>
      <c r="P182" s="612">
        <v>0.50082918739635163</v>
      </c>
      <c r="Q182" s="600">
        <v>604</v>
      </c>
    </row>
    <row r="183" spans="1:17" ht="14.4" customHeight="1" x14ac:dyDescent="0.3">
      <c r="A183" s="595" t="s">
        <v>1712</v>
      </c>
      <c r="B183" s="596" t="s">
        <v>531</v>
      </c>
      <c r="C183" s="596" t="s">
        <v>1213</v>
      </c>
      <c r="D183" s="596" t="s">
        <v>1743</v>
      </c>
      <c r="E183" s="596" t="s">
        <v>1744</v>
      </c>
      <c r="F183" s="599">
        <v>3</v>
      </c>
      <c r="G183" s="599">
        <v>732</v>
      </c>
      <c r="H183" s="599">
        <v>1</v>
      </c>
      <c r="I183" s="599">
        <v>244</v>
      </c>
      <c r="J183" s="599">
        <v>4</v>
      </c>
      <c r="K183" s="599">
        <v>980</v>
      </c>
      <c r="L183" s="599">
        <v>1.3387978142076502</v>
      </c>
      <c r="M183" s="599">
        <v>245</v>
      </c>
      <c r="N183" s="599">
        <v>2</v>
      </c>
      <c r="O183" s="599">
        <v>490</v>
      </c>
      <c r="P183" s="612">
        <v>0.6693989071038251</v>
      </c>
      <c r="Q183" s="600">
        <v>245</v>
      </c>
    </row>
    <row r="184" spans="1:17" ht="14.4" customHeight="1" x14ac:dyDescent="0.3">
      <c r="A184" s="595" t="s">
        <v>1712</v>
      </c>
      <c r="B184" s="596" t="s">
        <v>531</v>
      </c>
      <c r="C184" s="596" t="s">
        <v>1213</v>
      </c>
      <c r="D184" s="596" t="s">
        <v>1745</v>
      </c>
      <c r="E184" s="596" t="s">
        <v>1746</v>
      </c>
      <c r="F184" s="599">
        <v>73</v>
      </c>
      <c r="G184" s="599">
        <v>1971</v>
      </c>
      <c r="H184" s="599">
        <v>1</v>
      </c>
      <c r="I184" s="599">
        <v>27</v>
      </c>
      <c r="J184" s="599">
        <v>114</v>
      </c>
      <c r="K184" s="599">
        <v>3078</v>
      </c>
      <c r="L184" s="599">
        <v>1.5616438356164384</v>
      </c>
      <c r="M184" s="599">
        <v>27</v>
      </c>
      <c r="N184" s="599">
        <v>34</v>
      </c>
      <c r="O184" s="599">
        <v>918</v>
      </c>
      <c r="P184" s="612">
        <v>0.46575342465753422</v>
      </c>
      <c r="Q184" s="600">
        <v>27</v>
      </c>
    </row>
    <row r="185" spans="1:17" ht="14.4" customHeight="1" x14ac:dyDescent="0.3">
      <c r="A185" s="595" t="s">
        <v>1747</v>
      </c>
      <c r="B185" s="596" t="s">
        <v>1601</v>
      </c>
      <c r="C185" s="596" t="s">
        <v>1213</v>
      </c>
      <c r="D185" s="596" t="s">
        <v>1748</v>
      </c>
      <c r="E185" s="596" t="s">
        <v>1749</v>
      </c>
      <c r="F185" s="599"/>
      <c r="G185" s="599"/>
      <c r="H185" s="599"/>
      <c r="I185" s="599"/>
      <c r="J185" s="599">
        <v>1</v>
      </c>
      <c r="K185" s="599">
        <v>545</v>
      </c>
      <c r="L185" s="599"/>
      <c r="M185" s="599">
        <v>545</v>
      </c>
      <c r="N185" s="599"/>
      <c r="O185" s="599"/>
      <c r="P185" s="612"/>
      <c r="Q185" s="600"/>
    </row>
    <row r="186" spans="1:17" ht="14.4" customHeight="1" x14ac:dyDescent="0.3">
      <c r="A186" s="595" t="s">
        <v>1747</v>
      </c>
      <c r="B186" s="596" t="s">
        <v>1601</v>
      </c>
      <c r="C186" s="596" t="s">
        <v>1213</v>
      </c>
      <c r="D186" s="596" t="s">
        <v>1750</v>
      </c>
      <c r="E186" s="596" t="s">
        <v>1751</v>
      </c>
      <c r="F186" s="599"/>
      <c r="G186" s="599"/>
      <c r="H186" s="599"/>
      <c r="I186" s="599"/>
      <c r="J186" s="599">
        <v>1</v>
      </c>
      <c r="K186" s="599">
        <v>650</v>
      </c>
      <c r="L186" s="599"/>
      <c r="M186" s="599">
        <v>650</v>
      </c>
      <c r="N186" s="599"/>
      <c r="O186" s="599"/>
      <c r="P186" s="612"/>
      <c r="Q186" s="600"/>
    </row>
    <row r="187" spans="1:17" ht="14.4" customHeight="1" x14ac:dyDescent="0.3">
      <c r="A187" s="595" t="s">
        <v>1747</v>
      </c>
      <c r="B187" s="596" t="s">
        <v>1601</v>
      </c>
      <c r="C187" s="596" t="s">
        <v>1213</v>
      </c>
      <c r="D187" s="596" t="s">
        <v>1752</v>
      </c>
      <c r="E187" s="596" t="s">
        <v>1753</v>
      </c>
      <c r="F187" s="599"/>
      <c r="G187" s="599"/>
      <c r="H187" s="599"/>
      <c r="I187" s="599"/>
      <c r="J187" s="599">
        <v>1</v>
      </c>
      <c r="K187" s="599">
        <v>650</v>
      </c>
      <c r="L187" s="599"/>
      <c r="M187" s="599">
        <v>650</v>
      </c>
      <c r="N187" s="599"/>
      <c r="O187" s="599"/>
      <c r="P187" s="612"/>
      <c r="Q187" s="600"/>
    </row>
    <row r="188" spans="1:17" ht="14.4" customHeight="1" x14ac:dyDescent="0.3">
      <c r="A188" s="595" t="s">
        <v>1747</v>
      </c>
      <c r="B188" s="596" t="s">
        <v>1601</v>
      </c>
      <c r="C188" s="596" t="s">
        <v>1213</v>
      </c>
      <c r="D188" s="596" t="s">
        <v>1754</v>
      </c>
      <c r="E188" s="596" t="s">
        <v>1755</v>
      </c>
      <c r="F188" s="599"/>
      <c r="G188" s="599"/>
      <c r="H188" s="599"/>
      <c r="I188" s="599"/>
      <c r="J188" s="599">
        <v>1</v>
      </c>
      <c r="K188" s="599">
        <v>310</v>
      </c>
      <c r="L188" s="599"/>
      <c r="M188" s="599">
        <v>310</v>
      </c>
      <c r="N188" s="599"/>
      <c r="O188" s="599"/>
      <c r="P188" s="612"/>
      <c r="Q188" s="600"/>
    </row>
    <row r="189" spans="1:17" ht="14.4" customHeight="1" x14ac:dyDescent="0.3">
      <c r="A189" s="595" t="s">
        <v>1747</v>
      </c>
      <c r="B189" s="596" t="s">
        <v>1601</v>
      </c>
      <c r="C189" s="596" t="s">
        <v>1213</v>
      </c>
      <c r="D189" s="596" t="s">
        <v>1756</v>
      </c>
      <c r="E189" s="596" t="s">
        <v>1757</v>
      </c>
      <c r="F189" s="599">
        <v>4</v>
      </c>
      <c r="G189" s="599">
        <v>92</v>
      </c>
      <c r="H189" s="599">
        <v>1</v>
      </c>
      <c r="I189" s="599">
        <v>23</v>
      </c>
      <c r="J189" s="599"/>
      <c r="K189" s="599"/>
      <c r="L189" s="599"/>
      <c r="M189" s="599"/>
      <c r="N189" s="599"/>
      <c r="O189" s="599"/>
      <c r="P189" s="612"/>
      <c r="Q189" s="600"/>
    </row>
    <row r="190" spans="1:17" ht="14.4" customHeight="1" x14ac:dyDescent="0.3">
      <c r="A190" s="595" t="s">
        <v>1747</v>
      </c>
      <c r="B190" s="596" t="s">
        <v>1601</v>
      </c>
      <c r="C190" s="596" t="s">
        <v>1213</v>
      </c>
      <c r="D190" s="596" t="s">
        <v>1394</v>
      </c>
      <c r="E190" s="596" t="s">
        <v>1395</v>
      </c>
      <c r="F190" s="599">
        <v>4</v>
      </c>
      <c r="G190" s="599">
        <v>4944</v>
      </c>
      <c r="H190" s="599">
        <v>1</v>
      </c>
      <c r="I190" s="599">
        <v>1236</v>
      </c>
      <c r="J190" s="599"/>
      <c r="K190" s="599"/>
      <c r="L190" s="599"/>
      <c r="M190" s="599"/>
      <c r="N190" s="599"/>
      <c r="O190" s="599"/>
      <c r="P190" s="612"/>
      <c r="Q190" s="600"/>
    </row>
    <row r="191" spans="1:17" ht="14.4" customHeight="1" x14ac:dyDescent="0.3">
      <c r="A191" s="595" t="s">
        <v>1747</v>
      </c>
      <c r="B191" s="596" t="s">
        <v>1601</v>
      </c>
      <c r="C191" s="596" t="s">
        <v>1213</v>
      </c>
      <c r="D191" s="596" t="s">
        <v>1758</v>
      </c>
      <c r="E191" s="596" t="s">
        <v>1759</v>
      </c>
      <c r="F191" s="599">
        <v>1</v>
      </c>
      <c r="G191" s="599">
        <v>4990</v>
      </c>
      <c r="H191" s="599">
        <v>1</v>
      </c>
      <c r="I191" s="599">
        <v>4990</v>
      </c>
      <c r="J191" s="599"/>
      <c r="K191" s="599"/>
      <c r="L191" s="599"/>
      <c r="M191" s="599"/>
      <c r="N191" s="599"/>
      <c r="O191" s="599"/>
      <c r="P191" s="612"/>
      <c r="Q191" s="600"/>
    </row>
    <row r="192" spans="1:17" ht="14.4" customHeight="1" x14ac:dyDescent="0.3">
      <c r="A192" s="595" t="s">
        <v>1747</v>
      </c>
      <c r="B192" s="596" t="s">
        <v>1601</v>
      </c>
      <c r="C192" s="596" t="s">
        <v>1213</v>
      </c>
      <c r="D192" s="596" t="s">
        <v>1760</v>
      </c>
      <c r="E192" s="596" t="s">
        <v>1761</v>
      </c>
      <c r="F192" s="599"/>
      <c r="G192" s="599"/>
      <c r="H192" s="599"/>
      <c r="I192" s="599"/>
      <c r="J192" s="599">
        <v>1</v>
      </c>
      <c r="K192" s="599">
        <v>686</v>
      </c>
      <c r="L192" s="599"/>
      <c r="M192" s="599">
        <v>686</v>
      </c>
      <c r="N192" s="599"/>
      <c r="O192" s="599"/>
      <c r="P192" s="612"/>
      <c r="Q192" s="600"/>
    </row>
    <row r="193" spans="1:17" ht="14.4" customHeight="1" x14ac:dyDescent="0.3">
      <c r="A193" s="595" t="s">
        <v>1747</v>
      </c>
      <c r="B193" s="596" t="s">
        <v>1601</v>
      </c>
      <c r="C193" s="596" t="s">
        <v>1213</v>
      </c>
      <c r="D193" s="596" t="s">
        <v>1762</v>
      </c>
      <c r="E193" s="596" t="s">
        <v>1763</v>
      </c>
      <c r="F193" s="599"/>
      <c r="G193" s="599"/>
      <c r="H193" s="599"/>
      <c r="I193" s="599"/>
      <c r="J193" s="599">
        <v>1</v>
      </c>
      <c r="K193" s="599">
        <v>347</v>
      </c>
      <c r="L193" s="599"/>
      <c r="M193" s="599">
        <v>347</v>
      </c>
      <c r="N193" s="599"/>
      <c r="O193" s="599"/>
      <c r="P193" s="612"/>
      <c r="Q193" s="600"/>
    </row>
    <row r="194" spans="1:17" ht="14.4" customHeight="1" x14ac:dyDescent="0.3">
      <c r="A194" s="595" t="s">
        <v>1747</v>
      </c>
      <c r="B194" s="596" t="s">
        <v>1601</v>
      </c>
      <c r="C194" s="596" t="s">
        <v>1213</v>
      </c>
      <c r="D194" s="596" t="s">
        <v>1764</v>
      </c>
      <c r="E194" s="596" t="s">
        <v>1765</v>
      </c>
      <c r="F194" s="599"/>
      <c r="G194" s="599"/>
      <c r="H194" s="599"/>
      <c r="I194" s="599"/>
      <c r="J194" s="599">
        <v>1</v>
      </c>
      <c r="K194" s="599">
        <v>650</v>
      </c>
      <c r="L194" s="599"/>
      <c r="M194" s="599">
        <v>650</v>
      </c>
      <c r="N194" s="599"/>
      <c r="O194" s="599"/>
      <c r="P194" s="612"/>
      <c r="Q194" s="600"/>
    </row>
    <row r="195" spans="1:17" ht="14.4" customHeight="1" x14ac:dyDescent="0.3">
      <c r="A195" s="595" t="s">
        <v>1747</v>
      </c>
      <c r="B195" s="596" t="s">
        <v>1601</v>
      </c>
      <c r="C195" s="596" t="s">
        <v>1213</v>
      </c>
      <c r="D195" s="596" t="s">
        <v>1766</v>
      </c>
      <c r="E195" s="596" t="s">
        <v>1767</v>
      </c>
      <c r="F195" s="599"/>
      <c r="G195" s="599"/>
      <c r="H195" s="599"/>
      <c r="I195" s="599"/>
      <c r="J195" s="599">
        <v>1</v>
      </c>
      <c r="K195" s="599">
        <v>650</v>
      </c>
      <c r="L195" s="599"/>
      <c r="M195" s="599">
        <v>650</v>
      </c>
      <c r="N195" s="599"/>
      <c r="O195" s="599"/>
      <c r="P195" s="612"/>
      <c r="Q195" s="600"/>
    </row>
    <row r="196" spans="1:17" ht="14.4" customHeight="1" x14ac:dyDescent="0.3">
      <c r="A196" s="595" t="s">
        <v>1747</v>
      </c>
      <c r="B196" s="596" t="s">
        <v>1601</v>
      </c>
      <c r="C196" s="596" t="s">
        <v>1213</v>
      </c>
      <c r="D196" s="596" t="s">
        <v>1768</v>
      </c>
      <c r="E196" s="596" t="s">
        <v>1769</v>
      </c>
      <c r="F196" s="599">
        <v>12</v>
      </c>
      <c r="G196" s="599">
        <v>5064</v>
      </c>
      <c r="H196" s="599">
        <v>1</v>
      </c>
      <c r="I196" s="599">
        <v>422</v>
      </c>
      <c r="J196" s="599"/>
      <c r="K196" s="599"/>
      <c r="L196" s="599"/>
      <c r="M196" s="599"/>
      <c r="N196" s="599"/>
      <c r="O196" s="599"/>
      <c r="P196" s="612"/>
      <c r="Q196" s="600"/>
    </row>
    <row r="197" spans="1:17" ht="14.4" customHeight="1" x14ac:dyDescent="0.3">
      <c r="A197" s="595" t="s">
        <v>1747</v>
      </c>
      <c r="B197" s="596" t="s">
        <v>1601</v>
      </c>
      <c r="C197" s="596" t="s">
        <v>1213</v>
      </c>
      <c r="D197" s="596" t="s">
        <v>1578</v>
      </c>
      <c r="E197" s="596" t="s">
        <v>1579</v>
      </c>
      <c r="F197" s="599">
        <v>12</v>
      </c>
      <c r="G197" s="599">
        <v>12000</v>
      </c>
      <c r="H197" s="599">
        <v>1</v>
      </c>
      <c r="I197" s="599">
        <v>1000</v>
      </c>
      <c r="J197" s="599"/>
      <c r="K197" s="599"/>
      <c r="L197" s="599"/>
      <c r="M197" s="599"/>
      <c r="N197" s="599"/>
      <c r="O197" s="599"/>
      <c r="P197" s="612"/>
      <c r="Q197" s="600"/>
    </row>
    <row r="198" spans="1:17" ht="14.4" customHeight="1" x14ac:dyDescent="0.3">
      <c r="A198" s="595" t="s">
        <v>1747</v>
      </c>
      <c r="B198" s="596" t="s">
        <v>1601</v>
      </c>
      <c r="C198" s="596" t="s">
        <v>1213</v>
      </c>
      <c r="D198" s="596" t="s">
        <v>1770</v>
      </c>
      <c r="E198" s="596" t="s">
        <v>1771</v>
      </c>
      <c r="F198" s="599"/>
      <c r="G198" s="599"/>
      <c r="H198" s="599"/>
      <c r="I198" s="599"/>
      <c r="J198" s="599">
        <v>1</v>
      </c>
      <c r="K198" s="599">
        <v>1395</v>
      </c>
      <c r="L198" s="599"/>
      <c r="M198" s="599">
        <v>1395</v>
      </c>
      <c r="N198" s="599"/>
      <c r="O198" s="599"/>
      <c r="P198" s="612"/>
      <c r="Q198" s="600"/>
    </row>
    <row r="199" spans="1:17" ht="14.4" customHeight="1" thickBot="1" x14ac:dyDescent="0.35">
      <c r="A199" s="601" t="s">
        <v>1747</v>
      </c>
      <c r="B199" s="602" t="s">
        <v>1601</v>
      </c>
      <c r="C199" s="602" t="s">
        <v>1213</v>
      </c>
      <c r="D199" s="602" t="s">
        <v>1772</v>
      </c>
      <c r="E199" s="602" t="s">
        <v>1773</v>
      </c>
      <c r="F199" s="605">
        <v>3</v>
      </c>
      <c r="G199" s="605">
        <v>3045</v>
      </c>
      <c r="H199" s="605">
        <v>1</v>
      </c>
      <c r="I199" s="605">
        <v>1015</v>
      </c>
      <c r="J199" s="605">
        <v>1</v>
      </c>
      <c r="K199" s="605">
        <v>1016</v>
      </c>
      <c r="L199" s="605">
        <v>0.33366174055829229</v>
      </c>
      <c r="M199" s="605">
        <v>1016</v>
      </c>
      <c r="N199" s="605"/>
      <c r="O199" s="605"/>
      <c r="P199" s="613"/>
      <c r="Q199" s="60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9" bestFit="1" customWidth="1"/>
    <col min="2" max="2" width="15.6640625" style="179" bestFit="1" customWidth="1"/>
    <col min="3" max="5" width="8.33203125" style="189" customWidth="1"/>
    <col min="6" max="6" width="6.109375" style="190" customWidth="1"/>
    <col min="7" max="9" width="8.33203125" style="191" customWidth="1"/>
    <col min="10" max="10" width="6.109375" style="190" customWidth="1"/>
    <col min="11" max="13" width="8.33203125" style="191" customWidth="1"/>
    <col min="14" max="14" width="8.33203125" style="189" customWidth="1"/>
    <col min="15" max="16384" width="8.88671875" style="179"/>
  </cols>
  <sheetData>
    <row r="1" spans="1:14" ht="18.600000000000001" customHeight="1" thickBot="1" x14ac:dyDescent="0.4">
      <c r="A1" s="543" t="s">
        <v>165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</row>
    <row r="2" spans="1:14" ht="14.4" customHeight="1" thickBot="1" x14ac:dyDescent="0.35">
      <c r="A2" s="369" t="s">
        <v>271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ht="14.4" customHeight="1" thickBot="1" x14ac:dyDescent="0.35">
      <c r="A3" s="181"/>
      <c r="B3" s="182" t="s">
        <v>145</v>
      </c>
      <c r="C3" s="183">
        <f>SUBTOTAL(9,C6:C1048576)</f>
        <v>1918</v>
      </c>
      <c r="D3" s="184">
        <f>SUBTOTAL(9,D6:D1048576)</f>
        <v>2393</v>
      </c>
      <c r="E3" s="184">
        <f>SUBTOTAL(9,E6:E1048576)</f>
        <v>2035</v>
      </c>
      <c r="F3" s="185">
        <f>IF(OR(E3=0,C3=0),"",E3/C3)</f>
        <v>1.0610010427528676</v>
      </c>
      <c r="G3" s="186">
        <f>SUBTOTAL(9,G6:G1048576)</f>
        <v>8503331</v>
      </c>
      <c r="H3" s="187">
        <f>SUBTOTAL(9,H6:H1048576)</f>
        <v>9666756</v>
      </c>
      <c r="I3" s="187">
        <f>SUBTOTAL(9,I6:I1048576)</f>
        <v>8507907</v>
      </c>
      <c r="J3" s="185">
        <f>IF(OR(I3=0,G3=0),"",I3/G3)</f>
        <v>1.0005381420528026</v>
      </c>
      <c r="K3" s="186">
        <f>SUBTOTAL(9,K6:K1048576)</f>
        <v>2100480</v>
      </c>
      <c r="L3" s="187">
        <f>SUBTOTAL(9,L6:L1048576)</f>
        <v>2309280</v>
      </c>
      <c r="M3" s="187">
        <f>SUBTOTAL(9,M6:M1048576)</f>
        <v>2031400</v>
      </c>
      <c r="N3" s="188">
        <f>IF(OR(M3=0,E3=0),"",M3/E3)</f>
        <v>998.23095823095821</v>
      </c>
    </row>
    <row r="4" spans="1:14" ht="14.4" customHeight="1" x14ac:dyDescent="0.3">
      <c r="A4" s="545" t="s">
        <v>80</v>
      </c>
      <c r="B4" s="546" t="s">
        <v>14</v>
      </c>
      <c r="C4" s="547" t="s">
        <v>81</v>
      </c>
      <c r="D4" s="547"/>
      <c r="E4" s="547"/>
      <c r="F4" s="548"/>
      <c r="G4" s="549" t="s">
        <v>17</v>
      </c>
      <c r="H4" s="547"/>
      <c r="I4" s="547"/>
      <c r="J4" s="548"/>
      <c r="K4" s="549" t="s">
        <v>82</v>
      </c>
      <c r="L4" s="547"/>
      <c r="M4" s="547"/>
      <c r="N4" s="550"/>
    </row>
    <row r="5" spans="1:14" ht="14.4" customHeight="1" thickBot="1" x14ac:dyDescent="0.35">
      <c r="A5" s="744"/>
      <c r="B5" s="745"/>
      <c r="C5" s="752">
        <v>2012</v>
      </c>
      <c r="D5" s="752">
        <v>2013</v>
      </c>
      <c r="E5" s="752">
        <v>2014</v>
      </c>
      <c r="F5" s="753" t="s">
        <v>5</v>
      </c>
      <c r="G5" s="763">
        <v>2012</v>
      </c>
      <c r="H5" s="752">
        <v>2013</v>
      </c>
      <c r="I5" s="752">
        <v>2014</v>
      </c>
      <c r="J5" s="753" t="s">
        <v>5</v>
      </c>
      <c r="K5" s="763">
        <v>2012</v>
      </c>
      <c r="L5" s="752">
        <v>2013</v>
      </c>
      <c r="M5" s="752">
        <v>2014</v>
      </c>
      <c r="N5" s="770" t="s">
        <v>83</v>
      </c>
    </row>
    <row r="6" spans="1:14" ht="14.4" customHeight="1" x14ac:dyDescent="0.3">
      <c r="A6" s="746" t="s">
        <v>1238</v>
      </c>
      <c r="B6" s="749" t="s">
        <v>1775</v>
      </c>
      <c r="C6" s="754">
        <v>1401</v>
      </c>
      <c r="D6" s="755">
        <v>1657</v>
      </c>
      <c r="E6" s="755">
        <v>1323</v>
      </c>
      <c r="F6" s="760">
        <v>0.94432548179871523</v>
      </c>
      <c r="G6" s="764">
        <v>1183985</v>
      </c>
      <c r="H6" s="765">
        <v>1413629</v>
      </c>
      <c r="I6" s="765">
        <v>1129974</v>
      </c>
      <c r="J6" s="760">
        <v>0.95438202342090483</v>
      </c>
      <c r="K6" s="764">
        <v>84060</v>
      </c>
      <c r="L6" s="765">
        <v>99420</v>
      </c>
      <c r="M6" s="765">
        <v>79380</v>
      </c>
      <c r="N6" s="771">
        <v>60</v>
      </c>
    </row>
    <row r="7" spans="1:14" ht="14.4" customHeight="1" x14ac:dyDescent="0.3">
      <c r="A7" s="747" t="s">
        <v>1214</v>
      </c>
      <c r="B7" s="750" t="s">
        <v>1775</v>
      </c>
      <c r="C7" s="756">
        <v>57</v>
      </c>
      <c r="D7" s="757">
        <v>81</v>
      </c>
      <c r="E7" s="757">
        <v>117</v>
      </c>
      <c r="F7" s="761">
        <v>2.0526315789473686</v>
      </c>
      <c r="G7" s="766">
        <v>8772</v>
      </c>
      <c r="H7" s="767">
        <v>12611</v>
      </c>
      <c r="I7" s="767">
        <v>18216</v>
      </c>
      <c r="J7" s="761">
        <v>2.076607387140903</v>
      </c>
      <c r="K7" s="766">
        <v>3420</v>
      </c>
      <c r="L7" s="767">
        <v>4860</v>
      </c>
      <c r="M7" s="767">
        <v>7020</v>
      </c>
      <c r="N7" s="772">
        <v>60</v>
      </c>
    </row>
    <row r="8" spans="1:14" ht="14.4" customHeight="1" x14ac:dyDescent="0.3">
      <c r="A8" s="747" t="s">
        <v>1266</v>
      </c>
      <c r="B8" s="750" t="s">
        <v>1776</v>
      </c>
      <c r="C8" s="756">
        <v>94</v>
      </c>
      <c r="D8" s="757">
        <v>44</v>
      </c>
      <c r="E8" s="757">
        <v>43</v>
      </c>
      <c r="F8" s="761">
        <v>0.45744680851063829</v>
      </c>
      <c r="G8" s="766">
        <v>2449593</v>
      </c>
      <c r="H8" s="767">
        <v>1146956</v>
      </c>
      <c r="I8" s="767">
        <v>1120945</v>
      </c>
      <c r="J8" s="761">
        <v>0.45760458982369723</v>
      </c>
      <c r="K8" s="766">
        <v>752000</v>
      </c>
      <c r="L8" s="767">
        <v>352000</v>
      </c>
      <c r="M8" s="767">
        <v>344000</v>
      </c>
      <c r="N8" s="772">
        <v>8000</v>
      </c>
    </row>
    <row r="9" spans="1:14" ht="14.4" customHeight="1" x14ac:dyDescent="0.3">
      <c r="A9" s="747" t="s">
        <v>1282</v>
      </c>
      <c r="B9" s="750" t="s">
        <v>1776</v>
      </c>
      <c r="C9" s="756">
        <v>146</v>
      </c>
      <c r="D9" s="757">
        <v>159</v>
      </c>
      <c r="E9" s="757">
        <v>142</v>
      </c>
      <c r="F9" s="761">
        <v>0.9726027397260274</v>
      </c>
      <c r="G9" s="766">
        <v>3248865</v>
      </c>
      <c r="H9" s="767">
        <v>3539342</v>
      </c>
      <c r="I9" s="767">
        <v>3161133</v>
      </c>
      <c r="J9" s="761">
        <v>0.97299610787151825</v>
      </c>
      <c r="K9" s="766">
        <v>876000</v>
      </c>
      <c r="L9" s="767">
        <v>954000</v>
      </c>
      <c r="M9" s="767">
        <v>852000</v>
      </c>
      <c r="N9" s="772">
        <v>6000</v>
      </c>
    </row>
    <row r="10" spans="1:14" ht="14.4" customHeight="1" x14ac:dyDescent="0.3">
      <c r="A10" s="747" t="s">
        <v>1268</v>
      </c>
      <c r="B10" s="750" t="s">
        <v>1776</v>
      </c>
      <c r="C10" s="756">
        <v>55</v>
      </c>
      <c r="D10" s="757">
        <v>149</v>
      </c>
      <c r="E10" s="757">
        <v>113</v>
      </c>
      <c r="F10" s="761">
        <v>2.0545454545454547</v>
      </c>
      <c r="G10" s="766">
        <v>676269</v>
      </c>
      <c r="H10" s="767">
        <v>1833246</v>
      </c>
      <c r="I10" s="767">
        <v>1390442</v>
      </c>
      <c r="J10" s="761">
        <v>2.0560487025133489</v>
      </c>
      <c r="K10" s="766">
        <v>220000</v>
      </c>
      <c r="L10" s="767">
        <v>596000</v>
      </c>
      <c r="M10" s="767">
        <v>452000</v>
      </c>
      <c r="N10" s="772">
        <v>4000</v>
      </c>
    </row>
    <row r="11" spans="1:14" ht="14.4" customHeight="1" thickBot="1" x14ac:dyDescent="0.35">
      <c r="A11" s="748" t="s">
        <v>1280</v>
      </c>
      <c r="B11" s="751" t="s">
        <v>1776</v>
      </c>
      <c r="C11" s="758">
        <v>165</v>
      </c>
      <c r="D11" s="759">
        <v>303</v>
      </c>
      <c r="E11" s="759">
        <v>297</v>
      </c>
      <c r="F11" s="762">
        <v>1.8</v>
      </c>
      <c r="G11" s="768">
        <v>935847</v>
      </c>
      <c r="H11" s="769">
        <v>1720972</v>
      </c>
      <c r="I11" s="769">
        <v>1687197</v>
      </c>
      <c r="J11" s="762">
        <v>1.8028555949850777</v>
      </c>
      <c r="K11" s="768">
        <v>165000</v>
      </c>
      <c r="L11" s="769">
        <v>303000</v>
      </c>
      <c r="M11" s="769">
        <v>297000</v>
      </c>
      <c r="N11" s="773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46" bestFit="1" customWidth="1"/>
    <col min="2" max="3" width="9.5546875" style="246" customWidth="1"/>
    <col min="4" max="4" width="2.44140625" style="246" customWidth="1"/>
    <col min="5" max="8" width="9.5546875" style="246" customWidth="1"/>
    <col min="9" max="16384" width="8.88671875" style="246"/>
  </cols>
  <sheetData>
    <row r="1" spans="1:8" ht="18.600000000000001" customHeight="1" thickBot="1" x14ac:dyDescent="0.4">
      <c r="A1" s="445" t="s">
        <v>160</v>
      </c>
      <c r="B1" s="445"/>
      <c r="C1" s="445"/>
      <c r="D1" s="445"/>
      <c r="E1" s="445"/>
      <c r="F1" s="445"/>
      <c r="G1" s="446"/>
      <c r="H1" s="446"/>
    </row>
    <row r="2" spans="1:8" ht="14.4" customHeight="1" thickBot="1" x14ac:dyDescent="0.35">
      <c r="A2" s="369" t="s">
        <v>271</v>
      </c>
      <c r="B2" s="216"/>
      <c r="C2" s="216"/>
      <c r="D2" s="216"/>
      <c r="E2" s="216"/>
      <c r="F2" s="216"/>
    </row>
    <row r="3" spans="1:8" ht="14.4" customHeight="1" x14ac:dyDescent="0.3">
      <c r="A3" s="447"/>
      <c r="B3" s="212">
        <v>2012</v>
      </c>
      <c r="C3" s="44">
        <v>2013</v>
      </c>
      <c r="D3" s="11"/>
      <c r="E3" s="451">
        <v>2014</v>
      </c>
      <c r="F3" s="452"/>
      <c r="G3" s="452"/>
      <c r="H3" s="453"/>
    </row>
    <row r="4" spans="1:8" ht="14.4" customHeight="1" thickBot="1" x14ac:dyDescent="0.35">
      <c r="A4" s="448"/>
      <c r="B4" s="449" t="s">
        <v>84</v>
      </c>
      <c r="C4" s="450"/>
      <c r="D4" s="11"/>
      <c r="E4" s="233" t="s">
        <v>84</v>
      </c>
      <c r="F4" s="214" t="s">
        <v>85</v>
      </c>
      <c r="G4" s="214" t="s">
        <v>59</v>
      </c>
      <c r="H4" s="215" t="s">
        <v>86</v>
      </c>
    </row>
    <row r="5" spans="1:8" ht="14.4" customHeight="1" x14ac:dyDescent="0.3">
      <c r="A5" s="217" t="str">
        <f>HYPERLINK("#'Léky Žádanky'!A1","Léky (Kč)")</f>
        <v>Léky (Kč)</v>
      </c>
      <c r="B5" s="31">
        <v>878.38287000000003</v>
      </c>
      <c r="C5" s="33">
        <v>427.88287000000003</v>
      </c>
      <c r="D5" s="12"/>
      <c r="E5" s="222">
        <v>354.81232</v>
      </c>
      <c r="F5" s="32">
        <v>438</v>
      </c>
      <c r="G5" s="221">
        <f>E5-F5</f>
        <v>-83.18768</v>
      </c>
      <c r="H5" s="227">
        <f>IF(F5&lt;0.00000001,"",E5/F5)</f>
        <v>0.81007378995433788</v>
      </c>
    </row>
    <row r="6" spans="1:8" ht="14.4" customHeight="1" x14ac:dyDescent="0.3">
      <c r="A6" s="217" t="str">
        <f>HYPERLINK("#'Materiál Žádanky'!A1","Materiál - SZM (Kč)")</f>
        <v>Materiál - SZM (Kč)</v>
      </c>
      <c r="B6" s="14">
        <v>408.68194</v>
      </c>
      <c r="C6" s="35">
        <v>550.34843000000001</v>
      </c>
      <c r="D6" s="12"/>
      <c r="E6" s="223">
        <v>502.59260000000103</v>
      </c>
      <c r="F6" s="34">
        <v>652</v>
      </c>
      <c r="G6" s="224">
        <f>E6-F6</f>
        <v>-149.40739999999897</v>
      </c>
      <c r="H6" s="228">
        <f>IF(F6&lt;0.00000001,"",E6/F6)</f>
        <v>0.77084754601227157</v>
      </c>
    </row>
    <row r="7" spans="1:8" ht="14.4" customHeight="1" x14ac:dyDescent="0.3">
      <c r="A7" s="434" t="str">
        <f>HYPERLINK("#'Osobní náklady'!A1","Osobní náklady (Kč) *")</f>
        <v>Osobní náklady (Kč) *</v>
      </c>
      <c r="B7" s="14">
        <v>6329.0277500000002</v>
      </c>
      <c r="C7" s="35">
        <v>6264.2882900000004</v>
      </c>
      <c r="D7" s="12"/>
      <c r="E7" s="223">
        <v>6202.7014600000202</v>
      </c>
      <c r="F7" s="34">
        <v>7213</v>
      </c>
      <c r="G7" s="224">
        <f>E7-F7</f>
        <v>-1010.2985399999798</v>
      </c>
      <c r="H7" s="228">
        <f>IF(F7&lt;0.00000001,"",E7/F7)</f>
        <v>0.85993365589907389</v>
      </c>
    </row>
    <row r="8" spans="1:8" ht="14.4" customHeight="1" thickBot="1" x14ac:dyDescent="0.35">
      <c r="A8" s="1" t="s">
        <v>87</v>
      </c>
      <c r="B8" s="15">
        <v>1716.47847</v>
      </c>
      <c r="C8" s="37">
        <v>1366.32223</v>
      </c>
      <c r="D8" s="12"/>
      <c r="E8" s="225">
        <v>1391.4883</v>
      </c>
      <c r="F8" s="36">
        <v>1691</v>
      </c>
      <c r="G8" s="226">
        <f>E8-F8</f>
        <v>-299.51170000000002</v>
      </c>
      <c r="H8" s="229">
        <f>IF(F8&lt;0.00000001,"",E8/F8)</f>
        <v>0.82287894736842104</v>
      </c>
    </row>
    <row r="9" spans="1:8" ht="14.4" customHeight="1" thickBot="1" x14ac:dyDescent="0.35">
      <c r="A9" s="2" t="s">
        <v>88</v>
      </c>
      <c r="B9" s="3">
        <v>9332.5710299999992</v>
      </c>
      <c r="C9" s="39">
        <v>8608.8418199999996</v>
      </c>
      <c r="D9" s="12"/>
      <c r="E9" s="3">
        <v>8451.5946800000202</v>
      </c>
      <c r="F9" s="38">
        <v>9994</v>
      </c>
      <c r="G9" s="38">
        <f>E9-F9</f>
        <v>-1542.4053199999798</v>
      </c>
      <c r="H9" s="230">
        <f>IF(F9&lt;0.00000001,"",E9/F9)</f>
        <v>0.84566686812087455</v>
      </c>
    </row>
    <row r="10" spans="1:8" ht="14.4" customHeight="1" thickBot="1" x14ac:dyDescent="0.35">
      <c r="A10" s="16"/>
      <c r="B10" s="16"/>
      <c r="C10" s="213"/>
      <c r="D10" s="12"/>
      <c r="E10" s="16"/>
      <c r="F10" s="17"/>
    </row>
    <row r="11" spans="1:8" ht="14.4" customHeight="1" x14ac:dyDescent="0.3">
      <c r="A11" s="249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22">
        <f>IF(ISERROR(VLOOKUP("Celkem:",#REF!,6,0)),0,VLOOKUP("Celkem:",#REF!,6,0)/1000)</f>
        <v>0</v>
      </c>
      <c r="F11" s="32">
        <f>B11</f>
        <v>0</v>
      </c>
      <c r="G11" s="221">
        <f>E11-F11</f>
        <v>0</v>
      </c>
      <c r="H11" s="227" t="str">
        <f>IF(F11&lt;0.00000001,"",E11/F11)</f>
        <v/>
      </c>
    </row>
    <row r="12" spans="1:8" ht="14.4" customHeight="1" thickBot="1" x14ac:dyDescent="0.35">
      <c r="A12" s="250" t="str">
        <f>HYPERLINK("#CaseMix!A1","Hospitalizace *")</f>
        <v>Hospitalizace *</v>
      </c>
      <c r="B12" s="15">
        <f>IF(ISERROR(VLOOKUP("Celkem",CaseMix!A:D,2,0)),0,VLOOKUP("Celkem",CaseMix!A:D,2,0)*30)</f>
        <v>24726.839999999997</v>
      </c>
      <c r="C12" s="37">
        <f>IF(ISERROR(VLOOKUP("Celkem",CaseMix!A:D,3,0)),0,VLOOKUP("Celkem",CaseMix!A:D,3,0)*30)</f>
        <v>26619.93</v>
      </c>
      <c r="D12" s="12"/>
      <c r="E12" s="225">
        <f>IF(ISERROR(VLOOKUP("Celkem",CaseMix!A:D,4,0)),0,VLOOKUP("Celkem",CaseMix!A:D,4,0)*30)</f>
        <v>19712.580000000002</v>
      </c>
      <c r="F12" s="36">
        <f>B12</f>
        <v>24726.839999999997</v>
      </c>
      <c r="G12" s="226">
        <f>E12-F12</f>
        <v>-5014.2599999999948</v>
      </c>
      <c r="H12" s="229">
        <f>IF(F12&lt;0.00000001,"",E12/F12)</f>
        <v>0.79721387771344843</v>
      </c>
    </row>
    <row r="13" spans="1:8" ht="14.4" customHeight="1" thickBot="1" x14ac:dyDescent="0.35">
      <c r="A13" s="4" t="s">
        <v>91</v>
      </c>
      <c r="B13" s="9">
        <f>SUM(B11:B12)</f>
        <v>24726.839999999997</v>
      </c>
      <c r="C13" s="41">
        <f>SUM(C11:C12)</f>
        <v>26619.93</v>
      </c>
      <c r="D13" s="12"/>
      <c r="E13" s="9">
        <f>SUM(E11:E12)</f>
        <v>19712.580000000002</v>
      </c>
      <c r="F13" s="40">
        <f>SUM(F11:F12)</f>
        <v>24726.839999999997</v>
      </c>
      <c r="G13" s="40">
        <f>E13-F13</f>
        <v>-5014.2599999999948</v>
      </c>
      <c r="H13" s="231">
        <f>IF(F13&lt;0.00000001,"",E13/F13)</f>
        <v>0.79721387771344843</v>
      </c>
    </row>
    <row r="14" spans="1:8" ht="14.4" customHeight="1" thickBot="1" x14ac:dyDescent="0.35">
      <c r="A14" s="16"/>
      <c r="B14" s="16"/>
      <c r="C14" s="213"/>
      <c r="D14" s="12"/>
      <c r="E14" s="16"/>
      <c r="F14" s="17"/>
    </row>
    <row r="15" spans="1:8" ht="14.4" customHeight="1" thickBot="1" x14ac:dyDescent="0.35">
      <c r="A15" s="251" t="str">
        <f>HYPERLINK("#'HI Graf'!A1","Hospodářský index (Výnosy / Náklady) *")</f>
        <v>Hospodářský index (Výnosy / Náklady) *</v>
      </c>
      <c r="B15" s="10">
        <f>IF(B9=0,"",B13/B9)</f>
        <v>2.6495206862625933</v>
      </c>
      <c r="C15" s="43">
        <f>IF(C9=0,"",C13/C9)</f>
        <v>3.0921615888163689</v>
      </c>
      <c r="D15" s="12"/>
      <c r="E15" s="10">
        <f>IF(E9=0,"",E13/E9)</f>
        <v>2.3324095329190531</v>
      </c>
      <c r="F15" s="42">
        <f>IF(F9=0,"",F13/F9)</f>
        <v>2.4741685011006602</v>
      </c>
      <c r="G15" s="42">
        <f>IF(ISERROR(F15-E15),"",E15-F15)</f>
        <v>-0.14175896818160716</v>
      </c>
      <c r="H15" s="232">
        <f>IF(ISERROR(F15-E15),"",IF(F15&lt;0.00000001,"",E15/F15))</f>
        <v>0.94270440023848656</v>
      </c>
    </row>
    <row r="17" spans="1:8" ht="14.4" customHeight="1" x14ac:dyDescent="0.3">
      <c r="A17" s="218" t="s">
        <v>181</v>
      </c>
    </row>
    <row r="18" spans="1:8" ht="14.4" customHeight="1" x14ac:dyDescent="0.3">
      <c r="A18" s="436" t="s">
        <v>268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267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19" t="s">
        <v>182</v>
      </c>
    </row>
    <row r="21" spans="1:8" ht="14.4" customHeight="1" x14ac:dyDescent="0.3">
      <c r="A21" s="219" t="s">
        <v>183</v>
      </c>
    </row>
    <row r="22" spans="1:8" ht="14.4" customHeight="1" x14ac:dyDescent="0.3">
      <c r="A22" s="220" t="s">
        <v>184</v>
      </c>
    </row>
    <row r="23" spans="1:8" ht="14.4" customHeight="1" x14ac:dyDescent="0.3">
      <c r="A23" s="220" t="s">
        <v>185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3" priority="4" operator="greaterThan">
      <formula>0</formula>
    </cfRule>
  </conditionalFormatting>
  <conditionalFormatting sqref="G11:G13 G15">
    <cfRule type="cellIs" dxfId="52" priority="3" operator="lessThan">
      <formula>0</formula>
    </cfRule>
  </conditionalFormatting>
  <conditionalFormatting sqref="H5:H9">
    <cfRule type="cellIs" dxfId="51" priority="2" operator="greaterThan">
      <formula>1</formula>
    </cfRule>
  </conditionalFormatting>
  <conditionalFormatting sqref="H11:H13 H15">
    <cfRule type="cellIs" dxfId="5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6"/>
    <col min="2" max="13" width="8.88671875" style="246" customWidth="1"/>
    <col min="14" max="16384" width="8.88671875" style="246"/>
  </cols>
  <sheetData>
    <row r="1" spans="1:13" ht="18.600000000000001" customHeight="1" thickBot="1" x14ac:dyDescent="0.4">
      <c r="A1" s="445" t="s">
        <v>118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</row>
    <row r="2" spans="1:13" ht="14.4" customHeight="1" x14ac:dyDescent="0.3">
      <c r="A2" s="369" t="s">
        <v>271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14.4" customHeight="1" x14ac:dyDescent="0.3">
      <c r="A3" s="318"/>
      <c r="B3" s="319" t="s">
        <v>93</v>
      </c>
      <c r="C3" s="320" t="s">
        <v>94</v>
      </c>
      <c r="D3" s="320" t="s">
        <v>95</v>
      </c>
      <c r="E3" s="319" t="s">
        <v>96</v>
      </c>
      <c r="F3" s="320" t="s">
        <v>97</v>
      </c>
      <c r="G3" s="320" t="s">
        <v>98</v>
      </c>
      <c r="H3" s="320" t="s">
        <v>99</v>
      </c>
      <c r="I3" s="320" t="s">
        <v>100</v>
      </c>
      <c r="J3" s="320" t="s">
        <v>101</v>
      </c>
      <c r="K3" s="320" t="s">
        <v>102</v>
      </c>
      <c r="L3" s="320" t="s">
        <v>103</v>
      </c>
      <c r="M3" s="320" t="s">
        <v>104</v>
      </c>
    </row>
    <row r="4" spans="1:13" ht="14.4" customHeight="1" x14ac:dyDescent="0.3">
      <c r="A4" s="318" t="s">
        <v>92</v>
      </c>
      <c r="B4" s="321">
        <f>(B10+B8)/B6</f>
        <v>1.2675280041835271</v>
      </c>
      <c r="C4" s="321">
        <f t="shared" ref="C4:M4" si="0">(C10+C8)/C6</f>
        <v>2.3324095329190531</v>
      </c>
      <c r="D4" s="321">
        <f t="shared" si="0"/>
        <v>0</v>
      </c>
      <c r="E4" s="321">
        <f t="shared" si="0"/>
        <v>0</v>
      </c>
      <c r="F4" s="321">
        <f t="shared" si="0"/>
        <v>0</v>
      </c>
      <c r="G4" s="321">
        <f t="shared" si="0"/>
        <v>0</v>
      </c>
      <c r="H4" s="321">
        <f t="shared" si="0"/>
        <v>0</v>
      </c>
      <c r="I4" s="321">
        <f t="shared" si="0"/>
        <v>0</v>
      </c>
      <c r="J4" s="321">
        <f t="shared" si="0"/>
        <v>0</v>
      </c>
      <c r="K4" s="321">
        <f t="shared" si="0"/>
        <v>0</v>
      </c>
      <c r="L4" s="321">
        <f t="shared" si="0"/>
        <v>0</v>
      </c>
      <c r="M4" s="321">
        <f t="shared" si="0"/>
        <v>0</v>
      </c>
    </row>
    <row r="5" spans="1:13" ht="14.4" customHeight="1" x14ac:dyDescent="0.3">
      <c r="A5" s="322" t="s">
        <v>43</v>
      </c>
      <c r="B5" s="321">
        <f>IF(ISERROR(VLOOKUP($A5,'Man Tab'!$A:$Q,COLUMN()+2,0)),0,VLOOKUP($A5,'Man Tab'!$A:$Q,COLUMN()+2,0))</f>
        <v>4215.5755000000199</v>
      </c>
      <c r="C5" s="321">
        <f>IF(ISERROR(VLOOKUP($A5,'Man Tab'!$A:$Q,COLUMN()+2,0)),0,VLOOKUP($A5,'Man Tab'!$A:$Q,COLUMN()+2,0))</f>
        <v>4236.0191800000002</v>
      </c>
      <c r="D5" s="321">
        <f>IF(ISERROR(VLOOKUP($A5,'Man Tab'!$A:$Q,COLUMN()+2,0)),0,VLOOKUP($A5,'Man Tab'!$A:$Q,COLUMN()+2,0))</f>
        <v>4.9406564584124654E-324</v>
      </c>
      <c r="E5" s="321">
        <f>IF(ISERROR(VLOOKUP($A5,'Man Tab'!$A:$Q,COLUMN()+2,0)),0,VLOOKUP($A5,'Man Tab'!$A:$Q,COLUMN()+2,0))</f>
        <v>4.9406564584124654E-324</v>
      </c>
      <c r="F5" s="321">
        <f>IF(ISERROR(VLOOKUP($A5,'Man Tab'!$A:$Q,COLUMN()+2,0)),0,VLOOKUP($A5,'Man Tab'!$A:$Q,COLUMN()+2,0))</f>
        <v>4.9406564584124654E-324</v>
      </c>
      <c r="G5" s="321">
        <f>IF(ISERROR(VLOOKUP($A5,'Man Tab'!$A:$Q,COLUMN()+2,0)),0,VLOOKUP($A5,'Man Tab'!$A:$Q,COLUMN()+2,0))</f>
        <v>4.9406564584124654E-324</v>
      </c>
      <c r="H5" s="321">
        <f>IF(ISERROR(VLOOKUP($A5,'Man Tab'!$A:$Q,COLUMN()+2,0)),0,VLOOKUP($A5,'Man Tab'!$A:$Q,COLUMN()+2,0))</f>
        <v>4.9406564584124654E-324</v>
      </c>
      <c r="I5" s="321">
        <f>IF(ISERROR(VLOOKUP($A5,'Man Tab'!$A:$Q,COLUMN()+2,0)),0,VLOOKUP($A5,'Man Tab'!$A:$Q,COLUMN()+2,0))</f>
        <v>4.9406564584124654E-324</v>
      </c>
      <c r="J5" s="321">
        <f>IF(ISERROR(VLOOKUP($A5,'Man Tab'!$A:$Q,COLUMN()+2,0)),0,VLOOKUP($A5,'Man Tab'!$A:$Q,COLUMN()+2,0))</f>
        <v>4.9406564584124654E-324</v>
      </c>
      <c r="K5" s="321">
        <f>IF(ISERROR(VLOOKUP($A5,'Man Tab'!$A:$Q,COLUMN()+2,0)),0,VLOOKUP($A5,'Man Tab'!$A:$Q,COLUMN()+2,0))</f>
        <v>4.9406564584124654E-324</v>
      </c>
      <c r="L5" s="321">
        <f>IF(ISERROR(VLOOKUP($A5,'Man Tab'!$A:$Q,COLUMN()+2,0)),0,VLOOKUP($A5,'Man Tab'!$A:$Q,COLUMN()+2,0))</f>
        <v>4.9406564584124654E-324</v>
      </c>
      <c r="M5" s="321">
        <f>IF(ISERROR(VLOOKUP($A5,'Man Tab'!$A:$Q,COLUMN()+2,0)),0,VLOOKUP($A5,'Man Tab'!$A:$Q,COLUMN()+2,0))</f>
        <v>4.9406564584124654E-324</v>
      </c>
    </row>
    <row r="6" spans="1:13" ht="14.4" customHeight="1" x14ac:dyDescent="0.3">
      <c r="A6" s="322" t="s">
        <v>88</v>
      </c>
      <c r="B6" s="323">
        <f>B5</f>
        <v>4215.5755000000199</v>
      </c>
      <c r="C6" s="323">
        <f t="shared" ref="C6:M6" si="1">C5+B6</f>
        <v>8451.5946800000202</v>
      </c>
      <c r="D6" s="323">
        <f t="shared" si="1"/>
        <v>8451.5946800000202</v>
      </c>
      <c r="E6" s="323">
        <f t="shared" si="1"/>
        <v>8451.5946800000202</v>
      </c>
      <c r="F6" s="323">
        <f t="shared" si="1"/>
        <v>8451.5946800000202</v>
      </c>
      <c r="G6" s="323">
        <f t="shared" si="1"/>
        <v>8451.5946800000202</v>
      </c>
      <c r="H6" s="323">
        <f t="shared" si="1"/>
        <v>8451.5946800000202</v>
      </c>
      <c r="I6" s="323">
        <f t="shared" si="1"/>
        <v>8451.5946800000202</v>
      </c>
      <c r="J6" s="323">
        <f t="shared" si="1"/>
        <v>8451.5946800000202</v>
      </c>
      <c r="K6" s="323">
        <f t="shared" si="1"/>
        <v>8451.5946800000202</v>
      </c>
      <c r="L6" s="323">
        <f t="shared" si="1"/>
        <v>8451.5946800000202</v>
      </c>
      <c r="M6" s="323">
        <f t="shared" si="1"/>
        <v>8451.5946800000202</v>
      </c>
    </row>
    <row r="7" spans="1:13" ht="14.4" customHeight="1" x14ac:dyDescent="0.3">
      <c r="A7" s="322" t="s">
        <v>116</v>
      </c>
      <c r="B7" s="322">
        <v>178.11199999999999</v>
      </c>
      <c r="C7" s="322">
        <v>657.08600000000001</v>
      </c>
      <c r="D7" s="322"/>
      <c r="E7" s="322"/>
      <c r="F7" s="322"/>
      <c r="G7" s="322"/>
      <c r="H7" s="322"/>
      <c r="I7" s="322"/>
      <c r="J7" s="322"/>
      <c r="K7" s="322"/>
      <c r="L7" s="322"/>
      <c r="M7" s="322"/>
    </row>
    <row r="8" spans="1:13" ht="14.4" customHeight="1" x14ac:dyDescent="0.3">
      <c r="A8" s="322" t="s">
        <v>89</v>
      </c>
      <c r="B8" s="323">
        <f>B7*30</f>
        <v>5343.36</v>
      </c>
      <c r="C8" s="323">
        <f t="shared" ref="C8:M8" si="2">C7*30</f>
        <v>19712.580000000002</v>
      </c>
      <c r="D8" s="323">
        <f t="shared" si="2"/>
        <v>0</v>
      </c>
      <c r="E8" s="323">
        <f t="shared" si="2"/>
        <v>0</v>
      </c>
      <c r="F8" s="323">
        <f t="shared" si="2"/>
        <v>0</v>
      </c>
      <c r="G8" s="323">
        <f t="shared" si="2"/>
        <v>0</v>
      </c>
      <c r="H8" s="323">
        <f t="shared" si="2"/>
        <v>0</v>
      </c>
      <c r="I8" s="323">
        <f t="shared" si="2"/>
        <v>0</v>
      </c>
      <c r="J8" s="323">
        <f t="shared" si="2"/>
        <v>0</v>
      </c>
      <c r="K8" s="323">
        <f t="shared" si="2"/>
        <v>0</v>
      </c>
      <c r="L8" s="323">
        <f t="shared" si="2"/>
        <v>0</v>
      </c>
      <c r="M8" s="323">
        <f t="shared" si="2"/>
        <v>0</v>
      </c>
    </row>
    <row r="9" spans="1:13" ht="14.4" customHeight="1" x14ac:dyDescent="0.3">
      <c r="A9" s="322" t="s">
        <v>117</v>
      </c>
      <c r="B9" s="322">
        <v>0</v>
      </c>
      <c r="C9" s="322">
        <v>0</v>
      </c>
      <c r="D9" s="322">
        <v>0</v>
      </c>
      <c r="E9" s="322">
        <v>0</v>
      </c>
      <c r="F9" s="322">
        <v>0</v>
      </c>
      <c r="G9" s="322">
        <v>0</v>
      </c>
      <c r="H9" s="322">
        <v>0</v>
      </c>
      <c r="I9" s="322">
        <v>0</v>
      </c>
      <c r="J9" s="322">
        <v>0</v>
      </c>
      <c r="K9" s="322">
        <v>0</v>
      </c>
      <c r="L9" s="322">
        <v>0</v>
      </c>
      <c r="M9" s="322">
        <v>0</v>
      </c>
    </row>
    <row r="10" spans="1:13" ht="14.4" customHeight="1" x14ac:dyDescent="0.3">
      <c r="A10" s="322" t="s">
        <v>90</v>
      </c>
      <c r="B10" s="323">
        <f>B9/1000</f>
        <v>0</v>
      </c>
      <c r="C10" s="323">
        <f t="shared" ref="C10:M10" si="3">C9/1000+B10</f>
        <v>0</v>
      </c>
      <c r="D10" s="323">
        <f t="shared" si="3"/>
        <v>0</v>
      </c>
      <c r="E10" s="323">
        <f t="shared" si="3"/>
        <v>0</v>
      </c>
      <c r="F10" s="323">
        <f t="shared" si="3"/>
        <v>0</v>
      </c>
      <c r="G10" s="323">
        <f t="shared" si="3"/>
        <v>0</v>
      </c>
      <c r="H10" s="323">
        <f t="shared" si="3"/>
        <v>0</v>
      </c>
      <c r="I10" s="323">
        <f t="shared" si="3"/>
        <v>0</v>
      </c>
      <c r="J10" s="323">
        <f t="shared" si="3"/>
        <v>0</v>
      </c>
      <c r="K10" s="323">
        <f t="shared" si="3"/>
        <v>0</v>
      </c>
      <c r="L10" s="323">
        <f t="shared" si="3"/>
        <v>0</v>
      </c>
      <c r="M10" s="323">
        <f t="shared" si="3"/>
        <v>0</v>
      </c>
    </row>
    <row r="11" spans="1:13" ht="14.4" customHeight="1" x14ac:dyDescent="0.3">
      <c r="A11" s="318"/>
      <c r="B11" s="318" t="s">
        <v>106</v>
      </c>
      <c r="C11" s="318">
        <f>COUNTIF(B7:M7,"&lt;&gt;")</f>
        <v>2</v>
      </c>
      <c r="D11" s="318"/>
      <c r="E11" s="318"/>
      <c r="F11" s="318"/>
      <c r="G11" s="318"/>
      <c r="H11" s="318"/>
      <c r="I11" s="318"/>
      <c r="J11" s="318"/>
      <c r="K11" s="318"/>
      <c r="L11" s="318"/>
      <c r="M11" s="318"/>
    </row>
    <row r="12" spans="1:13" ht="14.4" customHeight="1" x14ac:dyDescent="0.3">
      <c r="A12" s="318">
        <v>0</v>
      </c>
      <c r="B12" s="321">
        <f>IF(ISERROR(HI!F15),#REF!,HI!F15)</f>
        <v>2.4741685011006602</v>
      </c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</row>
    <row r="13" spans="1:13" ht="14.4" customHeight="1" x14ac:dyDescent="0.3">
      <c r="A13" s="318">
        <v>1</v>
      </c>
      <c r="B13" s="321">
        <f>IF(ISERROR(HI!F15),#REF!,HI!F15)</f>
        <v>2.4741685011006602</v>
      </c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6" bestFit="1" customWidth="1"/>
    <col min="2" max="2" width="12.77734375" style="246" bestFit="1" customWidth="1"/>
    <col min="3" max="3" width="13.6640625" style="246" bestFit="1" customWidth="1"/>
    <col min="4" max="15" width="7.77734375" style="246" bestFit="1" customWidth="1"/>
    <col min="16" max="16" width="8.88671875" style="246" customWidth="1"/>
    <col min="17" max="17" width="6.6640625" style="246" bestFit="1" customWidth="1"/>
    <col min="18" max="16384" width="8.88671875" style="246"/>
  </cols>
  <sheetData>
    <row r="1" spans="1:17" s="324" customFormat="1" ht="18.600000000000001" customHeight="1" thickBot="1" x14ac:dyDescent="0.4">
      <c r="A1" s="454" t="s">
        <v>273</v>
      </c>
      <c r="B1" s="454"/>
      <c r="C1" s="454"/>
      <c r="D1" s="454"/>
      <c r="E1" s="454"/>
      <c r="F1" s="454"/>
      <c r="G1" s="454"/>
      <c r="H1" s="445"/>
      <c r="I1" s="445"/>
      <c r="J1" s="445"/>
      <c r="K1" s="445"/>
      <c r="L1" s="445"/>
      <c r="M1" s="445"/>
      <c r="N1" s="445"/>
      <c r="O1" s="445"/>
      <c r="P1" s="445"/>
      <c r="Q1" s="445"/>
    </row>
    <row r="2" spans="1:17" s="324" customFormat="1" ht="14.4" customHeight="1" thickBot="1" x14ac:dyDescent="0.3">
      <c r="A2" s="369" t="s">
        <v>271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</row>
    <row r="3" spans="1:17" ht="14.4" customHeight="1" x14ac:dyDescent="0.3">
      <c r="A3" s="92"/>
      <c r="B3" s="455" t="s">
        <v>19</v>
      </c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255"/>
      <c r="Q3" s="257"/>
    </row>
    <row r="4" spans="1:17" ht="14.4" customHeight="1" x14ac:dyDescent="0.3">
      <c r="A4" s="93"/>
      <c r="B4" s="24">
        <v>2014</v>
      </c>
      <c r="C4" s="256" t="s">
        <v>20</v>
      </c>
      <c r="D4" s="234" t="s">
        <v>189</v>
      </c>
      <c r="E4" s="234" t="s">
        <v>190</v>
      </c>
      <c r="F4" s="234" t="s">
        <v>191</v>
      </c>
      <c r="G4" s="234" t="s">
        <v>192</v>
      </c>
      <c r="H4" s="234" t="s">
        <v>193</v>
      </c>
      <c r="I4" s="234" t="s">
        <v>194</v>
      </c>
      <c r="J4" s="234" t="s">
        <v>195</v>
      </c>
      <c r="K4" s="234" t="s">
        <v>196</v>
      </c>
      <c r="L4" s="234" t="s">
        <v>197</v>
      </c>
      <c r="M4" s="234" t="s">
        <v>198</v>
      </c>
      <c r="N4" s="234" t="s">
        <v>199</v>
      </c>
      <c r="O4" s="234" t="s">
        <v>200</v>
      </c>
      <c r="P4" s="457" t="s">
        <v>6</v>
      </c>
      <c r="Q4" s="458"/>
    </row>
    <row r="5" spans="1:17" ht="14.4" customHeight="1" thickBot="1" x14ac:dyDescent="0.35">
      <c r="A5" s="94"/>
      <c r="B5" s="25" t="s">
        <v>21</v>
      </c>
      <c r="C5" s="26" t="s">
        <v>21</v>
      </c>
      <c r="D5" s="26" t="s">
        <v>22</v>
      </c>
      <c r="E5" s="26" t="s">
        <v>22</v>
      </c>
      <c r="F5" s="26" t="s">
        <v>22</v>
      </c>
      <c r="G5" s="26" t="s">
        <v>22</v>
      </c>
      <c r="H5" s="26" t="s">
        <v>22</v>
      </c>
      <c r="I5" s="26" t="s">
        <v>22</v>
      </c>
      <c r="J5" s="26" t="s">
        <v>22</v>
      </c>
      <c r="K5" s="26" t="s">
        <v>22</v>
      </c>
      <c r="L5" s="26" t="s">
        <v>22</v>
      </c>
      <c r="M5" s="26" t="s">
        <v>22</v>
      </c>
      <c r="N5" s="26" t="s">
        <v>22</v>
      </c>
      <c r="O5" s="26" t="s">
        <v>22</v>
      </c>
      <c r="P5" s="26" t="s">
        <v>22</v>
      </c>
      <c r="Q5" s="27" t="s">
        <v>23</v>
      </c>
    </row>
    <row r="6" spans="1:17" ht="14.4" customHeight="1" x14ac:dyDescent="0.3">
      <c r="A6" s="18" t="s">
        <v>24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9.8813129168249309E-324</v>
      </c>
      <c r="Q6" s="175" t="s">
        <v>272</v>
      </c>
    </row>
    <row r="7" spans="1:17" ht="14.4" customHeight="1" x14ac:dyDescent="0.3">
      <c r="A7" s="19" t="s">
        <v>25</v>
      </c>
      <c r="B7" s="55">
        <v>2400.0735581344302</v>
      </c>
      <c r="C7" s="56">
        <v>200.00612984453599</v>
      </c>
      <c r="D7" s="56">
        <v>116.268430000001</v>
      </c>
      <c r="E7" s="56">
        <v>238.54389</v>
      </c>
      <c r="F7" s="56">
        <v>4.9406564584124654E-324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354.81232</v>
      </c>
      <c r="Q7" s="176">
        <v>0.88700361402799999</v>
      </c>
    </row>
    <row r="8" spans="1:17" ht="14.4" customHeight="1" x14ac:dyDescent="0.3">
      <c r="A8" s="19" t="s">
        <v>26</v>
      </c>
      <c r="B8" s="55">
        <v>427.69522588613199</v>
      </c>
      <c r="C8" s="56">
        <v>35.641268823844001</v>
      </c>
      <c r="D8" s="56">
        <v>28.826000000000001</v>
      </c>
      <c r="E8" s="56">
        <v>43.289000000000001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72.114999999999995</v>
      </c>
      <c r="Q8" s="176">
        <v>1.0116783490000001</v>
      </c>
    </row>
    <row r="9" spans="1:17" ht="14.4" customHeight="1" x14ac:dyDescent="0.3">
      <c r="A9" s="19" t="s">
        <v>27</v>
      </c>
      <c r="B9" s="55">
        <v>3347.5627836054</v>
      </c>
      <c r="C9" s="56">
        <v>278.96356530045</v>
      </c>
      <c r="D9" s="56">
        <v>250.36808000000099</v>
      </c>
      <c r="E9" s="56">
        <v>252.22452000000001</v>
      </c>
      <c r="F9" s="56">
        <v>4.9406564584124654E-324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502.59260000000103</v>
      </c>
      <c r="Q9" s="176">
        <v>0.90082122276200005</v>
      </c>
    </row>
    <row r="10" spans="1:17" ht="14.4" customHeight="1" x14ac:dyDescent="0.3">
      <c r="A10" s="19" t="s">
        <v>28</v>
      </c>
      <c r="B10" s="55">
        <v>342.86339678123397</v>
      </c>
      <c r="C10" s="56">
        <v>28.571949731768999</v>
      </c>
      <c r="D10" s="56">
        <v>17.229939999999999</v>
      </c>
      <c r="E10" s="56">
        <v>30.883569999999999</v>
      </c>
      <c r="F10" s="56">
        <v>4.9406564584124654E-324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48.113509999999998</v>
      </c>
      <c r="Q10" s="176">
        <v>0.84197106693199997</v>
      </c>
    </row>
    <row r="11" spans="1:17" ht="14.4" customHeight="1" x14ac:dyDescent="0.3">
      <c r="A11" s="19" t="s">
        <v>29</v>
      </c>
      <c r="B11" s="55">
        <v>732.36899488167398</v>
      </c>
      <c r="C11" s="56">
        <v>61.030749573472001</v>
      </c>
      <c r="D11" s="56">
        <v>53.260390000000001</v>
      </c>
      <c r="E11" s="56">
        <v>43.575330000000001</v>
      </c>
      <c r="F11" s="56">
        <v>4.9406564584124654E-324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96.835719999999995</v>
      </c>
      <c r="Q11" s="176">
        <v>0.79333549625999999</v>
      </c>
    </row>
    <row r="12" spans="1:17" ht="14.4" customHeight="1" x14ac:dyDescent="0.3">
      <c r="A12" s="19" t="s">
        <v>30</v>
      </c>
      <c r="B12" s="55">
        <v>187.711070006216</v>
      </c>
      <c r="C12" s="56">
        <v>15.642589167183999</v>
      </c>
      <c r="D12" s="56">
        <v>0.67696999999999996</v>
      </c>
      <c r="E12" s="56">
        <v>54.239170000000001</v>
      </c>
      <c r="F12" s="56">
        <v>4.9406564584124654E-324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54.916139999999999</v>
      </c>
      <c r="Q12" s="176">
        <v>1.7553404814589999</v>
      </c>
    </row>
    <row r="13" spans="1:17" ht="14.4" customHeight="1" x14ac:dyDescent="0.3">
      <c r="A13" s="19" t="s">
        <v>31</v>
      </c>
      <c r="B13" s="55">
        <v>419.17556527500801</v>
      </c>
      <c r="C13" s="56">
        <v>34.93129710625</v>
      </c>
      <c r="D13" s="56">
        <v>48.615490000000001</v>
      </c>
      <c r="E13" s="56">
        <v>18.017060000000001</v>
      </c>
      <c r="F13" s="56">
        <v>4.9406564584124654E-324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66.632549999999995</v>
      </c>
      <c r="Q13" s="176">
        <v>0.95376575621100002</v>
      </c>
    </row>
    <row r="14" spans="1:17" ht="14.4" customHeight="1" x14ac:dyDescent="0.3">
      <c r="A14" s="19" t="s">
        <v>32</v>
      </c>
      <c r="B14" s="55">
        <v>985.28526246988395</v>
      </c>
      <c r="C14" s="56">
        <v>82.107105205823004</v>
      </c>
      <c r="D14" s="56">
        <v>109.203000000001</v>
      </c>
      <c r="E14" s="56">
        <v>93.686000000000007</v>
      </c>
      <c r="F14" s="56">
        <v>4.9406564584124654E-324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202.889000000001</v>
      </c>
      <c r="Q14" s="176">
        <v>1.23551426817</v>
      </c>
    </row>
    <row r="15" spans="1:17" ht="14.4" customHeight="1" x14ac:dyDescent="0.3">
      <c r="A15" s="19" t="s">
        <v>33</v>
      </c>
      <c r="B15" s="55">
        <v>0.28993067455499999</v>
      </c>
      <c r="C15" s="56">
        <v>2.4160889546E-2</v>
      </c>
      <c r="D15" s="56">
        <v>22.720130000000001</v>
      </c>
      <c r="E15" s="56">
        <v>11.58343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34.303559999999997</v>
      </c>
      <c r="Q15" s="176">
        <v>0</v>
      </c>
    </row>
    <row r="16" spans="1:17" ht="14.4" customHeight="1" x14ac:dyDescent="0.3">
      <c r="A16" s="19" t="s">
        <v>34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9.8813129168249309E-324</v>
      </c>
      <c r="Q16" s="176" t="s">
        <v>272</v>
      </c>
    </row>
    <row r="17" spans="1:17" ht="14.4" customHeight="1" x14ac:dyDescent="0.3">
      <c r="A17" s="19" t="s">
        <v>35</v>
      </c>
      <c r="B17" s="55">
        <v>1207.37376973659</v>
      </c>
      <c r="C17" s="56">
        <v>100.61448081138199</v>
      </c>
      <c r="D17" s="56">
        <v>73.807910000000007</v>
      </c>
      <c r="E17" s="56">
        <v>26.416160000000001</v>
      </c>
      <c r="F17" s="56">
        <v>4.9406564584124654E-324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100.22407</v>
      </c>
      <c r="Q17" s="176">
        <v>0.49805986768299998</v>
      </c>
    </row>
    <row r="18" spans="1:17" ht="14.4" customHeight="1" x14ac:dyDescent="0.3">
      <c r="A18" s="19" t="s">
        <v>36</v>
      </c>
      <c r="B18" s="55">
        <v>0</v>
      </c>
      <c r="C18" s="56">
        <v>0</v>
      </c>
      <c r="D18" s="56">
        <v>4.8140000000000001</v>
      </c>
      <c r="E18" s="56">
        <v>2.5369999999999999</v>
      </c>
      <c r="F18" s="56">
        <v>4.9406564584124654E-324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7.351</v>
      </c>
      <c r="Q18" s="176" t="s">
        <v>272</v>
      </c>
    </row>
    <row r="19" spans="1:17" ht="14.4" customHeight="1" x14ac:dyDescent="0.3">
      <c r="A19" s="19" t="s">
        <v>37</v>
      </c>
      <c r="B19" s="55">
        <v>2091.3906806447299</v>
      </c>
      <c r="C19" s="56">
        <v>174.28255672039401</v>
      </c>
      <c r="D19" s="56">
        <v>118.454320000001</v>
      </c>
      <c r="E19" s="56">
        <v>109.30007000000001</v>
      </c>
      <c r="F19" s="56">
        <v>4.9406564584124654E-324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227.754390000001</v>
      </c>
      <c r="Q19" s="176">
        <v>0.65340557966799995</v>
      </c>
    </row>
    <row r="20" spans="1:17" ht="14.4" customHeight="1" x14ac:dyDescent="0.3">
      <c r="A20" s="19" t="s">
        <v>38</v>
      </c>
      <c r="B20" s="55">
        <v>39682.195760504997</v>
      </c>
      <c r="C20" s="56">
        <v>3306.8496467087498</v>
      </c>
      <c r="D20" s="56">
        <v>3135.54054000002</v>
      </c>
      <c r="E20" s="56">
        <v>3067.1609199999998</v>
      </c>
      <c r="F20" s="56">
        <v>4.9406564584124654E-324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6202.7014600000202</v>
      </c>
      <c r="Q20" s="176">
        <v>0.93785658900000002</v>
      </c>
    </row>
    <row r="21" spans="1:17" ht="14.4" customHeight="1" x14ac:dyDescent="0.3">
      <c r="A21" s="20" t="s">
        <v>39</v>
      </c>
      <c r="B21" s="55">
        <v>2721.9962620438</v>
      </c>
      <c r="C21" s="56">
        <v>226.83302183698299</v>
      </c>
      <c r="D21" s="56">
        <v>231.858000000001</v>
      </c>
      <c r="E21" s="56">
        <v>239.18100000000001</v>
      </c>
      <c r="F21" s="56">
        <v>1.4821969375237396E-323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471.03900000000101</v>
      </c>
      <c r="Q21" s="176">
        <v>1.038294592615</v>
      </c>
    </row>
    <row r="22" spans="1:17" ht="14.4" customHeight="1" x14ac:dyDescent="0.3">
      <c r="A22" s="19" t="s">
        <v>40</v>
      </c>
      <c r="B22" s="55">
        <v>0</v>
      </c>
      <c r="C22" s="56">
        <v>0</v>
      </c>
      <c r="D22" s="56">
        <v>4.9406564584124654E-324</v>
      </c>
      <c r="E22" s="56">
        <v>1.452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1.452</v>
      </c>
      <c r="Q22" s="176" t="s">
        <v>272</v>
      </c>
    </row>
    <row r="23" spans="1:17" ht="14.4" customHeight="1" x14ac:dyDescent="0.3">
      <c r="A23" s="20" t="s">
        <v>41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3.9525251667299724E-323</v>
      </c>
      <c r="Q23" s="176" t="s">
        <v>272</v>
      </c>
    </row>
    <row r="24" spans="1:17" ht="14.4" customHeight="1" x14ac:dyDescent="0.3">
      <c r="A24" s="20" t="s">
        <v>42</v>
      </c>
      <c r="B24" s="55">
        <v>0</v>
      </c>
      <c r="C24" s="56">
        <v>9.0949470177292804E-13</v>
      </c>
      <c r="D24" s="56">
        <v>3.932299999999</v>
      </c>
      <c r="E24" s="56">
        <v>3.9300599999979999</v>
      </c>
      <c r="F24" s="56">
        <v>-1.0869444208507424E-322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7.8623599999979996</v>
      </c>
      <c r="Q24" s="176"/>
    </row>
    <row r="25" spans="1:17" ht="14.4" customHeight="1" x14ac:dyDescent="0.3">
      <c r="A25" s="21" t="s">
        <v>43</v>
      </c>
      <c r="B25" s="58">
        <v>54545.982260644698</v>
      </c>
      <c r="C25" s="59">
        <v>4545.4985217203903</v>
      </c>
      <c r="D25" s="59">
        <v>4215.5755000000199</v>
      </c>
      <c r="E25" s="59">
        <v>4236.0191800000002</v>
      </c>
      <c r="F25" s="59">
        <v>4.9406564584124654E-324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8451.5946800000202</v>
      </c>
      <c r="Q25" s="177">
        <v>0.92966642048299997</v>
      </c>
    </row>
    <row r="26" spans="1:17" ht="14.4" customHeight="1" x14ac:dyDescent="0.3">
      <c r="A26" s="19" t="s">
        <v>44</v>
      </c>
      <c r="B26" s="55">
        <v>6394.0059540686098</v>
      </c>
      <c r="C26" s="56">
        <v>532.83382950571797</v>
      </c>
      <c r="D26" s="56">
        <v>579.89972999999998</v>
      </c>
      <c r="E26" s="56">
        <v>548.07451000000003</v>
      </c>
      <c r="F26" s="56">
        <v>4.9406564584124654E-324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1127.97424</v>
      </c>
      <c r="Q26" s="176">
        <v>1.058467178263</v>
      </c>
    </row>
    <row r="27" spans="1:17" ht="14.4" customHeight="1" x14ac:dyDescent="0.3">
      <c r="A27" s="22" t="s">
        <v>45</v>
      </c>
      <c r="B27" s="58">
        <v>60939.988214713303</v>
      </c>
      <c r="C27" s="59">
        <v>5078.3323512261104</v>
      </c>
      <c r="D27" s="59">
        <v>4795.47523000002</v>
      </c>
      <c r="E27" s="59">
        <v>4784.0936899999997</v>
      </c>
      <c r="F27" s="59">
        <v>9.8813129168249309E-324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9579.5689200000197</v>
      </c>
      <c r="Q27" s="177">
        <v>0.94318058148399997</v>
      </c>
    </row>
    <row r="28" spans="1:17" ht="14.4" customHeight="1" x14ac:dyDescent="0.3">
      <c r="A28" s="20" t="s">
        <v>46</v>
      </c>
      <c r="B28" s="55">
        <v>23.478623281265001</v>
      </c>
      <c r="C28" s="56">
        <v>1.956551940105</v>
      </c>
      <c r="D28" s="56">
        <v>0.14710000000000001</v>
      </c>
      <c r="E28" s="56">
        <v>1.2351641146031164E-322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0.14710000000000001</v>
      </c>
      <c r="Q28" s="176">
        <v>3.7591641954999998E-2</v>
      </c>
    </row>
    <row r="29" spans="1:17" ht="14.4" customHeight="1" x14ac:dyDescent="0.3">
      <c r="A29" s="20" t="s">
        <v>47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1.9762625833649862E-323</v>
      </c>
      <c r="Q29" s="176" t="s">
        <v>272</v>
      </c>
    </row>
    <row r="30" spans="1:17" ht="14.4" customHeight="1" x14ac:dyDescent="0.3">
      <c r="A30" s="20" t="s">
        <v>48</v>
      </c>
      <c r="B30" s="55">
        <v>4.4465908125712189E-323</v>
      </c>
      <c r="C30" s="56">
        <v>0</v>
      </c>
      <c r="D30" s="56">
        <v>9.1862600000000008</v>
      </c>
      <c r="E30" s="56">
        <v>5.2071500000000004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14.393409999999999</v>
      </c>
      <c r="Q30" s="176">
        <v>0</v>
      </c>
    </row>
    <row r="31" spans="1:17" ht="14.4" customHeight="1" thickBot="1" x14ac:dyDescent="0.35">
      <c r="A31" s="23" t="s">
        <v>49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4.9406564584124654E-323</v>
      </c>
      <c r="Q31" s="178" t="s">
        <v>272</v>
      </c>
    </row>
    <row r="32" spans="1:17" ht="14.4" customHeight="1" x14ac:dyDescent="0.3"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ht="14.4" customHeight="1" x14ac:dyDescent="0.3">
      <c r="A33" s="218" t="s">
        <v>181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1:17" ht="14.4" customHeight="1" x14ac:dyDescent="0.3">
      <c r="A34" s="252" t="s">
        <v>217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1:17" ht="14.4" customHeight="1" x14ac:dyDescent="0.3">
      <c r="A35" s="253" t="s">
        <v>50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6" customWidth="1"/>
    <col min="2" max="11" width="10" style="246" customWidth="1"/>
    <col min="12" max="16384" width="8.88671875" style="246"/>
  </cols>
  <sheetData>
    <row r="1" spans="1:11" s="64" customFormat="1" ht="18.600000000000001" customHeight="1" thickBot="1" x14ac:dyDescent="0.4">
      <c r="A1" s="454" t="s">
        <v>51</v>
      </c>
      <c r="B1" s="454"/>
      <c r="C1" s="454"/>
      <c r="D1" s="454"/>
      <c r="E1" s="454"/>
      <c r="F1" s="454"/>
      <c r="G1" s="454"/>
      <c r="H1" s="459"/>
      <c r="I1" s="459"/>
      <c r="J1" s="459"/>
      <c r="K1" s="459"/>
    </row>
    <row r="2" spans="1:11" s="64" customFormat="1" ht="14.4" customHeight="1" thickBot="1" x14ac:dyDescent="0.35">
      <c r="A2" s="369" t="s">
        <v>271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55" t="s">
        <v>52</v>
      </c>
      <c r="C3" s="456"/>
      <c r="D3" s="456"/>
      <c r="E3" s="456"/>
      <c r="F3" s="462" t="s">
        <v>53</v>
      </c>
      <c r="G3" s="456"/>
      <c r="H3" s="456"/>
      <c r="I3" s="456"/>
      <c r="J3" s="456"/>
      <c r="K3" s="463"/>
    </row>
    <row r="4" spans="1:11" ht="14.4" customHeight="1" x14ac:dyDescent="0.3">
      <c r="A4" s="93"/>
      <c r="B4" s="460"/>
      <c r="C4" s="461"/>
      <c r="D4" s="461"/>
      <c r="E4" s="461"/>
      <c r="F4" s="464" t="s">
        <v>205</v>
      </c>
      <c r="G4" s="466" t="s">
        <v>54</v>
      </c>
      <c r="H4" s="258" t="s">
        <v>167</v>
      </c>
      <c r="I4" s="464" t="s">
        <v>55</v>
      </c>
      <c r="J4" s="466" t="s">
        <v>207</v>
      </c>
      <c r="K4" s="467" t="s">
        <v>208</v>
      </c>
    </row>
    <row r="5" spans="1:11" ht="42" thickBot="1" x14ac:dyDescent="0.35">
      <c r="A5" s="94"/>
      <c r="B5" s="28" t="s">
        <v>201</v>
      </c>
      <c r="C5" s="29" t="s">
        <v>202</v>
      </c>
      <c r="D5" s="30" t="s">
        <v>203</v>
      </c>
      <c r="E5" s="30" t="s">
        <v>204</v>
      </c>
      <c r="F5" s="465"/>
      <c r="G5" s="465"/>
      <c r="H5" s="29" t="s">
        <v>206</v>
      </c>
      <c r="I5" s="465"/>
      <c r="J5" s="465"/>
      <c r="K5" s="468"/>
    </row>
    <row r="6" spans="1:11" ht="14.4" customHeight="1" thickBot="1" x14ac:dyDescent="0.35">
      <c r="A6" s="569" t="s">
        <v>274</v>
      </c>
      <c r="B6" s="551">
        <v>53105.9295782638</v>
      </c>
      <c r="C6" s="551">
        <v>56075.481899999999</v>
      </c>
      <c r="D6" s="552">
        <v>2969.5523217361902</v>
      </c>
      <c r="E6" s="553">
        <v>1.05591752833</v>
      </c>
      <c r="F6" s="551">
        <v>54545.982260644698</v>
      </c>
      <c r="G6" s="552">
        <v>9090.9970434407805</v>
      </c>
      <c r="H6" s="554">
        <v>4236.0191800000002</v>
      </c>
      <c r="I6" s="551">
        <v>8451.5946800000202</v>
      </c>
      <c r="J6" s="552">
        <v>-639.40236344076197</v>
      </c>
      <c r="K6" s="555">
        <v>0.154944403413</v>
      </c>
    </row>
    <row r="7" spans="1:11" ht="14.4" customHeight="1" thickBot="1" x14ac:dyDescent="0.35">
      <c r="A7" s="570" t="s">
        <v>275</v>
      </c>
      <c r="B7" s="551">
        <v>10111.7309011693</v>
      </c>
      <c r="C7" s="551">
        <v>9514.8864099999992</v>
      </c>
      <c r="D7" s="552">
        <v>-596.844491169295</v>
      </c>
      <c r="E7" s="553">
        <v>0.940975042057</v>
      </c>
      <c r="F7" s="551">
        <v>8843.0257877145395</v>
      </c>
      <c r="G7" s="552">
        <v>1473.8376312857599</v>
      </c>
      <c r="H7" s="554">
        <v>786.04102999999998</v>
      </c>
      <c r="I7" s="551">
        <v>1433.20976</v>
      </c>
      <c r="J7" s="552">
        <v>-40.627871285753002</v>
      </c>
      <c r="K7" s="555">
        <v>0.16207232619299999</v>
      </c>
    </row>
    <row r="8" spans="1:11" ht="14.4" customHeight="1" thickBot="1" x14ac:dyDescent="0.35">
      <c r="A8" s="571" t="s">
        <v>276</v>
      </c>
      <c r="B8" s="551">
        <v>9128.9975621083795</v>
      </c>
      <c r="C8" s="551">
        <v>8485.9621700000007</v>
      </c>
      <c r="D8" s="552">
        <v>-643.03539210837505</v>
      </c>
      <c r="E8" s="553">
        <v>0.92956122643899997</v>
      </c>
      <c r="F8" s="551">
        <v>7857.4505945701003</v>
      </c>
      <c r="G8" s="552">
        <v>1309.5750990950201</v>
      </c>
      <c r="H8" s="554">
        <v>680.77160000000003</v>
      </c>
      <c r="I8" s="551">
        <v>1196.0172</v>
      </c>
      <c r="J8" s="552">
        <v>-113.55789909501399</v>
      </c>
      <c r="K8" s="555">
        <v>0.15221440919099999</v>
      </c>
    </row>
    <row r="9" spans="1:11" ht="14.4" customHeight="1" thickBot="1" x14ac:dyDescent="0.35">
      <c r="A9" s="572" t="s">
        <v>277</v>
      </c>
      <c r="B9" s="556">
        <v>4.9406564584124654E-324</v>
      </c>
      <c r="C9" s="556">
        <v>4.2999999989999996E-3</v>
      </c>
      <c r="D9" s="557">
        <v>4.2999999989999996E-3</v>
      </c>
      <c r="E9" s="558" t="s">
        <v>278</v>
      </c>
      <c r="F9" s="556">
        <v>0</v>
      </c>
      <c r="G9" s="557">
        <v>0</v>
      </c>
      <c r="H9" s="559">
        <v>-9.3999999999999997E-4</v>
      </c>
      <c r="I9" s="556">
        <v>-6.3999999899999995E-4</v>
      </c>
      <c r="J9" s="557">
        <v>-6.3999999899999995E-4</v>
      </c>
      <c r="K9" s="560" t="s">
        <v>272</v>
      </c>
    </row>
    <row r="10" spans="1:11" ht="14.4" customHeight="1" thickBot="1" x14ac:dyDescent="0.35">
      <c r="A10" s="573" t="s">
        <v>279</v>
      </c>
      <c r="B10" s="551">
        <v>4.9406564584124654E-324</v>
      </c>
      <c r="C10" s="551">
        <v>4.2999999989999996E-3</v>
      </c>
      <c r="D10" s="552">
        <v>4.2999999989999996E-3</v>
      </c>
      <c r="E10" s="561" t="s">
        <v>278</v>
      </c>
      <c r="F10" s="551">
        <v>0</v>
      </c>
      <c r="G10" s="552">
        <v>0</v>
      </c>
      <c r="H10" s="554">
        <v>-9.3999999999999997E-4</v>
      </c>
      <c r="I10" s="551">
        <v>-6.3999999899999995E-4</v>
      </c>
      <c r="J10" s="552">
        <v>-6.3999999899999995E-4</v>
      </c>
      <c r="K10" s="562" t="s">
        <v>272</v>
      </c>
    </row>
    <row r="11" spans="1:11" ht="14.4" customHeight="1" thickBot="1" x14ac:dyDescent="0.35">
      <c r="A11" s="572" t="s">
        <v>280</v>
      </c>
      <c r="B11" s="556">
        <v>3366.9724761451898</v>
      </c>
      <c r="C11" s="556">
        <v>2553.1788299999998</v>
      </c>
      <c r="D11" s="557">
        <v>-813.79364614518499</v>
      </c>
      <c r="E11" s="563">
        <v>0.75830106960699994</v>
      </c>
      <c r="F11" s="556">
        <v>2400.0735581344302</v>
      </c>
      <c r="G11" s="557">
        <v>400.01225968907198</v>
      </c>
      <c r="H11" s="559">
        <v>238.54389</v>
      </c>
      <c r="I11" s="556">
        <v>354.81232</v>
      </c>
      <c r="J11" s="557">
        <v>-45.199939689071002</v>
      </c>
      <c r="K11" s="564">
        <v>0.14783393567100001</v>
      </c>
    </row>
    <row r="12" spans="1:11" ht="14.4" customHeight="1" thickBot="1" x14ac:dyDescent="0.35">
      <c r="A12" s="573" t="s">
        <v>281</v>
      </c>
      <c r="B12" s="551">
        <v>2072.82504820435</v>
      </c>
      <c r="C12" s="551">
        <v>1767.8064300000001</v>
      </c>
      <c r="D12" s="552">
        <v>-305.01861820435101</v>
      </c>
      <c r="E12" s="553">
        <v>0.85284883619600005</v>
      </c>
      <c r="F12" s="551">
        <v>1757.00499587029</v>
      </c>
      <c r="G12" s="552">
        <v>292.83416597838198</v>
      </c>
      <c r="H12" s="554">
        <v>183.93627000000001</v>
      </c>
      <c r="I12" s="551">
        <v>260.32839000000001</v>
      </c>
      <c r="J12" s="552">
        <v>-32.505775978381998</v>
      </c>
      <c r="K12" s="555">
        <v>0.14816599304600001</v>
      </c>
    </row>
    <row r="13" spans="1:11" ht="14.4" customHeight="1" thickBot="1" x14ac:dyDescent="0.35">
      <c r="A13" s="573" t="s">
        <v>282</v>
      </c>
      <c r="B13" s="551">
        <v>353.27864921243503</v>
      </c>
      <c r="C13" s="551">
        <v>190.74821</v>
      </c>
      <c r="D13" s="552">
        <v>-162.530439212435</v>
      </c>
      <c r="E13" s="553">
        <v>0.53993698862100004</v>
      </c>
      <c r="F13" s="551">
        <v>190.46322933858599</v>
      </c>
      <c r="G13" s="552">
        <v>31.743871556430001</v>
      </c>
      <c r="H13" s="554">
        <v>10.934150000000001</v>
      </c>
      <c r="I13" s="551">
        <v>14.40429</v>
      </c>
      <c r="J13" s="552">
        <v>-17.339581556430002</v>
      </c>
      <c r="K13" s="555">
        <v>7.5627668657999997E-2</v>
      </c>
    </row>
    <row r="14" spans="1:11" ht="14.4" customHeight="1" thickBot="1" x14ac:dyDescent="0.35">
      <c r="A14" s="573" t="s">
        <v>283</v>
      </c>
      <c r="B14" s="551">
        <v>50.998433645429003</v>
      </c>
      <c r="C14" s="551">
        <v>28.543990000000001</v>
      </c>
      <c r="D14" s="552">
        <v>-22.454443645428999</v>
      </c>
      <c r="E14" s="553">
        <v>0.55970326850499996</v>
      </c>
      <c r="F14" s="551">
        <v>29.000254639383002</v>
      </c>
      <c r="G14" s="552">
        <v>4.8333757732300002</v>
      </c>
      <c r="H14" s="554">
        <v>0.86184000000000005</v>
      </c>
      <c r="I14" s="551">
        <v>8.4923999999999999</v>
      </c>
      <c r="J14" s="552">
        <v>3.6590242267690001</v>
      </c>
      <c r="K14" s="555">
        <v>0.29283880798900003</v>
      </c>
    </row>
    <row r="15" spans="1:11" ht="14.4" customHeight="1" thickBot="1" x14ac:dyDescent="0.35">
      <c r="A15" s="573" t="s">
        <v>284</v>
      </c>
      <c r="B15" s="551">
        <v>247.89090505725099</v>
      </c>
      <c r="C15" s="551">
        <v>153.97035</v>
      </c>
      <c r="D15" s="552">
        <v>-93.920555057249999</v>
      </c>
      <c r="E15" s="553">
        <v>0.62112141615000005</v>
      </c>
      <c r="F15" s="551">
        <v>134.44073677431899</v>
      </c>
      <c r="G15" s="552">
        <v>22.406789462386001</v>
      </c>
      <c r="H15" s="554">
        <v>20.594850000000001</v>
      </c>
      <c r="I15" s="551">
        <v>27.093109999999999</v>
      </c>
      <c r="J15" s="552">
        <v>4.6863205376129997</v>
      </c>
      <c r="K15" s="555">
        <v>0.20152455758599999</v>
      </c>
    </row>
    <row r="16" spans="1:11" ht="14.4" customHeight="1" thickBot="1" x14ac:dyDescent="0.35">
      <c r="A16" s="573" t="s">
        <v>285</v>
      </c>
      <c r="B16" s="551">
        <v>26.92859979544</v>
      </c>
      <c r="C16" s="551">
        <v>17.018969999999999</v>
      </c>
      <c r="D16" s="552">
        <v>-9.9096297954400008</v>
      </c>
      <c r="E16" s="553">
        <v>0.63200352522100001</v>
      </c>
      <c r="F16" s="551">
        <v>8.5005763261750005</v>
      </c>
      <c r="G16" s="552">
        <v>1.4167627210289999</v>
      </c>
      <c r="H16" s="554">
        <v>0.99124000000000001</v>
      </c>
      <c r="I16" s="551">
        <v>1.4363900000000001</v>
      </c>
      <c r="J16" s="552">
        <v>1.9627278969999998E-2</v>
      </c>
      <c r="K16" s="555">
        <v>0.16897560175699999</v>
      </c>
    </row>
    <row r="17" spans="1:11" ht="14.4" customHeight="1" thickBot="1" x14ac:dyDescent="0.35">
      <c r="A17" s="573" t="s">
        <v>286</v>
      </c>
      <c r="B17" s="551">
        <v>47.999999999997002</v>
      </c>
      <c r="C17" s="551">
        <v>101.73084</v>
      </c>
      <c r="D17" s="552">
        <v>53.730840000001997</v>
      </c>
      <c r="E17" s="553">
        <v>2.1193925</v>
      </c>
      <c r="F17" s="551">
        <v>0</v>
      </c>
      <c r="G17" s="552">
        <v>0</v>
      </c>
      <c r="H17" s="554">
        <v>4.9406564584124654E-324</v>
      </c>
      <c r="I17" s="551">
        <v>9.8813129168249309E-324</v>
      </c>
      <c r="J17" s="552">
        <v>9.8813129168249309E-324</v>
      </c>
      <c r="K17" s="562" t="s">
        <v>272</v>
      </c>
    </row>
    <row r="18" spans="1:11" ht="14.4" customHeight="1" thickBot="1" x14ac:dyDescent="0.35">
      <c r="A18" s="573" t="s">
        <v>287</v>
      </c>
      <c r="B18" s="551">
        <v>567.05084023028098</v>
      </c>
      <c r="C18" s="551">
        <v>293.36004000000003</v>
      </c>
      <c r="D18" s="552">
        <v>-273.69080023028101</v>
      </c>
      <c r="E18" s="553">
        <v>0.51734345350900002</v>
      </c>
      <c r="F18" s="551">
        <v>280.66376518567301</v>
      </c>
      <c r="G18" s="552">
        <v>46.777294197612001</v>
      </c>
      <c r="H18" s="554">
        <v>21.225539999999999</v>
      </c>
      <c r="I18" s="551">
        <v>43.057740000000003</v>
      </c>
      <c r="J18" s="552">
        <v>-3.7195541976120001</v>
      </c>
      <c r="K18" s="555">
        <v>0.15341396126199999</v>
      </c>
    </row>
    <row r="19" spans="1:11" ht="14.4" customHeight="1" thickBot="1" x14ac:dyDescent="0.35">
      <c r="A19" s="572" t="s">
        <v>288</v>
      </c>
      <c r="B19" s="556">
        <v>425.007633862018</v>
      </c>
      <c r="C19" s="556">
        <v>424.767</v>
      </c>
      <c r="D19" s="557">
        <v>-0.24063386201699999</v>
      </c>
      <c r="E19" s="563">
        <v>0.99943381284699995</v>
      </c>
      <c r="F19" s="556">
        <v>427.69522588613199</v>
      </c>
      <c r="G19" s="557">
        <v>71.282537647688002</v>
      </c>
      <c r="H19" s="559">
        <v>43.289000000000001</v>
      </c>
      <c r="I19" s="556">
        <v>72.114999999999995</v>
      </c>
      <c r="J19" s="557">
        <v>0.83246235231099996</v>
      </c>
      <c r="K19" s="564">
        <v>0.168613058166</v>
      </c>
    </row>
    <row r="20" spans="1:11" ht="14.4" customHeight="1" thickBot="1" x14ac:dyDescent="0.35">
      <c r="A20" s="573" t="s">
        <v>289</v>
      </c>
      <c r="B20" s="551">
        <v>418.00750812782002</v>
      </c>
      <c r="C20" s="551">
        <v>412.12700000000001</v>
      </c>
      <c r="D20" s="552">
        <v>-5.8805081278189997</v>
      </c>
      <c r="E20" s="553">
        <v>0.98593205142600004</v>
      </c>
      <c r="F20" s="551">
        <v>414.997541078425</v>
      </c>
      <c r="G20" s="552">
        <v>69.166256846403996</v>
      </c>
      <c r="H20" s="554">
        <v>40.933999999999997</v>
      </c>
      <c r="I20" s="551">
        <v>67.405000000000001</v>
      </c>
      <c r="J20" s="552">
        <v>-1.7612568464039999</v>
      </c>
      <c r="K20" s="555">
        <v>0.16242264911900001</v>
      </c>
    </row>
    <row r="21" spans="1:11" ht="14.4" customHeight="1" thickBot="1" x14ac:dyDescent="0.35">
      <c r="A21" s="573" t="s">
        <v>290</v>
      </c>
      <c r="B21" s="551">
        <v>7.0001257341969998</v>
      </c>
      <c r="C21" s="551">
        <v>12.64</v>
      </c>
      <c r="D21" s="552">
        <v>5.6398742658019998</v>
      </c>
      <c r="E21" s="553">
        <v>1.805681852005</v>
      </c>
      <c r="F21" s="551">
        <v>12.697684807706</v>
      </c>
      <c r="G21" s="552">
        <v>2.1162808012840002</v>
      </c>
      <c r="H21" s="554">
        <v>2.355</v>
      </c>
      <c r="I21" s="551">
        <v>4.71</v>
      </c>
      <c r="J21" s="552">
        <v>2.5937191987150001</v>
      </c>
      <c r="K21" s="555">
        <v>0.37093376243999998</v>
      </c>
    </row>
    <row r="22" spans="1:11" ht="14.4" customHeight="1" thickBot="1" x14ac:dyDescent="0.35">
      <c r="A22" s="572" t="s">
        <v>291</v>
      </c>
      <c r="B22" s="556">
        <v>3691.1343979625299</v>
      </c>
      <c r="C22" s="556">
        <v>3346.5255200000001</v>
      </c>
      <c r="D22" s="557">
        <v>-344.60887796253201</v>
      </c>
      <c r="E22" s="563">
        <v>0.90663876174400004</v>
      </c>
      <c r="F22" s="556">
        <v>3347.5627836054</v>
      </c>
      <c r="G22" s="557">
        <v>557.9271306009</v>
      </c>
      <c r="H22" s="559">
        <v>252.22452000000001</v>
      </c>
      <c r="I22" s="556">
        <v>502.59260000000103</v>
      </c>
      <c r="J22" s="557">
        <v>-55.334530600899001</v>
      </c>
      <c r="K22" s="564">
        <v>0.15013687045999999</v>
      </c>
    </row>
    <row r="23" spans="1:11" ht="14.4" customHeight="1" thickBot="1" x14ac:dyDescent="0.35">
      <c r="A23" s="573" t="s">
        <v>292</v>
      </c>
      <c r="B23" s="551">
        <v>4.9406564584124654E-324</v>
      </c>
      <c r="C23" s="551">
        <v>4.9406564584124654E-324</v>
      </c>
      <c r="D23" s="552">
        <v>0</v>
      </c>
      <c r="E23" s="553">
        <v>1</v>
      </c>
      <c r="F23" s="551">
        <v>4.9406564584124654E-324</v>
      </c>
      <c r="G23" s="552">
        <v>0</v>
      </c>
      <c r="H23" s="554">
        <v>4.9406564584124654E-324</v>
      </c>
      <c r="I23" s="551">
        <v>0.495</v>
      </c>
      <c r="J23" s="552">
        <v>0.495</v>
      </c>
      <c r="K23" s="562" t="s">
        <v>278</v>
      </c>
    </row>
    <row r="24" spans="1:11" ht="14.4" customHeight="1" thickBot="1" x14ac:dyDescent="0.35">
      <c r="A24" s="573" t="s">
        <v>293</v>
      </c>
      <c r="B24" s="551">
        <v>381.54791872101401</v>
      </c>
      <c r="C24" s="551">
        <v>331.07951000000003</v>
      </c>
      <c r="D24" s="552">
        <v>-50.468408721012999</v>
      </c>
      <c r="E24" s="553">
        <v>0.86772720739700004</v>
      </c>
      <c r="F24" s="551">
        <v>331.079159336533</v>
      </c>
      <c r="G24" s="552">
        <v>55.179859889421998</v>
      </c>
      <c r="H24" s="554">
        <v>26.072579999999999</v>
      </c>
      <c r="I24" s="551">
        <v>52.572470000000003</v>
      </c>
      <c r="J24" s="552">
        <v>-2.6073898894209999</v>
      </c>
      <c r="K24" s="555">
        <v>0.158791239247</v>
      </c>
    </row>
    <row r="25" spans="1:11" ht="14.4" customHeight="1" thickBot="1" x14ac:dyDescent="0.35">
      <c r="A25" s="573" t="s">
        <v>294</v>
      </c>
      <c r="B25" s="551">
        <v>14.249097475491</v>
      </c>
      <c r="C25" s="551">
        <v>5.3289400000000002</v>
      </c>
      <c r="D25" s="552">
        <v>-8.9201574754900008</v>
      </c>
      <c r="E25" s="553">
        <v>0.37398438807500001</v>
      </c>
      <c r="F25" s="551">
        <v>5.329276886113</v>
      </c>
      <c r="G25" s="552">
        <v>0.88821281435199995</v>
      </c>
      <c r="H25" s="554">
        <v>4.9406564584124654E-324</v>
      </c>
      <c r="I25" s="551">
        <v>9.8813129168249309E-324</v>
      </c>
      <c r="J25" s="552">
        <v>-0.88821281435199995</v>
      </c>
      <c r="K25" s="555">
        <v>0</v>
      </c>
    </row>
    <row r="26" spans="1:11" ht="14.4" customHeight="1" thickBot="1" x14ac:dyDescent="0.35">
      <c r="A26" s="573" t="s">
        <v>295</v>
      </c>
      <c r="B26" s="551">
        <v>226.22511154199199</v>
      </c>
      <c r="C26" s="551">
        <v>154.47793999999999</v>
      </c>
      <c r="D26" s="552">
        <v>-71.747171541992003</v>
      </c>
      <c r="E26" s="553">
        <v>0.68285054186500005</v>
      </c>
      <c r="F26" s="551">
        <v>154.82923078551499</v>
      </c>
      <c r="G26" s="552">
        <v>25.804871797585001</v>
      </c>
      <c r="H26" s="554">
        <v>15.145659999999999</v>
      </c>
      <c r="I26" s="551">
        <v>25.85284</v>
      </c>
      <c r="J26" s="552">
        <v>4.7968202414000002E-2</v>
      </c>
      <c r="K26" s="555">
        <v>0.16697648027299999</v>
      </c>
    </row>
    <row r="27" spans="1:11" ht="14.4" customHeight="1" thickBot="1" x14ac:dyDescent="0.35">
      <c r="A27" s="573" t="s">
        <v>296</v>
      </c>
      <c r="B27" s="551">
        <v>2603.88097137877</v>
      </c>
      <c r="C27" s="551">
        <v>2511.4829</v>
      </c>
      <c r="D27" s="552">
        <v>-92.398071378772002</v>
      </c>
      <c r="E27" s="553">
        <v>0.96451524766499996</v>
      </c>
      <c r="F27" s="551">
        <v>2511.4639801449098</v>
      </c>
      <c r="G27" s="552">
        <v>418.57733002415199</v>
      </c>
      <c r="H27" s="554">
        <v>183.11859000000001</v>
      </c>
      <c r="I27" s="551">
        <v>379.52439000000101</v>
      </c>
      <c r="J27" s="552">
        <v>-39.052940024149997</v>
      </c>
      <c r="K27" s="555">
        <v>0.15111679602</v>
      </c>
    </row>
    <row r="28" spans="1:11" ht="14.4" customHeight="1" thickBot="1" x14ac:dyDescent="0.35">
      <c r="A28" s="573" t="s">
        <v>297</v>
      </c>
      <c r="B28" s="551">
        <v>86.859171225549005</v>
      </c>
      <c r="C28" s="551">
        <v>72.804969999999997</v>
      </c>
      <c r="D28" s="552">
        <v>-14.054201225549001</v>
      </c>
      <c r="E28" s="553">
        <v>0.83819554081299996</v>
      </c>
      <c r="F28" s="551">
        <v>71.321523145403006</v>
      </c>
      <c r="G28" s="552">
        <v>11.886920524233</v>
      </c>
      <c r="H28" s="554">
        <v>9.5591399999999993</v>
      </c>
      <c r="I28" s="551">
        <v>9.6292399999999994</v>
      </c>
      <c r="J28" s="552">
        <v>-2.2576805242329998</v>
      </c>
      <c r="K28" s="555">
        <v>0.13501169878700001</v>
      </c>
    </row>
    <row r="29" spans="1:11" ht="14.4" customHeight="1" thickBot="1" x14ac:dyDescent="0.35">
      <c r="A29" s="573" t="s">
        <v>298</v>
      </c>
      <c r="B29" s="551">
        <v>9.5001873979690004</v>
      </c>
      <c r="C29" s="551">
        <v>8.0026700000000002</v>
      </c>
      <c r="D29" s="552">
        <v>-1.497517397969</v>
      </c>
      <c r="E29" s="553">
        <v>0.84236969911799997</v>
      </c>
      <c r="F29" s="551">
        <v>7.8459759217849996</v>
      </c>
      <c r="G29" s="552">
        <v>1.30766265363</v>
      </c>
      <c r="H29" s="554">
        <v>4.9406564584124654E-324</v>
      </c>
      <c r="I29" s="551">
        <v>0.66688999999999998</v>
      </c>
      <c r="J29" s="552">
        <v>-0.64077265363000002</v>
      </c>
      <c r="K29" s="555">
        <v>8.4997711774999998E-2</v>
      </c>
    </row>
    <row r="30" spans="1:11" ht="14.4" customHeight="1" thickBot="1" x14ac:dyDescent="0.35">
      <c r="A30" s="573" t="s">
        <v>299</v>
      </c>
      <c r="B30" s="551">
        <v>8.5511177046690001</v>
      </c>
      <c r="C30" s="551">
        <v>7.1442600000000001</v>
      </c>
      <c r="D30" s="552">
        <v>-1.4068577046690001</v>
      </c>
      <c r="E30" s="553">
        <v>0.83547674663600002</v>
      </c>
      <c r="F30" s="551">
        <v>7.3286945400760004</v>
      </c>
      <c r="G30" s="552">
        <v>1.2214490900120001</v>
      </c>
      <c r="H30" s="554">
        <v>0.33</v>
      </c>
      <c r="I30" s="551">
        <v>1.0107200000000001</v>
      </c>
      <c r="J30" s="552">
        <v>-0.21072909001199999</v>
      </c>
      <c r="K30" s="555">
        <v>0.13791269297299999</v>
      </c>
    </row>
    <row r="31" spans="1:11" ht="14.4" customHeight="1" thickBot="1" x14ac:dyDescent="0.35">
      <c r="A31" s="573" t="s">
        <v>300</v>
      </c>
      <c r="B31" s="551">
        <v>150.77807599120899</v>
      </c>
      <c r="C31" s="551">
        <v>152.40011999999999</v>
      </c>
      <c r="D31" s="552">
        <v>1.622044008791</v>
      </c>
      <c r="E31" s="553">
        <v>1.0107578240270001</v>
      </c>
      <c r="F31" s="551">
        <v>154.556655061908</v>
      </c>
      <c r="G31" s="552">
        <v>25.759442510317001</v>
      </c>
      <c r="H31" s="554">
        <v>9.0022000000000002</v>
      </c>
      <c r="I31" s="551">
        <v>17.552700000000002</v>
      </c>
      <c r="J31" s="552">
        <v>-8.2067425103169995</v>
      </c>
      <c r="K31" s="555">
        <v>0.113568063393</v>
      </c>
    </row>
    <row r="32" spans="1:11" ht="14.4" customHeight="1" thickBot="1" x14ac:dyDescent="0.35">
      <c r="A32" s="573" t="s">
        <v>301</v>
      </c>
      <c r="B32" s="551">
        <v>209.542746525865</v>
      </c>
      <c r="C32" s="551">
        <v>103.5881</v>
      </c>
      <c r="D32" s="552">
        <v>-105.954646525865</v>
      </c>
      <c r="E32" s="553">
        <v>0.494353069802</v>
      </c>
      <c r="F32" s="551">
        <v>103.58761324623499</v>
      </c>
      <c r="G32" s="552">
        <v>17.264602207705</v>
      </c>
      <c r="H32" s="554">
        <v>8.9963499999999996</v>
      </c>
      <c r="I32" s="551">
        <v>15.288349999999999</v>
      </c>
      <c r="J32" s="552">
        <v>-1.976252207705</v>
      </c>
      <c r="K32" s="555">
        <v>0.14758859211899999</v>
      </c>
    </row>
    <row r="33" spans="1:11" ht="14.4" customHeight="1" thickBot="1" x14ac:dyDescent="0.35">
      <c r="A33" s="573" t="s">
        <v>302</v>
      </c>
      <c r="B33" s="551">
        <v>4.9406564584124654E-324</v>
      </c>
      <c r="C33" s="551">
        <v>0.21611</v>
      </c>
      <c r="D33" s="552">
        <v>0.21611</v>
      </c>
      <c r="E33" s="561" t="s">
        <v>278</v>
      </c>
      <c r="F33" s="551">
        <v>0.22067453692399999</v>
      </c>
      <c r="G33" s="552">
        <v>3.6779089486999997E-2</v>
      </c>
      <c r="H33" s="554">
        <v>4.9406564584124654E-324</v>
      </c>
      <c r="I33" s="551">
        <v>9.8813129168249309E-324</v>
      </c>
      <c r="J33" s="552">
        <v>-3.6779089486999997E-2</v>
      </c>
      <c r="K33" s="555">
        <v>4.4465908125712189E-323</v>
      </c>
    </row>
    <row r="34" spans="1:11" ht="14.4" customHeight="1" thickBot="1" x14ac:dyDescent="0.35">
      <c r="A34" s="572" t="s">
        <v>303</v>
      </c>
      <c r="B34" s="556">
        <v>288.373608804215</v>
      </c>
      <c r="C34" s="556">
        <v>316.86631999999997</v>
      </c>
      <c r="D34" s="557">
        <v>28.492711195784999</v>
      </c>
      <c r="E34" s="563">
        <v>1.098804850117</v>
      </c>
      <c r="F34" s="556">
        <v>342.86339678123397</v>
      </c>
      <c r="G34" s="557">
        <v>57.143899463539</v>
      </c>
      <c r="H34" s="559">
        <v>30.883569999999999</v>
      </c>
      <c r="I34" s="556">
        <v>48.113509999999998</v>
      </c>
      <c r="J34" s="557">
        <v>-9.0303894635380004</v>
      </c>
      <c r="K34" s="564">
        <v>0.140328511155</v>
      </c>
    </row>
    <row r="35" spans="1:11" ht="14.4" customHeight="1" thickBot="1" x14ac:dyDescent="0.35">
      <c r="A35" s="573" t="s">
        <v>304</v>
      </c>
      <c r="B35" s="551">
        <v>49.699651985334</v>
      </c>
      <c r="C35" s="551">
        <v>63.1875</v>
      </c>
      <c r="D35" s="552">
        <v>13.487848014664999</v>
      </c>
      <c r="E35" s="553">
        <v>1.271387172261</v>
      </c>
      <c r="F35" s="551">
        <v>89.999682588785006</v>
      </c>
      <c r="G35" s="552">
        <v>14.999947098131001</v>
      </c>
      <c r="H35" s="554">
        <v>6.0392400000000004</v>
      </c>
      <c r="I35" s="551">
        <v>12.40165</v>
      </c>
      <c r="J35" s="552">
        <v>-2.5982970981300002</v>
      </c>
      <c r="K35" s="555">
        <v>0.13779659709</v>
      </c>
    </row>
    <row r="36" spans="1:11" ht="14.4" customHeight="1" thickBot="1" x14ac:dyDescent="0.35">
      <c r="A36" s="573" t="s">
        <v>305</v>
      </c>
      <c r="B36" s="551">
        <v>17.999377194344</v>
      </c>
      <c r="C36" s="551">
        <v>20.973050000000001</v>
      </c>
      <c r="D36" s="552">
        <v>2.9736728056550001</v>
      </c>
      <c r="E36" s="553">
        <v>1.1652097610679999</v>
      </c>
      <c r="F36" s="551">
        <v>24.999911830218</v>
      </c>
      <c r="G36" s="552">
        <v>4.1666519717029997</v>
      </c>
      <c r="H36" s="554">
        <v>1.7971600000000001</v>
      </c>
      <c r="I36" s="551">
        <v>2.94441</v>
      </c>
      <c r="J36" s="552">
        <v>-1.222241971703</v>
      </c>
      <c r="K36" s="555">
        <v>0.117776815374</v>
      </c>
    </row>
    <row r="37" spans="1:11" ht="14.4" customHeight="1" thickBot="1" x14ac:dyDescent="0.35">
      <c r="A37" s="573" t="s">
        <v>306</v>
      </c>
      <c r="B37" s="551">
        <v>220.67457962453599</v>
      </c>
      <c r="C37" s="551">
        <v>229.40013999999999</v>
      </c>
      <c r="D37" s="552">
        <v>8.7255603754639992</v>
      </c>
      <c r="E37" s="553">
        <v>1.0395403964979999</v>
      </c>
      <c r="F37" s="551">
        <v>227.86380236222999</v>
      </c>
      <c r="G37" s="552">
        <v>37.977300393705001</v>
      </c>
      <c r="H37" s="554">
        <v>23.047170000000001</v>
      </c>
      <c r="I37" s="551">
        <v>32.767449999999997</v>
      </c>
      <c r="J37" s="552">
        <v>-5.2098503937049996</v>
      </c>
      <c r="K37" s="555">
        <v>0.14380278771900001</v>
      </c>
    </row>
    <row r="38" spans="1:11" ht="14.4" customHeight="1" thickBot="1" x14ac:dyDescent="0.35">
      <c r="A38" s="573" t="s">
        <v>307</v>
      </c>
      <c r="B38" s="551">
        <v>0</v>
      </c>
      <c r="C38" s="551">
        <v>3.3056299999999998</v>
      </c>
      <c r="D38" s="552">
        <v>3.3056299999999998</v>
      </c>
      <c r="E38" s="561" t="s">
        <v>272</v>
      </c>
      <c r="F38" s="551">
        <v>0</v>
      </c>
      <c r="G38" s="552">
        <v>0</v>
      </c>
      <c r="H38" s="554">
        <v>4.9406564584124654E-324</v>
      </c>
      <c r="I38" s="551">
        <v>9.8813129168249309E-324</v>
      </c>
      <c r="J38" s="552">
        <v>9.8813129168249309E-324</v>
      </c>
      <c r="K38" s="562" t="s">
        <v>272</v>
      </c>
    </row>
    <row r="39" spans="1:11" ht="14.4" customHeight="1" thickBot="1" x14ac:dyDescent="0.35">
      <c r="A39" s="572" t="s">
        <v>308</v>
      </c>
      <c r="B39" s="556">
        <v>565.81749307375003</v>
      </c>
      <c r="C39" s="556">
        <v>711.33171000000004</v>
      </c>
      <c r="D39" s="557">
        <v>145.51421692624999</v>
      </c>
      <c r="E39" s="563">
        <v>1.257175182293</v>
      </c>
      <c r="F39" s="556">
        <v>732.36899488167398</v>
      </c>
      <c r="G39" s="557">
        <v>122.06149914694601</v>
      </c>
      <c r="H39" s="559">
        <v>43.575330000000001</v>
      </c>
      <c r="I39" s="556">
        <v>96.835719999999995</v>
      </c>
      <c r="J39" s="557">
        <v>-25.225779146945001</v>
      </c>
      <c r="K39" s="564">
        <v>0.13222258271000001</v>
      </c>
    </row>
    <row r="40" spans="1:11" ht="14.4" customHeight="1" thickBot="1" x14ac:dyDescent="0.35">
      <c r="A40" s="573" t="s">
        <v>309</v>
      </c>
      <c r="B40" s="551">
        <v>114.79557481861499</v>
      </c>
      <c r="C40" s="551">
        <v>77.208729999998994</v>
      </c>
      <c r="D40" s="552">
        <v>-37.586844818614999</v>
      </c>
      <c r="E40" s="553">
        <v>0.67257583858900005</v>
      </c>
      <c r="F40" s="551">
        <v>89.106995610298</v>
      </c>
      <c r="G40" s="552">
        <v>14.851165935049</v>
      </c>
      <c r="H40" s="554">
        <v>-1.452</v>
      </c>
      <c r="I40" s="551">
        <v>2.3712499999999999</v>
      </c>
      <c r="J40" s="552">
        <v>-12.479915935049</v>
      </c>
      <c r="K40" s="555">
        <v>2.6611266418999999E-2</v>
      </c>
    </row>
    <row r="41" spans="1:11" ht="14.4" customHeight="1" thickBot="1" x14ac:dyDescent="0.35">
      <c r="A41" s="573" t="s">
        <v>310</v>
      </c>
      <c r="B41" s="551">
        <v>24.793124885484001</v>
      </c>
      <c r="C41" s="551">
        <v>18.921600000000002</v>
      </c>
      <c r="D41" s="552">
        <v>-5.8715248854839999</v>
      </c>
      <c r="E41" s="553">
        <v>0.76317931230500002</v>
      </c>
      <c r="F41" s="551">
        <v>17.419294411065</v>
      </c>
      <c r="G41" s="552">
        <v>2.903215735177</v>
      </c>
      <c r="H41" s="554">
        <v>1.1734899999999999</v>
      </c>
      <c r="I41" s="551">
        <v>2.20749</v>
      </c>
      <c r="J41" s="552">
        <v>-0.69572573517699998</v>
      </c>
      <c r="K41" s="555">
        <v>0.126726717392</v>
      </c>
    </row>
    <row r="42" spans="1:11" ht="14.4" customHeight="1" thickBot="1" x14ac:dyDescent="0.35">
      <c r="A42" s="573" t="s">
        <v>311</v>
      </c>
      <c r="B42" s="551">
        <v>290.34173156948799</v>
      </c>
      <c r="C42" s="551">
        <v>372.73777999999999</v>
      </c>
      <c r="D42" s="552">
        <v>82.396048430511996</v>
      </c>
      <c r="E42" s="553">
        <v>1.2837898912600001</v>
      </c>
      <c r="F42" s="551">
        <v>383.41602812156401</v>
      </c>
      <c r="G42" s="552">
        <v>63.902671353594002</v>
      </c>
      <c r="H42" s="554">
        <v>29.727229999999999</v>
      </c>
      <c r="I42" s="551">
        <v>57.802979999999998</v>
      </c>
      <c r="J42" s="552">
        <v>-6.0996913535930002</v>
      </c>
      <c r="K42" s="555">
        <v>0.15075786028800001</v>
      </c>
    </row>
    <row r="43" spans="1:11" ht="14.4" customHeight="1" thickBot="1" x14ac:dyDescent="0.35">
      <c r="A43" s="573" t="s">
        <v>312</v>
      </c>
      <c r="B43" s="551">
        <v>83.315174514421003</v>
      </c>
      <c r="C43" s="551">
        <v>50.618650000000002</v>
      </c>
      <c r="D43" s="552">
        <v>-32.696524514421</v>
      </c>
      <c r="E43" s="553">
        <v>0.60755619003399997</v>
      </c>
      <c r="F43" s="551">
        <v>52.102454856861002</v>
      </c>
      <c r="G43" s="552">
        <v>8.6837424761429993</v>
      </c>
      <c r="H43" s="554">
        <v>4.1938000000000004</v>
      </c>
      <c r="I43" s="551">
        <v>9.6058900000000005</v>
      </c>
      <c r="J43" s="552">
        <v>0.92214752385599996</v>
      </c>
      <c r="K43" s="555">
        <v>0.18436540133000001</v>
      </c>
    </row>
    <row r="44" spans="1:11" ht="14.4" customHeight="1" thickBot="1" x14ac:dyDescent="0.35">
      <c r="A44" s="573" t="s">
        <v>313</v>
      </c>
      <c r="B44" s="551">
        <v>8.1660706939949996</v>
      </c>
      <c r="C44" s="551">
        <v>10.265499999999999</v>
      </c>
      <c r="D44" s="552">
        <v>2.0994293060040001</v>
      </c>
      <c r="E44" s="553">
        <v>1.2570917378349999</v>
      </c>
      <c r="F44" s="551">
        <v>13.998865634469</v>
      </c>
      <c r="G44" s="552">
        <v>2.3331442724109999</v>
      </c>
      <c r="H44" s="554">
        <v>6.9199999999999998E-2</v>
      </c>
      <c r="I44" s="551">
        <v>0.23707</v>
      </c>
      <c r="J44" s="552">
        <v>-2.0960742724110002</v>
      </c>
      <c r="K44" s="555">
        <v>1.6934943601000001E-2</v>
      </c>
    </row>
    <row r="45" spans="1:11" ht="14.4" customHeight="1" thickBot="1" x14ac:dyDescent="0.35">
      <c r="A45" s="573" t="s">
        <v>314</v>
      </c>
      <c r="B45" s="551">
        <v>4.2079020961770004</v>
      </c>
      <c r="C45" s="551">
        <v>18.77816</v>
      </c>
      <c r="D45" s="552">
        <v>14.570257903822</v>
      </c>
      <c r="E45" s="553">
        <v>4.4625943215400001</v>
      </c>
      <c r="F45" s="551">
        <v>32.608968212968001</v>
      </c>
      <c r="G45" s="552">
        <v>5.4348280354940002</v>
      </c>
      <c r="H45" s="554">
        <v>4.9406564584124654E-324</v>
      </c>
      <c r="I45" s="551">
        <v>1.3132699999999999</v>
      </c>
      <c r="J45" s="552">
        <v>-4.121558035494</v>
      </c>
      <c r="K45" s="555">
        <v>4.0273276706999997E-2</v>
      </c>
    </row>
    <row r="46" spans="1:11" ht="14.4" customHeight="1" thickBot="1" x14ac:dyDescent="0.35">
      <c r="A46" s="573" t="s">
        <v>315</v>
      </c>
      <c r="B46" s="551">
        <v>1.9991892566580001</v>
      </c>
      <c r="C46" s="551">
        <v>0.55900000000000005</v>
      </c>
      <c r="D46" s="552">
        <v>-1.4401892566579999</v>
      </c>
      <c r="E46" s="553">
        <v>0.27961334732900001</v>
      </c>
      <c r="F46" s="551">
        <v>0.31204543962100001</v>
      </c>
      <c r="G46" s="552">
        <v>5.2007573270000003E-2</v>
      </c>
      <c r="H46" s="554">
        <v>4.9406564584124654E-324</v>
      </c>
      <c r="I46" s="551">
        <v>9.8813129168249309E-324</v>
      </c>
      <c r="J46" s="552">
        <v>-5.2007573270000003E-2</v>
      </c>
      <c r="K46" s="555">
        <v>2.9643938750474793E-323</v>
      </c>
    </row>
    <row r="47" spans="1:11" ht="14.4" customHeight="1" thickBot="1" x14ac:dyDescent="0.35">
      <c r="A47" s="573" t="s">
        <v>316</v>
      </c>
      <c r="B47" s="551">
        <v>9.8511748773630003</v>
      </c>
      <c r="C47" s="551">
        <v>11.31471</v>
      </c>
      <c r="D47" s="552">
        <v>1.4635351226360001</v>
      </c>
      <c r="E47" s="553">
        <v>1.1485645256379999</v>
      </c>
      <c r="F47" s="551">
        <v>11.591398343683</v>
      </c>
      <c r="G47" s="552">
        <v>1.9318997239469999</v>
      </c>
      <c r="H47" s="554">
        <v>4.9406564584124654E-324</v>
      </c>
      <c r="I47" s="551">
        <v>9.8813129168249309E-324</v>
      </c>
      <c r="J47" s="552">
        <v>-1.9318997239469999</v>
      </c>
      <c r="K47" s="555">
        <v>0</v>
      </c>
    </row>
    <row r="48" spans="1:11" ht="14.4" customHeight="1" thickBot="1" x14ac:dyDescent="0.35">
      <c r="A48" s="573" t="s">
        <v>317</v>
      </c>
      <c r="B48" s="551">
        <v>28.30515819215</v>
      </c>
      <c r="C48" s="551">
        <v>53.12088</v>
      </c>
      <c r="D48" s="552">
        <v>24.815721807848998</v>
      </c>
      <c r="E48" s="553">
        <v>1.8767208308600001</v>
      </c>
      <c r="F48" s="551">
        <v>59.393970822455998</v>
      </c>
      <c r="G48" s="552">
        <v>9.8989951370759997</v>
      </c>
      <c r="H48" s="554">
        <v>0.95679999999999998</v>
      </c>
      <c r="I48" s="551">
        <v>6.8081500000000004</v>
      </c>
      <c r="J48" s="552">
        <v>-3.0908451370750001</v>
      </c>
      <c r="K48" s="555">
        <v>0.11462695465</v>
      </c>
    </row>
    <row r="49" spans="1:11" ht="14.4" customHeight="1" thickBot="1" x14ac:dyDescent="0.35">
      <c r="A49" s="573" t="s">
        <v>318</v>
      </c>
      <c r="B49" s="551">
        <v>4.9406564584124654E-324</v>
      </c>
      <c r="C49" s="551">
        <v>6.484</v>
      </c>
      <c r="D49" s="552">
        <v>6.484</v>
      </c>
      <c r="E49" s="561" t="s">
        <v>278</v>
      </c>
      <c r="F49" s="551">
        <v>0</v>
      </c>
      <c r="G49" s="552">
        <v>0</v>
      </c>
      <c r="H49" s="554">
        <v>4.9406564584124654E-324</v>
      </c>
      <c r="I49" s="551">
        <v>9.8813129168249309E-324</v>
      </c>
      <c r="J49" s="552">
        <v>9.8813129168249309E-324</v>
      </c>
      <c r="K49" s="562" t="s">
        <v>272</v>
      </c>
    </row>
    <row r="50" spans="1:11" ht="14.4" customHeight="1" thickBot="1" x14ac:dyDescent="0.35">
      <c r="A50" s="573" t="s">
        <v>319</v>
      </c>
      <c r="B50" s="551">
        <v>4.9406564584124654E-324</v>
      </c>
      <c r="C50" s="551">
        <v>0.69</v>
      </c>
      <c r="D50" s="552">
        <v>0.69</v>
      </c>
      <c r="E50" s="561" t="s">
        <v>278</v>
      </c>
      <c r="F50" s="551">
        <v>0</v>
      </c>
      <c r="G50" s="552">
        <v>0</v>
      </c>
      <c r="H50" s="554">
        <v>4.9406564584124654E-324</v>
      </c>
      <c r="I50" s="551">
        <v>9.8813129168249309E-324</v>
      </c>
      <c r="J50" s="552">
        <v>9.8813129168249309E-324</v>
      </c>
      <c r="K50" s="562" t="s">
        <v>272</v>
      </c>
    </row>
    <row r="51" spans="1:11" ht="14.4" customHeight="1" thickBot="1" x14ac:dyDescent="0.35">
      <c r="A51" s="573" t="s">
        <v>320</v>
      </c>
      <c r="B51" s="551">
        <v>4.9406564584124654E-324</v>
      </c>
      <c r="C51" s="551">
        <v>1.24217</v>
      </c>
      <c r="D51" s="552">
        <v>1.24217</v>
      </c>
      <c r="E51" s="561" t="s">
        <v>278</v>
      </c>
      <c r="F51" s="551">
        <v>0</v>
      </c>
      <c r="G51" s="552">
        <v>0</v>
      </c>
      <c r="H51" s="554">
        <v>4.9406564584124654E-324</v>
      </c>
      <c r="I51" s="551">
        <v>9.8813129168249309E-324</v>
      </c>
      <c r="J51" s="552">
        <v>9.8813129168249309E-324</v>
      </c>
      <c r="K51" s="562" t="s">
        <v>272</v>
      </c>
    </row>
    <row r="52" spans="1:11" ht="14.4" customHeight="1" thickBot="1" x14ac:dyDescent="0.35">
      <c r="A52" s="573" t="s">
        <v>321</v>
      </c>
      <c r="B52" s="551">
        <v>4.9406564584124654E-324</v>
      </c>
      <c r="C52" s="551">
        <v>0.60370000000000001</v>
      </c>
      <c r="D52" s="552">
        <v>0.60370000000000001</v>
      </c>
      <c r="E52" s="561" t="s">
        <v>278</v>
      </c>
      <c r="F52" s="551">
        <v>0</v>
      </c>
      <c r="G52" s="552">
        <v>0</v>
      </c>
      <c r="H52" s="554">
        <v>4.9406564584124654E-324</v>
      </c>
      <c r="I52" s="551">
        <v>9.8813129168249309E-324</v>
      </c>
      <c r="J52" s="552">
        <v>9.8813129168249309E-324</v>
      </c>
      <c r="K52" s="562" t="s">
        <v>272</v>
      </c>
    </row>
    <row r="53" spans="1:11" ht="14.4" customHeight="1" thickBot="1" x14ac:dyDescent="0.35">
      <c r="A53" s="573" t="s">
        <v>322</v>
      </c>
      <c r="B53" s="551">
        <v>4.9406564584124654E-324</v>
      </c>
      <c r="C53" s="551">
        <v>85.832570000000004</v>
      </c>
      <c r="D53" s="552">
        <v>85.832570000000004</v>
      </c>
      <c r="E53" s="561" t="s">
        <v>278</v>
      </c>
      <c r="F53" s="551">
        <v>72.418973428685007</v>
      </c>
      <c r="G53" s="552">
        <v>12.06982890478</v>
      </c>
      <c r="H53" s="554">
        <v>8.8086400000000005</v>
      </c>
      <c r="I53" s="551">
        <v>16.154699999999998</v>
      </c>
      <c r="J53" s="552">
        <v>4.0848710952190004</v>
      </c>
      <c r="K53" s="555">
        <v>0.223072756145</v>
      </c>
    </row>
    <row r="54" spans="1:11" ht="14.4" customHeight="1" thickBot="1" x14ac:dyDescent="0.35">
      <c r="A54" s="573" t="s">
        <v>323</v>
      </c>
      <c r="B54" s="551">
        <v>4.9406564584124654E-324</v>
      </c>
      <c r="C54" s="551">
        <v>2.9542600000000001</v>
      </c>
      <c r="D54" s="552">
        <v>2.9542600000000001</v>
      </c>
      <c r="E54" s="561" t="s">
        <v>278</v>
      </c>
      <c r="F54" s="551">
        <v>0</v>
      </c>
      <c r="G54" s="552">
        <v>0</v>
      </c>
      <c r="H54" s="554">
        <v>9.8169999999999993E-2</v>
      </c>
      <c r="I54" s="551">
        <v>0.33492</v>
      </c>
      <c r="J54" s="552">
        <v>0.33492</v>
      </c>
      <c r="K54" s="562" t="s">
        <v>272</v>
      </c>
    </row>
    <row r="55" spans="1:11" ht="14.4" customHeight="1" thickBot="1" x14ac:dyDescent="0.35">
      <c r="A55" s="572" t="s">
        <v>324</v>
      </c>
      <c r="B55" s="556">
        <v>354.10928373885798</v>
      </c>
      <c r="C55" s="556">
        <v>274.2312</v>
      </c>
      <c r="D55" s="557">
        <v>-79.878083738857995</v>
      </c>
      <c r="E55" s="563">
        <v>0.77442533306200001</v>
      </c>
      <c r="F55" s="556">
        <v>187.711070006216</v>
      </c>
      <c r="G55" s="557">
        <v>31.285178334369</v>
      </c>
      <c r="H55" s="559">
        <v>54.239170000000001</v>
      </c>
      <c r="I55" s="556">
        <v>54.916139999999999</v>
      </c>
      <c r="J55" s="557">
        <v>23.63096166563</v>
      </c>
      <c r="K55" s="564">
        <v>0.29255674690900002</v>
      </c>
    </row>
    <row r="56" spans="1:11" ht="14.4" customHeight="1" thickBot="1" x14ac:dyDescent="0.35">
      <c r="A56" s="573" t="s">
        <v>325</v>
      </c>
      <c r="B56" s="551">
        <v>3.8455745073699998</v>
      </c>
      <c r="C56" s="551">
        <v>5.4050000000000002</v>
      </c>
      <c r="D56" s="552">
        <v>1.5594254926290001</v>
      </c>
      <c r="E56" s="553">
        <v>1.405511709535</v>
      </c>
      <c r="F56" s="551">
        <v>4.3783310603940002</v>
      </c>
      <c r="G56" s="552">
        <v>0.72972184339900004</v>
      </c>
      <c r="H56" s="554">
        <v>5.8999999999999997E-2</v>
      </c>
      <c r="I56" s="551">
        <v>5.8999999999999997E-2</v>
      </c>
      <c r="J56" s="552">
        <v>-0.67072184339899998</v>
      </c>
      <c r="K56" s="555">
        <v>1.3475454273000001E-2</v>
      </c>
    </row>
    <row r="57" spans="1:11" ht="14.4" customHeight="1" thickBot="1" x14ac:dyDescent="0.35">
      <c r="A57" s="573" t="s">
        <v>326</v>
      </c>
      <c r="B57" s="551">
        <v>343.56009922587401</v>
      </c>
      <c r="C57" s="551">
        <v>263.02631000000002</v>
      </c>
      <c r="D57" s="552">
        <v>-80.533789225874003</v>
      </c>
      <c r="E57" s="553">
        <v>0.76559038896700005</v>
      </c>
      <c r="F57" s="551">
        <v>175.331246961701</v>
      </c>
      <c r="G57" s="552">
        <v>29.221874493615999</v>
      </c>
      <c r="H57" s="554">
        <v>54.180169999999997</v>
      </c>
      <c r="I57" s="551">
        <v>54.180169999999997</v>
      </c>
      <c r="J57" s="552">
        <v>24.958295506382999</v>
      </c>
      <c r="K57" s="555">
        <v>0.30901605354900002</v>
      </c>
    </row>
    <row r="58" spans="1:11" ht="14.4" customHeight="1" thickBot="1" x14ac:dyDescent="0.35">
      <c r="A58" s="573" t="s">
        <v>327</v>
      </c>
      <c r="B58" s="551">
        <v>3.7044286306949998</v>
      </c>
      <c r="C58" s="551">
        <v>5.7998900000000004</v>
      </c>
      <c r="D58" s="552">
        <v>2.0954613693040001</v>
      </c>
      <c r="E58" s="553">
        <v>1.565663852163</v>
      </c>
      <c r="F58" s="551">
        <v>8.0014919841189993</v>
      </c>
      <c r="G58" s="552">
        <v>1.3335819973530001</v>
      </c>
      <c r="H58" s="554">
        <v>4.9406564584124654E-324</v>
      </c>
      <c r="I58" s="551">
        <v>0.67696999999999996</v>
      </c>
      <c r="J58" s="552">
        <v>-0.65661199735300002</v>
      </c>
      <c r="K58" s="555">
        <v>8.4605471247000005E-2</v>
      </c>
    </row>
    <row r="59" spans="1:11" ht="14.4" customHeight="1" thickBot="1" x14ac:dyDescent="0.35">
      <c r="A59" s="572" t="s">
        <v>328</v>
      </c>
      <c r="B59" s="556">
        <v>437.58266852181902</v>
      </c>
      <c r="C59" s="556">
        <v>422.36729000000003</v>
      </c>
      <c r="D59" s="557">
        <v>-15.215378521818</v>
      </c>
      <c r="E59" s="563">
        <v>0.96522856224300002</v>
      </c>
      <c r="F59" s="556">
        <v>419.17556527500801</v>
      </c>
      <c r="G59" s="557">
        <v>69.862594212500994</v>
      </c>
      <c r="H59" s="559">
        <v>18.017060000000001</v>
      </c>
      <c r="I59" s="556">
        <v>66.632549999999995</v>
      </c>
      <c r="J59" s="557">
        <v>-3.2300442125009998</v>
      </c>
      <c r="K59" s="564">
        <v>0.158960959368</v>
      </c>
    </row>
    <row r="60" spans="1:11" ht="14.4" customHeight="1" thickBot="1" x14ac:dyDescent="0.35">
      <c r="A60" s="573" t="s">
        <v>329</v>
      </c>
      <c r="B60" s="551">
        <v>0</v>
      </c>
      <c r="C60" s="551">
        <v>0.14000000000000001</v>
      </c>
      <c r="D60" s="552">
        <v>0.14000000000000001</v>
      </c>
      <c r="E60" s="561" t="s">
        <v>272</v>
      </c>
      <c r="F60" s="551">
        <v>0.124527266397</v>
      </c>
      <c r="G60" s="552">
        <v>2.0754544398999999E-2</v>
      </c>
      <c r="H60" s="554">
        <v>4.9406564584124654E-324</v>
      </c>
      <c r="I60" s="551">
        <v>0.2</v>
      </c>
      <c r="J60" s="552">
        <v>0.17924545559999999</v>
      </c>
      <c r="K60" s="555">
        <v>1.606073961039</v>
      </c>
    </row>
    <row r="61" spans="1:11" ht="14.4" customHeight="1" thickBot="1" x14ac:dyDescent="0.35">
      <c r="A61" s="573" t="s">
        <v>330</v>
      </c>
      <c r="B61" s="551">
        <v>26.115108959419</v>
      </c>
      <c r="C61" s="551">
        <v>23.556319999999999</v>
      </c>
      <c r="D61" s="552">
        <v>-2.5587889594190001</v>
      </c>
      <c r="E61" s="553">
        <v>0.902018828893</v>
      </c>
      <c r="F61" s="551">
        <v>21.071844208586</v>
      </c>
      <c r="G61" s="552">
        <v>3.5119740347640001</v>
      </c>
      <c r="H61" s="554">
        <v>0.10605000000000001</v>
      </c>
      <c r="I61" s="551">
        <v>2.18024</v>
      </c>
      <c r="J61" s="552">
        <v>-1.3317340347640001</v>
      </c>
      <c r="K61" s="555">
        <v>0.103466976047</v>
      </c>
    </row>
    <row r="62" spans="1:11" ht="14.4" customHeight="1" thickBot="1" x14ac:dyDescent="0.35">
      <c r="A62" s="573" t="s">
        <v>331</v>
      </c>
      <c r="B62" s="551">
        <v>12.271877803732</v>
      </c>
      <c r="C62" s="551">
        <v>0.91452</v>
      </c>
      <c r="D62" s="552">
        <v>-11.357357803732</v>
      </c>
      <c r="E62" s="553">
        <v>7.4521602531E-2</v>
      </c>
      <c r="F62" s="551">
        <v>0</v>
      </c>
      <c r="G62" s="552">
        <v>0</v>
      </c>
      <c r="H62" s="554">
        <v>4.9406564584124654E-324</v>
      </c>
      <c r="I62" s="551">
        <v>9.8813129168249309E-324</v>
      </c>
      <c r="J62" s="552">
        <v>9.8813129168249309E-324</v>
      </c>
      <c r="K62" s="562" t="s">
        <v>272</v>
      </c>
    </row>
    <row r="63" spans="1:11" ht="14.4" customHeight="1" thickBot="1" x14ac:dyDescent="0.35">
      <c r="A63" s="573" t="s">
        <v>332</v>
      </c>
      <c r="B63" s="551">
        <v>399.19568175866698</v>
      </c>
      <c r="C63" s="551">
        <v>397.75644999999997</v>
      </c>
      <c r="D63" s="552">
        <v>-1.4392317586659999</v>
      </c>
      <c r="E63" s="553">
        <v>0.99639467102299994</v>
      </c>
      <c r="F63" s="551">
        <v>0</v>
      </c>
      <c r="G63" s="552">
        <v>0</v>
      </c>
      <c r="H63" s="554">
        <v>4.9406564584124654E-324</v>
      </c>
      <c r="I63" s="551">
        <v>9.8813129168249309E-324</v>
      </c>
      <c r="J63" s="552">
        <v>9.8813129168249309E-324</v>
      </c>
      <c r="K63" s="562" t="s">
        <v>272</v>
      </c>
    </row>
    <row r="64" spans="1:11" ht="14.4" customHeight="1" thickBot="1" x14ac:dyDescent="0.35">
      <c r="A64" s="573" t="s">
        <v>333</v>
      </c>
      <c r="B64" s="551">
        <v>4.9406564584124654E-324</v>
      </c>
      <c r="C64" s="551">
        <v>4.9406564584124654E-324</v>
      </c>
      <c r="D64" s="552">
        <v>0</v>
      </c>
      <c r="E64" s="553">
        <v>1</v>
      </c>
      <c r="F64" s="551">
        <v>35.003366792005998</v>
      </c>
      <c r="G64" s="552">
        <v>5.8338944653339997</v>
      </c>
      <c r="H64" s="554">
        <v>0.93664999999999998</v>
      </c>
      <c r="I64" s="551">
        <v>4.5052199999999996</v>
      </c>
      <c r="J64" s="552">
        <v>-1.3286744653339999</v>
      </c>
      <c r="K64" s="555">
        <v>0.12870819046500001</v>
      </c>
    </row>
    <row r="65" spans="1:11" ht="14.4" customHeight="1" thickBot="1" x14ac:dyDescent="0.35">
      <c r="A65" s="573" t="s">
        <v>334</v>
      </c>
      <c r="B65" s="551">
        <v>4.9406564584124654E-324</v>
      </c>
      <c r="C65" s="551">
        <v>4.9406564584124654E-324</v>
      </c>
      <c r="D65" s="552">
        <v>0</v>
      </c>
      <c r="E65" s="553">
        <v>1</v>
      </c>
      <c r="F65" s="551">
        <v>215.995805827917</v>
      </c>
      <c r="G65" s="552">
        <v>35.999300971319002</v>
      </c>
      <c r="H65" s="554">
        <v>10.9366</v>
      </c>
      <c r="I65" s="551">
        <v>37.107210000000002</v>
      </c>
      <c r="J65" s="552">
        <v>1.10790902868</v>
      </c>
      <c r="K65" s="555">
        <v>0.17179597473</v>
      </c>
    </row>
    <row r="66" spans="1:11" ht="14.4" customHeight="1" thickBot="1" x14ac:dyDescent="0.35">
      <c r="A66" s="573" t="s">
        <v>335</v>
      </c>
      <c r="B66" s="551">
        <v>4.9406564584124654E-324</v>
      </c>
      <c r="C66" s="551">
        <v>4.9406564584124654E-324</v>
      </c>
      <c r="D66" s="552">
        <v>0</v>
      </c>
      <c r="E66" s="553">
        <v>1</v>
      </c>
      <c r="F66" s="551">
        <v>146.98002118010101</v>
      </c>
      <c r="G66" s="552">
        <v>24.496670196682999</v>
      </c>
      <c r="H66" s="554">
        <v>6.0377599999999996</v>
      </c>
      <c r="I66" s="551">
        <v>22.639880000000002</v>
      </c>
      <c r="J66" s="552">
        <v>-1.856790196683</v>
      </c>
      <c r="K66" s="555">
        <v>0.15403372389100001</v>
      </c>
    </row>
    <row r="67" spans="1:11" ht="14.4" customHeight="1" thickBot="1" x14ac:dyDescent="0.35">
      <c r="A67" s="572" t="s">
        <v>336</v>
      </c>
      <c r="B67" s="556">
        <v>0</v>
      </c>
      <c r="C67" s="556">
        <v>436.69</v>
      </c>
      <c r="D67" s="557">
        <v>436.69</v>
      </c>
      <c r="E67" s="558" t="s">
        <v>272</v>
      </c>
      <c r="F67" s="556">
        <v>0</v>
      </c>
      <c r="G67" s="557">
        <v>0</v>
      </c>
      <c r="H67" s="559">
        <v>4.9406564584124654E-324</v>
      </c>
      <c r="I67" s="556">
        <v>9.8813129168249309E-324</v>
      </c>
      <c r="J67" s="557">
        <v>9.8813129168249309E-324</v>
      </c>
      <c r="K67" s="560" t="s">
        <v>272</v>
      </c>
    </row>
    <row r="68" spans="1:11" ht="14.4" customHeight="1" thickBot="1" x14ac:dyDescent="0.35">
      <c r="A68" s="573" t="s">
        <v>337</v>
      </c>
      <c r="B68" s="551">
        <v>0</v>
      </c>
      <c r="C68" s="551">
        <v>436.69</v>
      </c>
      <c r="D68" s="552">
        <v>436.69</v>
      </c>
      <c r="E68" s="561" t="s">
        <v>272</v>
      </c>
      <c r="F68" s="551">
        <v>0</v>
      </c>
      <c r="G68" s="552">
        <v>0</v>
      </c>
      <c r="H68" s="554">
        <v>4.9406564584124654E-324</v>
      </c>
      <c r="I68" s="551">
        <v>9.8813129168249309E-324</v>
      </c>
      <c r="J68" s="552">
        <v>9.8813129168249309E-324</v>
      </c>
      <c r="K68" s="562" t="s">
        <v>272</v>
      </c>
    </row>
    <row r="69" spans="1:11" ht="14.4" customHeight="1" thickBot="1" x14ac:dyDescent="0.35">
      <c r="A69" s="571" t="s">
        <v>32</v>
      </c>
      <c r="B69" s="551">
        <v>982.73333906091705</v>
      </c>
      <c r="C69" s="551">
        <v>978.17899999999997</v>
      </c>
      <c r="D69" s="552">
        <v>-4.5543390609159999</v>
      </c>
      <c r="E69" s="553">
        <v>0.99536564103400005</v>
      </c>
      <c r="F69" s="551">
        <v>985.28526246988395</v>
      </c>
      <c r="G69" s="552">
        <v>164.214210411647</v>
      </c>
      <c r="H69" s="554">
        <v>93.686000000000007</v>
      </c>
      <c r="I69" s="551">
        <v>202.889000000001</v>
      </c>
      <c r="J69" s="552">
        <v>38.674789588353001</v>
      </c>
      <c r="K69" s="555">
        <v>0.205919044695</v>
      </c>
    </row>
    <row r="70" spans="1:11" ht="14.4" customHeight="1" thickBot="1" x14ac:dyDescent="0.35">
      <c r="A70" s="572" t="s">
        <v>338</v>
      </c>
      <c r="B70" s="556">
        <v>982.73333906091705</v>
      </c>
      <c r="C70" s="556">
        <v>978.17899999999997</v>
      </c>
      <c r="D70" s="557">
        <v>-4.5543390609159999</v>
      </c>
      <c r="E70" s="563">
        <v>0.99536564103400005</v>
      </c>
      <c r="F70" s="556">
        <v>985.28526246988395</v>
      </c>
      <c r="G70" s="557">
        <v>164.214210411647</v>
      </c>
      <c r="H70" s="559">
        <v>93.686000000000007</v>
      </c>
      <c r="I70" s="556">
        <v>202.889000000001</v>
      </c>
      <c r="J70" s="557">
        <v>38.674789588353001</v>
      </c>
      <c r="K70" s="564">
        <v>0.205919044695</v>
      </c>
    </row>
    <row r="71" spans="1:11" ht="14.4" customHeight="1" thickBot="1" x14ac:dyDescent="0.35">
      <c r="A71" s="573" t="s">
        <v>339</v>
      </c>
      <c r="B71" s="551">
        <v>306.68419739123999</v>
      </c>
      <c r="C71" s="551">
        <v>332.971</v>
      </c>
      <c r="D71" s="552">
        <v>26.286802608759999</v>
      </c>
      <c r="E71" s="553">
        <v>1.085712934779</v>
      </c>
      <c r="F71" s="551">
        <v>330.48244515580802</v>
      </c>
      <c r="G71" s="552">
        <v>55.080407525967999</v>
      </c>
      <c r="H71" s="554">
        <v>20.622</v>
      </c>
      <c r="I71" s="551">
        <v>41.323999999999998</v>
      </c>
      <c r="J71" s="552">
        <v>-13.756407525967999</v>
      </c>
      <c r="K71" s="555">
        <v>0.125041437467</v>
      </c>
    </row>
    <row r="72" spans="1:11" ht="14.4" customHeight="1" thickBot="1" x14ac:dyDescent="0.35">
      <c r="A72" s="573" t="s">
        <v>340</v>
      </c>
      <c r="B72" s="551">
        <v>77.003309455763002</v>
      </c>
      <c r="C72" s="551">
        <v>75.385999999999996</v>
      </c>
      <c r="D72" s="552">
        <v>-1.6173094557629999</v>
      </c>
      <c r="E72" s="553">
        <v>0.97899688380600003</v>
      </c>
      <c r="F72" s="551">
        <v>77.013848627643</v>
      </c>
      <c r="G72" s="552">
        <v>12.83564143794</v>
      </c>
      <c r="H72" s="554">
        <v>5.6660000000000004</v>
      </c>
      <c r="I72" s="551">
        <v>13.223000000000001</v>
      </c>
      <c r="J72" s="552">
        <v>0.38735856205899999</v>
      </c>
      <c r="K72" s="555">
        <v>0.171696392734</v>
      </c>
    </row>
    <row r="73" spans="1:11" ht="14.4" customHeight="1" thickBot="1" x14ac:dyDescent="0.35">
      <c r="A73" s="573" t="s">
        <v>341</v>
      </c>
      <c r="B73" s="551">
        <v>599.04583221391295</v>
      </c>
      <c r="C73" s="551">
        <v>569.822</v>
      </c>
      <c r="D73" s="552">
        <v>-29.223832213912999</v>
      </c>
      <c r="E73" s="553">
        <v>0.95121603282599998</v>
      </c>
      <c r="F73" s="551">
        <v>577.78896868643199</v>
      </c>
      <c r="G73" s="552">
        <v>96.298161447737996</v>
      </c>
      <c r="H73" s="554">
        <v>67.397999999999996</v>
      </c>
      <c r="I73" s="551">
        <v>148.34200000000001</v>
      </c>
      <c r="J73" s="552">
        <v>52.043838552261001</v>
      </c>
      <c r="K73" s="555">
        <v>0.25674079644800002</v>
      </c>
    </row>
    <row r="74" spans="1:11" ht="14.4" customHeight="1" thickBot="1" x14ac:dyDescent="0.35">
      <c r="A74" s="571" t="s">
        <v>33</v>
      </c>
      <c r="B74" s="551">
        <v>4.9406564584124654E-324</v>
      </c>
      <c r="C74" s="551">
        <v>50.745240000000003</v>
      </c>
      <c r="D74" s="552">
        <v>50.745240000000003</v>
      </c>
      <c r="E74" s="561" t="s">
        <v>278</v>
      </c>
      <c r="F74" s="551">
        <v>0.28993067455499999</v>
      </c>
      <c r="G74" s="552">
        <v>4.8321779092E-2</v>
      </c>
      <c r="H74" s="554">
        <v>11.58343</v>
      </c>
      <c r="I74" s="551">
        <v>34.303559999999997</v>
      </c>
      <c r="J74" s="552">
        <v>34.255238220907003</v>
      </c>
      <c r="K74" s="555">
        <v>118.31642185708699</v>
      </c>
    </row>
    <row r="75" spans="1:11" ht="14.4" customHeight="1" thickBot="1" x14ac:dyDescent="0.35">
      <c r="A75" s="572" t="s">
        <v>342</v>
      </c>
      <c r="B75" s="556">
        <v>4.9406564584124654E-324</v>
      </c>
      <c r="C75" s="556">
        <v>50.745240000000003</v>
      </c>
      <c r="D75" s="557">
        <v>50.745240000000003</v>
      </c>
      <c r="E75" s="558" t="s">
        <v>278</v>
      </c>
      <c r="F75" s="556">
        <v>0.28993067455499999</v>
      </c>
      <c r="G75" s="557">
        <v>4.8321779092E-2</v>
      </c>
      <c r="H75" s="559">
        <v>11.58343</v>
      </c>
      <c r="I75" s="556">
        <v>34.303559999999997</v>
      </c>
      <c r="J75" s="557">
        <v>34.255238220907003</v>
      </c>
      <c r="K75" s="564">
        <v>118.31642185708699</v>
      </c>
    </row>
    <row r="76" spans="1:11" ht="14.4" customHeight="1" thickBot="1" x14ac:dyDescent="0.35">
      <c r="A76" s="573" t="s">
        <v>343</v>
      </c>
      <c r="B76" s="551">
        <v>4.9406564584124654E-324</v>
      </c>
      <c r="C76" s="551">
        <v>50.745240000000003</v>
      </c>
      <c r="D76" s="552">
        <v>50.745240000000003</v>
      </c>
      <c r="E76" s="561" t="s">
        <v>278</v>
      </c>
      <c r="F76" s="551">
        <v>0.28993067455499999</v>
      </c>
      <c r="G76" s="552">
        <v>4.8321779092E-2</v>
      </c>
      <c r="H76" s="554">
        <v>11.58343</v>
      </c>
      <c r="I76" s="551">
        <v>34.303559999999997</v>
      </c>
      <c r="J76" s="552">
        <v>34.255238220907003</v>
      </c>
      <c r="K76" s="555">
        <v>118.31642185708699</v>
      </c>
    </row>
    <row r="77" spans="1:11" ht="14.4" customHeight="1" thickBot="1" x14ac:dyDescent="0.35">
      <c r="A77" s="574" t="s">
        <v>344</v>
      </c>
      <c r="B77" s="556">
        <v>2877.2089094284102</v>
      </c>
      <c r="C77" s="556">
        <v>3346.3034299999999</v>
      </c>
      <c r="D77" s="557">
        <v>469.09452057159501</v>
      </c>
      <c r="E77" s="563">
        <v>1.1630380467100001</v>
      </c>
      <c r="F77" s="556">
        <v>3298.7644503813199</v>
      </c>
      <c r="G77" s="557">
        <v>549.79407506355301</v>
      </c>
      <c r="H77" s="559">
        <v>138.25323</v>
      </c>
      <c r="I77" s="556">
        <v>335.32946000000101</v>
      </c>
      <c r="J77" s="557">
        <v>-214.464615063552</v>
      </c>
      <c r="K77" s="564">
        <v>0.101653047692</v>
      </c>
    </row>
    <row r="78" spans="1:11" ht="14.4" customHeight="1" thickBot="1" x14ac:dyDescent="0.35">
      <c r="A78" s="571" t="s">
        <v>35</v>
      </c>
      <c r="B78" s="551">
        <v>876.69366235104496</v>
      </c>
      <c r="C78" s="551">
        <v>1218.3667600000001</v>
      </c>
      <c r="D78" s="552">
        <v>341.673097648956</v>
      </c>
      <c r="E78" s="553">
        <v>1.3897291748780001</v>
      </c>
      <c r="F78" s="551">
        <v>1207.37376973659</v>
      </c>
      <c r="G78" s="552">
        <v>201.22896162276399</v>
      </c>
      <c r="H78" s="554">
        <v>26.416160000000001</v>
      </c>
      <c r="I78" s="551">
        <v>100.22407</v>
      </c>
      <c r="J78" s="552">
        <v>-101.00489162276401</v>
      </c>
      <c r="K78" s="555">
        <v>8.3009977947000005E-2</v>
      </c>
    </row>
    <row r="79" spans="1:11" ht="14.4" customHeight="1" thickBot="1" x14ac:dyDescent="0.35">
      <c r="A79" s="575" t="s">
        <v>345</v>
      </c>
      <c r="B79" s="551">
        <v>876.69366235104496</v>
      </c>
      <c r="C79" s="551">
        <v>1218.3667600000001</v>
      </c>
      <c r="D79" s="552">
        <v>341.673097648956</v>
      </c>
      <c r="E79" s="553">
        <v>1.3897291748780001</v>
      </c>
      <c r="F79" s="551">
        <v>1207.37376973659</v>
      </c>
      <c r="G79" s="552">
        <v>201.22896162276399</v>
      </c>
      <c r="H79" s="554">
        <v>26.416160000000001</v>
      </c>
      <c r="I79" s="551">
        <v>100.22407</v>
      </c>
      <c r="J79" s="552">
        <v>-101.00489162276401</v>
      </c>
      <c r="K79" s="555">
        <v>8.3009977947000005E-2</v>
      </c>
    </row>
    <row r="80" spans="1:11" ht="14.4" customHeight="1" thickBot="1" x14ac:dyDescent="0.35">
      <c r="A80" s="573" t="s">
        <v>346</v>
      </c>
      <c r="B80" s="551">
        <v>728.91743205618502</v>
      </c>
      <c r="C80" s="551">
        <v>1021.56488</v>
      </c>
      <c r="D80" s="552">
        <v>292.64744794381602</v>
      </c>
      <c r="E80" s="553">
        <v>1.401482301113</v>
      </c>
      <c r="F80" s="551">
        <v>942.02569722538703</v>
      </c>
      <c r="G80" s="552">
        <v>157.00428287089801</v>
      </c>
      <c r="H80" s="554">
        <v>2.56786</v>
      </c>
      <c r="I80" s="551">
        <v>48.06223</v>
      </c>
      <c r="J80" s="552">
        <v>-108.942052870898</v>
      </c>
      <c r="K80" s="555">
        <v>5.1020083783999998E-2</v>
      </c>
    </row>
    <row r="81" spans="1:11" ht="14.4" customHeight="1" thickBot="1" x14ac:dyDescent="0.35">
      <c r="A81" s="573" t="s">
        <v>347</v>
      </c>
      <c r="B81" s="551">
        <v>10.786844577678</v>
      </c>
      <c r="C81" s="551">
        <v>41.737900000000003</v>
      </c>
      <c r="D81" s="552">
        <v>30.951055422321001</v>
      </c>
      <c r="E81" s="553">
        <v>3.8693335849450001</v>
      </c>
      <c r="F81" s="551">
        <v>54.271576825979999</v>
      </c>
      <c r="G81" s="552">
        <v>9.0452628043299992</v>
      </c>
      <c r="H81" s="554">
        <v>2.6017999999999999</v>
      </c>
      <c r="I81" s="551">
        <v>2.6017999999999999</v>
      </c>
      <c r="J81" s="552">
        <v>-6.4434628043300002</v>
      </c>
      <c r="K81" s="555">
        <v>4.7940379700000001E-2</v>
      </c>
    </row>
    <row r="82" spans="1:11" ht="14.4" customHeight="1" thickBot="1" x14ac:dyDescent="0.35">
      <c r="A82" s="573" t="s">
        <v>348</v>
      </c>
      <c r="B82" s="551">
        <v>73.994032571096994</v>
      </c>
      <c r="C82" s="551">
        <v>108.67316</v>
      </c>
      <c r="D82" s="552">
        <v>34.679127428902</v>
      </c>
      <c r="E82" s="553">
        <v>1.4686746515069999</v>
      </c>
      <c r="F82" s="551">
        <v>162.999724806541</v>
      </c>
      <c r="G82" s="552">
        <v>27.166620801090001</v>
      </c>
      <c r="H82" s="554">
        <v>7.0179999999999998</v>
      </c>
      <c r="I82" s="551">
        <v>35.331539999999997</v>
      </c>
      <c r="J82" s="552">
        <v>8.1649191989090006</v>
      </c>
      <c r="K82" s="555">
        <v>0.216758280064</v>
      </c>
    </row>
    <row r="83" spans="1:11" ht="14.4" customHeight="1" thickBot="1" x14ac:dyDescent="0.35">
      <c r="A83" s="573" t="s">
        <v>349</v>
      </c>
      <c r="B83" s="551">
        <v>62.995353146084</v>
      </c>
      <c r="C83" s="551">
        <v>46.390819999999998</v>
      </c>
      <c r="D83" s="552">
        <v>-16.604533146084002</v>
      </c>
      <c r="E83" s="553">
        <v>0.73641654000099999</v>
      </c>
      <c r="F83" s="551">
        <v>48.076770878677998</v>
      </c>
      <c r="G83" s="552">
        <v>8.0127951464460008</v>
      </c>
      <c r="H83" s="554">
        <v>14.2285</v>
      </c>
      <c r="I83" s="551">
        <v>14.2285</v>
      </c>
      <c r="J83" s="552">
        <v>6.2157048535530004</v>
      </c>
      <c r="K83" s="555">
        <v>0.295953736907</v>
      </c>
    </row>
    <row r="84" spans="1:11" ht="14.4" customHeight="1" thickBot="1" x14ac:dyDescent="0.35">
      <c r="A84" s="576" t="s">
        <v>36</v>
      </c>
      <c r="B84" s="556">
        <v>0</v>
      </c>
      <c r="C84" s="556">
        <v>38.991999999999997</v>
      </c>
      <c r="D84" s="557">
        <v>38.991999999999997</v>
      </c>
      <c r="E84" s="558" t="s">
        <v>272</v>
      </c>
      <c r="F84" s="556">
        <v>0</v>
      </c>
      <c r="G84" s="557">
        <v>0</v>
      </c>
      <c r="H84" s="559">
        <v>2.5369999999999999</v>
      </c>
      <c r="I84" s="556">
        <v>7.351</v>
      </c>
      <c r="J84" s="557">
        <v>7.351</v>
      </c>
      <c r="K84" s="560" t="s">
        <v>272</v>
      </c>
    </row>
    <row r="85" spans="1:11" ht="14.4" customHeight="1" thickBot="1" x14ac:dyDescent="0.35">
      <c r="A85" s="572" t="s">
        <v>350</v>
      </c>
      <c r="B85" s="556">
        <v>0</v>
      </c>
      <c r="C85" s="556">
        <v>38.991999999999997</v>
      </c>
      <c r="D85" s="557">
        <v>38.991999999999997</v>
      </c>
      <c r="E85" s="558" t="s">
        <v>272</v>
      </c>
      <c r="F85" s="556">
        <v>0</v>
      </c>
      <c r="G85" s="557">
        <v>0</v>
      </c>
      <c r="H85" s="559">
        <v>2.5369999999999999</v>
      </c>
      <c r="I85" s="556">
        <v>7.351</v>
      </c>
      <c r="J85" s="557">
        <v>7.351</v>
      </c>
      <c r="K85" s="560" t="s">
        <v>272</v>
      </c>
    </row>
    <row r="86" spans="1:11" ht="14.4" customHeight="1" thickBot="1" x14ac:dyDescent="0.35">
      <c r="A86" s="573" t="s">
        <v>351</v>
      </c>
      <c r="B86" s="551">
        <v>0</v>
      </c>
      <c r="C86" s="551">
        <v>34.372</v>
      </c>
      <c r="D86" s="552">
        <v>34.372</v>
      </c>
      <c r="E86" s="561" t="s">
        <v>272</v>
      </c>
      <c r="F86" s="551">
        <v>0</v>
      </c>
      <c r="G86" s="552">
        <v>0</v>
      </c>
      <c r="H86" s="554">
        <v>0.997</v>
      </c>
      <c r="I86" s="551">
        <v>4.2709999999999999</v>
      </c>
      <c r="J86" s="552">
        <v>4.2709999999999999</v>
      </c>
      <c r="K86" s="562" t="s">
        <v>272</v>
      </c>
    </row>
    <row r="87" spans="1:11" ht="14.4" customHeight="1" thickBot="1" x14ac:dyDescent="0.35">
      <c r="A87" s="573" t="s">
        <v>352</v>
      </c>
      <c r="B87" s="551">
        <v>0</v>
      </c>
      <c r="C87" s="551">
        <v>4.62</v>
      </c>
      <c r="D87" s="552">
        <v>4.62</v>
      </c>
      <c r="E87" s="561" t="s">
        <v>272</v>
      </c>
      <c r="F87" s="551">
        <v>0</v>
      </c>
      <c r="G87" s="552">
        <v>0</v>
      </c>
      <c r="H87" s="554">
        <v>1.54</v>
      </c>
      <c r="I87" s="551">
        <v>3.08</v>
      </c>
      <c r="J87" s="552">
        <v>3.08</v>
      </c>
      <c r="K87" s="562" t="s">
        <v>272</v>
      </c>
    </row>
    <row r="88" spans="1:11" ht="14.4" customHeight="1" thickBot="1" x14ac:dyDescent="0.35">
      <c r="A88" s="571" t="s">
        <v>37</v>
      </c>
      <c r="B88" s="551">
        <v>2000.5152470773601</v>
      </c>
      <c r="C88" s="551">
        <v>2088.9446699999999</v>
      </c>
      <c r="D88" s="552">
        <v>88.429422922637997</v>
      </c>
      <c r="E88" s="553">
        <v>1.044203323644</v>
      </c>
      <c r="F88" s="551">
        <v>2091.3906806447299</v>
      </c>
      <c r="G88" s="552">
        <v>348.56511344078802</v>
      </c>
      <c r="H88" s="554">
        <v>109.30007000000001</v>
      </c>
      <c r="I88" s="551">
        <v>227.754390000001</v>
      </c>
      <c r="J88" s="552">
        <v>-120.810723440788</v>
      </c>
      <c r="K88" s="555">
        <v>0.108900929944</v>
      </c>
    </row>
    <row r="89" spans="1:11" ht="14.4" customHeight="1" thickBot="1" x14ac:dyDescent="0.35">
      <c r="A89" s="572" t="s">
        <v>353</v>
      </c>
      <c r="B89" s="556">
        <v>2.3621617685710001</v>
      </c>
      <c r="C89" s="556">
        <v>2.3637299999999999</v>
      </c>
      <c r="D89" s="557">
        <v>1.568231428E-3</v>
      </c>
      <c r="E89" s="563">
        <v>1.0006638967099999</v>
      </c>
      <c r="F89" s="556">
        <v>0.944780010005</v>
      </c>
      <c r="G89" s="557">
        <v>0.15746333500000001</v>
      </c>
      <c r="H89" s="559">
        <v>4.9406564584124654E-324</v>
      </c>
      <c r="I89" s="556">
        <v>0.21410999999999999</v>
      </c>
      <c r="J89" s="557">
        <v>5.6646664999E-2</v>
      </c>
      <c r="K89" s="564">
        <v>0.226624185241</v>
      </c>
    </row>
    <row r="90" spans="1:11" ht="14.4" customHeight="1" thickBot="1" x14ac:dyDescent="0.35">
      <c r="A90" s="573" t="s">
        <v>354</v>
      </c>
      <c r="B90" s="551">
        <v>2.3621617685710001</v>
      </c>
      <c r="C90" s="551">
        <v>2.3637299999999999</v>
      </c>
      <c r="D90" s="552">
        <v>1.568231428E-3</v>
      </c>
      <c r="E90" s="553">
        <v>1.0006638967099999</v>
      </c>
      <c r="F90" s="551">
        <v>0.944780010005</v>
      </c>
      <c r="G90" s="552">
        <v>0.15746333500000001</v>
      </c>
      <c r="H90" s="554">
        <v>4.9406564584124654E-324</v>
      </c>
      <c r="I90" s="551">
        <v>0.21410999999999999</v>
      </c>
      <c r="J90" s="552">
        <v>5.6646664999E-2</v>
      </c>
      <c r="K90" s="555">
        <v>0.226624185241</v>
      </c>
    </row>
    <row r="91" spans="1:11" ht="14.4" customHeight="1" thickBot="1" x14ac:dyDescent="0.35">
      <c r="A91" s="572" t="s">
        <v>355</v>
      </c>
      <c r="B91" s="556">
        <v>28.218067726333999</v>
      </c>
      <c r="C91" s="556">
        <v>38.471679999999999</v>
      </c>
      <c r="D91" s="557">
        <v>10.253612273665</v>
      </c>
      <c r="E91" s="563">
        <v>1.3633704608370001</v>
      </c>
      <c r="F91" s="556">
        <v>37.315353315736999</v>
      </c>
      <c r="G91" s="557">
        <v>6.2192255526220004</v>
      </c>
      <c r="H91" s="559">
        <v>2.48753</v>
      </c>
      <c r="I91" s="556">
        <v>5.3736100000000002</v>
      </c>
      <c r="J91" s="557">
        <v>-0.84561555262200006</v>
      </c>
      <c r="K91" s="564">
        <v>0.144005336209</v>
      </c>
    </row>
    <row r="92" spans="1:11" ht="14.4" customHeight="1" thickBot="1" x14ac:dyDescent="0.35">
      <c r="A92" s="573" t="s">
        <v>356</v>
      </c>
      <c r="B92" s="551">
        <v>11.515238597514999</v>
      </c>
      <c r="C92" s="551">
        <v>14.1187</v>
      </c>
      <c r="D92" s="552">
        <v>2.6034614024840002</v>
      </c>
      <c r="E92" s="553">
        <v>1.2260883593880001</v>
      </c>
      <c r="F92" s="551">
        <v>14.443235653606999</v>
      </c>
      <c r="G92" s="552">
        <v>2.4072059422669998</v>
      </c>
      <c r="H92" s="554">
        <v>1.1295999999999999</v>
      </c>
      <c r="I92" s="551">
        <v>2.9350000000000001</v>
      </c>
      <c r="J92" s="552">
        <v>0.52779405773200005</v>
      </c>
      <c r="K92" s="555">
        <v>0.203209313369</v>
      </c>
    </row>
    <row r="93" spans="1:11" ht="14.4" customHeight="1" thickBot="1" x14ac:dyDescent="0.35">
      <c r="A93" s="573" t="s">
        <v>357</v>
      </c>
      <c r="B93" s="551">
        <v>16.702829128817999</v>
      </c>
      <c r="C93" s="551">
        <v>24.352979999999999</v>
      </c>
      <c r="D93" s="552">
        <v>7.6501508711810002</v>
      </c>
      <c r="E93" s="553">
        <v>1.458015274668</v>
      </c>
      <c r="F93" s="551">
        <v>22.872117662130002</v>
      </c>
      <c r="G93" s="552">
        <v>3.8120196103550001</v>
      </c>
      <c r="H93" s="554">
        <v>1.3579300000000001</v>
      </c>
      <c r="I93" s="551">
        <v>2.4386100000000002</v>
      </c>
      <c r="J93" s="552">
        <v>-1.373409610355</v>
      </c>
      <c r="K93" s="555">
        <v>0.106619336085</v>
      </c>
    </row>
    <row r="94" spans="1:11" ht="14.4" customHeight="1" thickBot="1" x14ac:dyDescent="0.35">
      <c r="A94" s="572" t="s">
        <v>358</v>
      </c>
      <c r="B94" s="556">
        <v>48.504553974185001</v>
      </c>
      <c r="C94" s="556">
        <v>61.750259999999997</v>
      </c>
      <c r="D94" s="557">
        <v>13.245706025815</v>
      </c>
      <c r="E94" s="563">
        <v>1.2730816993559999</v>
      </c>
      <c r="F94" s="556">
        <v>57.907926160911003</v>
      </c>
      <c r="G94" s="557">
        <v>9.6513210268179996</v>
      </c>
      <c r="H94" s="559">
        <v>5.2361599999999999</v>
      </c>
      <c r="I94" s="556">
        <v>13.75</v>
      </c>
      <c r="J94" s="557">
        <v>4.0986789731810003</v>
      </c>
      <c r="K94" s="564">
        <v>0.23744590614</v>
      </c>
    </row>
    <row r="95" spans="1:11" ht="14.4" customHeight="1" thickBot="1" x14ac:dyDescent="0.35">
      <c r="A95" s="573" t="s">
        <v>359</v>
      </c>
      <c r="B95" s="551">
        <v>9.4933571005150004</v>
      </c>
      <c r="C95" s="551">
        <v>11.475</v>
      </c>
      <c r="D95" s="552">
        <v>1.9816428994840001</v>
      </c>
      <c r="E95" s="553">
        <v>1.2087399513679999</v>
      </c>
      <c r="F95" s="551">
        <v>11.885925959468</v>
      </c>
      <c r="G95" s="552">
        <v>1.9809876599109999</v>
      </c>
      <c r="H95" s="554">
        <v>4.9406564584124654E-324</v>
      </c>
      <c r="I95" s="551">
        <v>2.97</v>
      </c>
      <c r="J95" s="552">
        <v>0.98901234008799999</v>
      </c>
      <c r="K95" s="555">
        <v>0.24987535763900001</v>
      </c>
    </row>
    <row r="96" spans="1:11" ht="14.4" customHeight="1" thickBot="1" x14ac:dyDescent="0.35">
      <c r="A96" s="573" t="s">
        <v>360</v>
      </c>
      <c r="B96" s="551">
        <v>39.011196873669</v>
      </c>
      <c r="C96" s="551">
        <v>50.275260000000003</v>
      </c>
      <c r="D96" s="552">
        <v>11.264063126330001</v>
      </c>
      <c r="E96" s="553">
        <v>1.288739234605</v>
      </c>
      <c r="F96" s="551">
        <v>46.022000201442999</v>
      </c>
      <c r="G96" s="552">
        <v>7.6703333669070002</v>
      </c>
      <c r="H96" s="554">
        <v>5.2361599999999999</v>
      </c>
      <c r="I96" s="551">
        <v>10.78</v>
      </c>
      <c r="J96" s="552">
        <v>3.109666633092</v>
      </c>
      <c r="K96" s="555">
        <v>0.23423579924400001</v>
      </c>
    </row>
    <row r="97" spans="1:11" ht="14.4" customHeight="1" thickBot="1" x14ac:dyDescent="0.35">
      <c r="A97" s="572" t="s">
        <v>361</v>
      </c>
      <c r="B97" s="556">
        <v>825.12056654563798</v>
      </c>
      <c r="C97" s="556">
        <v>853.04199000000006</v>
      </c>
      <c r="D97" s="557">
        <v>27.921423454361001</v>
      </c>
      <c r="E97" s="563">
        <v>1.0338392043369999</v>
      </c>
      <c r="F97" s="556">
        <v>852.50549711374401</v>
      </c>
      <c r="G97" s="557">
        <v>142.08424951895699</v>
      </c>
      <c r="H97" s="559">
        <v>11.54696</v>
      </c>
      <c r="I97" s="556">
        <v>82.583320000000001</v>
      </c>
      <c r="J97" s="557">
        <v>-59.500929518955999</v>
      </c>
      <c r="K97" s="564">
        <v>9.6871304970000002E-2</v>
      </c>
    </row>
    <row r="98" spans="1:11" ht="14.4" customHeight="1" thickBot="1" x14ac:dyDescent="0.35">
      <c r="A98" s="573" t="s">
        <v>362</v>
      </c>
      <c r="B98" s="551">
        <v>680.00069048546004</v>
      </c>
      <c r="C98" s="551">
        <v>708.22126000000003</v>
      </c>
      <c r="D98" s="552">
        <v>28.220569514539999</v>
      </c>
      <c r="E98" s="553">
        <v>1.04150079538</v>
      </c>
      <c r="F98" s="551">
        <v>707.09144454745604</v>
      </c>
      <c r="G98" s="552">
        <v>117.84857409124299</v>
      </c>
      <c r="H98" s="554">
        <v>4.9406564584124654E-324</v>
      </c>
      <c r="I98" s="551">
        <v>58.035049999999998</v>
      </c>
      <c r="J98" s="552">
        <v>-59.813524091242002</v>
      </c>
      <c r="K98" s="555">
        <v>8.2075734966E-2</v>
      </c>
    </row>
    <row r="99" spans="1:11" ht="14.4" customHeight="1" thickBot="1" x14ac:dyDescent="0.35">
      <c r="A99" s="573" t="s">
        <v>363</v>
      </c>
      <c r="B99" s="551">
        <v>145.119876060178</v>
      </c>
      <c r="C99" s="551">
        <v>144.82073</v>
      </c>
      <c r="D99" s="552">
        <v>-0.299146060178</v>
      </c>
      <c r="E99" s="553">
        <v>0.99793862792400001</v>
      </c>
      <c r="F99" s="551">
        <v>145.41405256628701</v>
      </c>
      <c r="G99" s="552">
        <v>24.235675427714</v>
      </c>
      <c r="H99" s="554">
        <v>11.54696</v>
      </c>
      <c r="I99" s="551">
        <v>24.548269999999999</v>
      </c>
      <c r="J99" s="552">
        <v>0.31259457228499998</v>
      </c>
      <c r="K99" s="555">
        <v>0.16881635279900001</v>
      </c>
    </row>
    <row r="100" spans="1:11" ht="14.4" customHeight="1" thickBot="1" x14ac:dyDescent="0.35">
      <c r="A100" s="572" t="s">
        <v>364</v>
      </c>
      <c r="B100" s="556">
        <v>1092.8097691294799</v>
      </c>
      <c r="C100" s="556">
        <v>1131.0440100000001</v>
      </c>
      <c r="D100" s="557">
        <v>38.234240870515997</v>
      </c>
      <c r="E100" s="563">
        <v>1.034987096519</v>
      </c>
      <c r="F100" s="556">
        <v>1142.7171240443299</v>
      </c>
      <c r="G100" s="557">
        <v>190.452854007388</v>
      </c>
      <c r="H100" s="559">
        <v>89.119979999999998</v>
      </c>
      <c r="I100" s="556">
        <v>124.92391000000001</v>
      </c>
      <c r="J100" s="557">
        <v>-65.528944007388006</v>
      </c>
      <c r="K100" s="564">
        <v>0.10932181497100001</v>
      </c>
    </row>
    <row r="101" spans="1:11" ht="14.4" customHeight="1" thickBot="1" x14ac:dyDescent="0.35">
      <c r="A101" s="573" t="s">
        <v>365</v>
      </c>
      <c r="B101" s="551">
        <v>9.011761014547</v>
      </c>
      <c r="C101" s="551">
        <v>7.633</v>
      </c>
      <c r="D101" s="552">
        <v>-1.378761014547</v>
      </c>
      <c r="E101" s="553">
        <v>0.84700426339199997</v>
      </c>
      <c r="F101" s="551">
        <v>7.8338741739779998</v>
      </c>
      <c r="G101" s="552">
        <v>1.305645695663</v>
      </c>
      <c r="H101" s="554">
        <v>4.9406564584124654E-324</v>
      </c>
      <c r="I101" s="551">
        <v>9.8813129168249309E-324</v>
      </c>
      <c r="J101" s="552">
        <v>-1.305645695663</v>
      </c>
      <c r="K101" s="555">
        <v>0</v>
      </c>
    </row>
    <row r="102" spans="1:11" ht="14.4" customHeight="1" thickBot="1" x14ac:dyDescent="0.35">
      <c r="A102" s="573" t="s">
        <v>366</v>
      </c>
      <c r="B102" s="551">
        <v>853.81379472231902</v>
      </c>
      <c r="C102" s="551">
        <v>940.70677000000103</v>
      </c>
      <c r="D102" s="552">
        <v>86.892975277681003</v>
      </c>
      <c r="E102" s="553">
        <v>1.101770404524</v>
      </c>
      <c r="F102" s="551">
        <v>930.042500380805</v>
      </c>
      <c r="G102" s="552">
        <v>155.00708339680099</v>
      </c>
      <c r="H102" s="554">
        <v>67.577219999999997</v>
      </c>
      <c r="I102" s="551">
        <v>103.38115000000001</v>
      </c>
      <c r="J102" s="552">
        <v>-51.625933396800001</v>
      </c>
      <c r="K102" s="555">
        <v>0.11115744706</v>
      </c>
    </row>
    <row r="103" spans="1:11" ht="14.4" customHeight="1" thickBot="1" x14ac:dyDescent="0.35">
      <c r="A103" s="573" t="s">
        <v>367</v>
      </c>
      <c r="B103" s="551">
        <v>3.9979378279689999</v>
      </c>
      <c r="C103" s="551">
        <v>4.2731000000000003</v>
      </c>
      <c r="D103" s="552">
        <v>0.27516217202999999</v>
      </c>
      <c r="E103" s="553">
        <v>1.068826025783</v>
      </c>
      <c r="F103" s="551">
        <v>5.0018220837029999</v>
      </c>
      <c r="G103" s="552">
        <v>0.83363701395000001</v>
      </c>
      <c r="H103" s="554">
        <v>4.9406564584124654E-324</v>
      </c>
      <c r="I103" s="551">
        <v>9.8813129168249309E-324</v>
      </c>
      <c r="J103" s="552">
        <v>-0.83363701395000001</v>
      </c>
      <c r="K103" s="555">
        <v>0</v>
      </c>
    </row>
    <row r="104" spans="1:11" ht="14.4" customHeight="1" thickBot="1" x14ac:dyDescent="0.35">
      <c r="A104" s="573" t="s">
        <v>368</v>
      </c>
      <c r="B104" s="551">
        <v>2.2774887556590002</v>
      </c>
      <c r="C104" s="551">
        <v>24.90326</v>
      </c>
      <c r="D104" s="552">
        <v>22.625771244340001</v>
      </c>
      <c r="E104" s="553">
        <v>10.934525994085</v>
      </c>
      <c r="F104" s="551">
        <v>23.527871188203999</v>
      </c>
      <c r="G104" s="552">
        <v>3.9213118646999998</v>
      </c>
      <c r="H104" s="554">
        <v>4.9406564584124654E-324</v>
      </c>
      <c r="I104" s="551">
        <v>9.8813129168249309E-324</v>
      </c>
      <c r="J104" s="552">
        <v>-3.9213118646999998</v>
      </c>
      <c r="K104" s="555">
        <v>0</v>
      </c>
    </row>
    <row r="105" spans="1:11" ht="14.4" customHeight="1" thickBot="1" x14ac:dyDescent="0.35">
      <c r="A105" s="573" t="s">
        <v>369</v>
      </c>
      <c r="B105" s="551">
        <v>223.70878680898801</v>
      </c>
      <c r="C105" s="551">
        <v>153.52788000000001</v>
      </c>
      <c r="D105" s="552">
        <v>-70.180906808987004</v>
      </c>
      <c r="E105" s="553">
        <v>0.68628453173399995</v>
      </c>
      <c r="F105" s="551">
        <v>176.31105621763999</v>
      </c>
      <c r="G105" s="552">
        <v>29.385176036272998</v>
      </c>
      <c r="H105" s="554">
        <v>21.542760000000001</v>
      </c>
      <c r="I105" s="551">
        <v>21.542760000000001</v>
      </c>
      <c r="J105" s="552">
        <v>-7.8424160362729998</v>
      </c>
      <c r="K105" s="555">
        <v>0.122186098036</v>
      </c>
    </row>
    <row r="106" spans="1:11" ht="14.4" customHeight="1" thickBot="1" x14ac:dyDescent="0.35">
      <c r="A106" s="572" t="s">
        <v>370</v>
      </c>
      <c r="B106" s="556">
        <v>3.5001279331489998</v>
      </c>
      <c r="C106" s="556">
        <v>2.2730000000000001</v>
      </c>
      <c r="D106" s="557">
        <v>-1.2271279331489999</v>
      </c>
      <c r="E106" s="563">
        <v>0.64940483416899997</v>
      </c>
      <c r="F106" s="556">
        <v>0</v>
      </c>
      <c r="G106" s="557">
        <v>0</v>
      </c>
      <c r="H106" s="559">
        <v>0.90944000000000003</v>
      </c>
      <c r="I106" s="556">
        <v>0.90944000000000003</v>
      </c>
      <c r="J106" s="557">
        <v>0.90944000000000003</v>
      </c>
      <c r="K106" s="560" t="s">
        <v>272</v>
      </c>
    </row>
    <row r="107" spans="1:11" ht="14.4" customHeight="1" thickBot="1" x14ac:dyDescent="0.35">
      <c r="A107" s="573" t="s">
        <v>371</v>
      </c>
      <c r="B107" s="551">
        <v>3.5001279331489998</v>
      </c>
      <c r="C107" s="551">
        <v>2.2730000000000001</v>
      </c>
      <c r="D107" s="552">
        <v>-1.2271279331489999</v>
      </c>
      <c r="E107" s="553">
        <v>0.64940483416899997</v>
      </c>
      <c r="F107" s="551">
        <v>0</v>
      </c>
      <c r="G107" s="552">
        <v>0</v>
      </c>
      <c r="H107" s="554">
        <v>0.90944000000000003</v>
      </c>
      <c r="I107" s="551">
        <v>0.90944000000000003</v>
      </c>
      <c r="J107" s="552">
        <v>0.90944000000000003</v>
      </c>
      <c r="K107" s="562" t="s">
        <v>272</v>
      </c>
    </row>
    <row r="108" spans="1:11" ht="14.4" customHeight="1" thickBot="1" x14ac:dyDescent="0.35">
      <c r="A108" s="570" t="s">
        <v>38</v>
      </c>
      <c r="B108" s="551">
        <v>37935.989767666098</v>
      </c>
      <c r="C108" s="551">
        <v>40558.046990000003</v>
      </c>
      <c r="D108" s="552">
        <v>2622.05722233388</v>
      </c>
      <c r="E108" s="553">
        <v>1.0691179336129999</v>
      </c>
      <c r="F108" s="551">
        <v>39682.195760504997</v>
      </c>
      <c r="G108" s="552">
        <v>6613.6992934175096</v>
      </c>
      <c r="H108" s="554">
        <v>3067.1609199999998</v>
      </c>
      <c r="I108" s="551">
        <v>6202.7014600000202</v>
      </c>
      <c r="J108" s="552">
        <v>-410.99783341748901</v>
      </c>
      <c r="K108" s="555">
        <v>0.15630943150000001</v>
      </c>
    </row>
    <row r="109" spans="1:11" ht="14.4" customHeight="1" thickBot="1" x14ac:dyDescent="0.35">
      <c r="A109" s="576" t="s">
        <v>372</v>
      </c>
      <c r="B109" s="556">
        <v>28122.999999998501</v>
      </c>
      <c r="C109" s="556">
        <v>30165.696</v>
      </c>
      <c r="D109" s="557">
        <v>2042.6960000015499</v>
      </c>
      <c r="E109" s="563">
        <v>1.07263435622</v>
      </c>
      <c r="F109" s="556">
        <v>29446.999999999502</v>
      </c>
      <c r="G109" s="557">
        <v>4907.8333333332403</v>
      </c>
      <c r="H109" s="559">
        <v>2274.692</v>
      </c>
      <c r="I109" s="556">
        <v>4598.1670000000104</v>
      </c>
      <c r="J109" s="557">
        <v>-309.66633333323301</v>
      </c>
      <c r="K109" s="564">
        <v>0.15615060956900001</v>
      </c>
    </row>
    <row r="110" spans="1:11" ht="14.4" customHeight="1" thickBot="1" x14ac:dyDescent="0.35">
      <c r="A110" s="572" t="s">
        <v>373</v>
      </c>
      <c r="B110" s="556">
        <v>28037.999999998501</v>
      </c>
      <c r="C110" s="556">
        <v>29911.454000000002</v>
      </c>
      <c r="D110" s="557">
        <v>1873.45400000155</v>
      </c>
      <c r="E110" s="563">
        <v>1.0668183893280001</v>
      </c>
      <c r="F110" s="556">
        <v>29241.999999999502</v>
      </c>
      <c r="G110" s="557">
        <v>4873.6666666665797</v>
      </c>
      <c r="H110" s="559">
        <v>2260.9769999999999</v>
      </c>
      <c r="I110" s="556">
        <v>4575.3320000000103</v>
      </c>
      <c r="J110" s="557">
        <v>-298.33466666656699</v>
      </c>
      <c r="K110" s="564">
        <v>0.15646440051900001</v>
      </c>
    </row>
    <row r="111" spans="1:11" ht="14.4" customHeight="1" thickBot="1" x14ac:dyDescent="0.35">
      <c r="A111" s="573" t="s">
        <v>374</v>
      </c>
      <c r="B111" s="551">
        <v>28037.999999998501</v>
      </c>
      <c r="C111" s="551">
        <v>29911.454000000002</v>
      </c>
      <c r="D111" s="552">
        <v>1873.45400000155</v>
      </c>
      <c r="E111" s="553">
        <v>1.0668183893280001</v>
      </c>
      <c r="F111" s="551">
        <v>29241.999999999502</v>
      </c>
      <c r="G111" s="552">
        <v>4873.6666666665797</v>
      </c>
      <c r="H111" s="554">
        <v>2260.9769999999999</v>
      </c>
      <c r="I111" s="551">
        <v>4575.3320000000103</v>
      </c>
      <c r="J111" s="552">
        <v>-298.33466666656699</v>
      </c>
      <c r="K111" s="555">
        <v>0.15646440051900001</v>
      </c>
    </row>
    <row r="112" spans="1:11" ht="14.4" customHeight="1" thickBot="1" x14ac:dyDescent="0.35">
      <c r="A112" s="572" t="s">
        <v>375</v>
      </c>
      <c r="B112" s="556">
        <v>84.999999999994998</v>
      </c>
      <c r="C112" s="556">
        <v>135.88999999999999</v>
      </c>
      <c r="D112" s="557">
        <v>50.890000000004001</v>
      </c>
      <c r="E112" s="563">
        <v>1.598705882353</v>
      </c>
      <c r="F112" s="556">
        <v>108.999999999998</v>
      </c>
      <c r="G112" s="557">
        <v>18.166666666666</v>
      </c>
      <c r="H112" s="559">
        <v>3</v>
      </c>
      <c r="I112" s="556">
        <v>12.12</v>
      </c>
      <c r="J112" s="557">
        <v>-6.0466666666659998</v>
      </c>
      <c r="K112" s="564">
        <v>0.11119266055</v>
      </c>
    </row>
    <row r="113" spans="1:11" ht="14.4" customHeight="1" thickBot="1" x14ac:dyDescent="0.35">
      <c r="A113" s="573" t="s">
        <v>376</v>
      </c>
      <c r="B113" s="551">
        <v>84.999999999994998</v>
      </c>
      <c r="C113" s="551">
        <v>135.88999999999999</v>
      </c>
      <c r="D113" s="552">
        <v>50.890000000004001</v>
      </c>
      <c r="E113" s="553">
        <v>1.598705882353</v>
      </c>
      <c r="F113" s="551">
        <v>108.999999999998</v>
      </c>
      <c r="G113" s="552">
        <v>18.166666666666</v>
      </c>
      <c r="H113" s="554">
        <v>3</v>
      </c>
      <c r="I113" s="551">
        <v>12.12</v>
      </c>
      <c r="J113" s="552">
        <v>-6.0466666666659998</v>
      </c>
      <c r="K113" s="555">
        <v>0.11119266055</v>
      </c>
    </row>
    <row r="114" spans="1:11" ht="14.4" customHeight="1" thickBot="1" x14ac:dyDescent="0.35">
      <c r="A114" s="572" t="s">
        <v>377</v>
      </c>
      <c r="B114" s="556">
        <v>0</v>
      </c>
      <c r="C114" s="556">
        <v>118.352</v>
      </c>
      <c r="D114" s="557">
        <v>118.352</v>
      </c>
      <c r="E114" s="558" t="s">
        <v>272</v>
      </c>
      <c r="F114" s="556">
        <v>95.999999999997996</v>
      </c>
      <c r="G114" s="557">
        <v>15.999999999999</v>
      </c>
      <c r="H114" s="559">
        <v>10.715</v>
      </c>
      <c r="I114" s="556">
        <v>10.715</v>
      </c>
      <c r="J114" s="557">
        <v>-5.2849999999990001</v>
      </c>
      <c r="K114" s="564">
        <v>0.11161458333300001</v>
      </c>
    </row>
    <row r="115" spans="1:11" ht="14.4" customHeight="1" thickBot="1" x14ac:dyDescent="0.35">
      <c r="A115" s="573" t="s">
        <v>378</v>
      </c>
      <c r="B115" s="551">
        <v>0</v>
      </c>
      <c r="C115" s="551">
        <v>118.352</v>
      </c>
      <c r="D115" s="552">
        <v>118.352</v>
      </c>
      <c r="E115" s="561" t="s">
        <v>272</v>
      </c>
      <c r="F115" s="551">
        <v>95.999999999997996</v>
      </c>
      <c r="G115" s="552">
        <v>15.999999999999</v>
      </c>
      <c r="H115" s="554">
        <v>10.715</v>
      </c>
      <c r="I115" s="551">
        <v>10.715</v>
      </c>
      <c r="J115" s="552">
        <v>-5.2849999999990001</v>
      </c>
      <c r="K115" s="555">
        <v>0.11161458333300001</v>
      </c>
    </row>
    <row r="116" spans="1:11" ht="14.4" customHeight="1" thickBot="1" x14ac:dyDescent="0.35">
      <c r="A116" s="571" t="s">
        <v>379</v>
      </c>
      <c r="B116" s="551">
        <v>9533.9897676677101</v>
      </c>
      <c r="C116" s="551">
        <v>10092.051149999999</v>
      </c>
      <c r="D116" s="552">
        <v>558.06138233229603</v>
      </c>
      <c r="E116" s="553">
        <v>1.0585338767850001</v>
      </c>
      <c r="F116" s="551">
        <v>9942.1957605055704</v>
      </c>
      <c r="G116" s="552">
        <v>1657.0326267509299</v>
      </c>
      <c r="H116" s="554">
        <v>769.75288999999998</v>
      </c>
      <c r="I116" s="551">
        <v>1558.67482</v>
      </c>
      <c r="J116" s="552">
        <v>-98.357806750924993</v>
      </c>
      <c r="K116" s="555">
        <v>0.15677370045200001</v>
      </c>
    </row>
    <row r="117" spans="1:11" ht="14.4" customHeight="1" thickBot="1" x14ac:dyDescent="0.35">
      <c r="A117" s="572" t="s">
        <v>380</v>
      </c>
      <c r="B117" s="556">
        <v>2523.9999805729799</v>
      </c>
      <c r="C117" s="556">
        <v>2698.5646700000002</v>
      </c>
      <c r="D117" s="557">
        <v>174.564689427019</v>
      </c>
      <c r="E117" s="563">
        <v>1.069161921858</v>
      </c>
      <c r="F117" s="556">
        <v>2632.19576050572</v>
      </c>
      <c r="G117" s="557">
        <v>438.69929341762003</v>
      </c>
      <c r="H117" s="559">
        <v>203.75864999999999</v>
      </c>
      <c r="I117" s="556">
        <v>412.59182000000101</v>
      </c>
      <c r="J117" s="557">
        <v>-26.107473417619001</v>
      </c>
      <c r="K117" s="564">
        <v>0.15674815155800001</v>
      </c>
    </row>
    <row r="118" spans="1:11" ht="14.4" customHeight="1" thickBot="1" x14ac:dyDescent="0.35">
      <c r="A118" s="573" t="s">
        <v>381</v>
      </c>
      <c r="B118" s="551">
        <v>2523.9999805729799</v>
      </c>
      <c r="C118" s="551">
        <v>2698.5646700000002</v>
      </c>
      <c r="D118" s="552">
        <v>174.564689427019</v>
      </c>
      <c r="E118" s="553">
        <v>1.069161921858</v>
      </c>
      <c r="F118" s="551">
        <v>2632.19576050572</v>
      </c>
      <c r="G118" s="552">
        <v>438.69929341762003</v>
      </c>
      <c r="H118" s="554">
        <v>203.75864999999999</v>
      </c>
      <c r="I118" s="551">
        <v>412.59182000000101</v>
      </c>
      <c r="J118" s="552">
        <v>-26.107473417619001</v>
      </c>
      <c r="K118" s="555">
        <v>0.15674815155800001</v>
      </c>
    </row>
    <row r="119" spans="1:11" ht="14.4" customHeight="1" thickBot="1" x14ac:dyDescent="0.35">
      <c r="A119" s="572" t="s">
        <v>382</v>
      </c>
      <c r="B119" s="556">
        <v>7009.9897870947198</v>
      </c>
      <c r="C119" s="556">
        <v>7393.4864799999996</v>
      </c>
      <c r="D119" s="557">
        <v>383.49669290527999</v>
      </c>
      <c r="E119" s="563">
        <v>1.054707168562</v>
      </c>
      <c r="F119" s="556">
        <v>7309.9999999998499</v>
      </c>
      <c r="G119" s="557">
        <v>1218.3333333333101</v>
      </c>
      <c r="H119" s="559">
        <v>565.99423999999999</v>
      </c>
      <c r="I119" s="556">
        <v>1146.0830000000001</v>
      </c>
      <c r="J119" s="557">
        <v>-72.250333333304994</v>
      </c>
      <c r="K119" s="564">
        <v>0.15678290013599999</v>
      </c>
    </row>
    <row r="120" spans="1:11" ht="14.4" customHeight="1" thickBot="1" x14ac:dyDescent="0.35">
      <c r="A120" s="573" t="s">
        <v>383</v>
      </c>
      <c r="B120" s="551">
        <v>7009.9897870947198</v>
      </c>
      <c r="C120" s="551">
        <v>7393.4864799999996</v>
      </c>
      <c r="D120" s="552">
        <v>383.49669290527999</v>
      </c>
      <c r="E120" s="553">
        <v>1.054707168562</v>
      </c>
      <c r="F120" s="551">
        <v>7309.9999999998499</v>
      </c>
      <c r="G120" s="552">
        <v>1218.3333333333101</v>
      </c>
      <c r="H120" s="554">
        <v>565.99423999999999</v>
      </c>
      <c r="I120" s="551">
        <v>1146.0830000000001</v>
      </c>
      <c r="J120" s="552">
        <v>-72.250333333304994</v>
      </c>
      <c r="K120" s="555">
        <v>0.15678290013599999</v>
      </c>
    </row>
    <row r="121" spans="1:11" ht="14.4" customHeight="1" thickBot="1" x14ac:dyDescent="0.35">
      <c r="A121" s="571" t="s">
        <v>384</v>
      </c>
      <c r="B121" s="551">
        <v>278.99999999998499</v>
      </c>
      <c r="C121" s="551">
        <v>300.29984000000002</v>
      </c>
      <c r="D121" s="552">
        <v>21.299840000014999</v>
      </c>
      <c r="E121" s="553">
        <v>1.076343512544</v>
      </c>
      <c r="F121" s="551">
        <v>292.99999999999397</v>
      </c>
      <c r="G121" s="552">
        <v>48.833333333332</v>
      </c>
      <c r="H121" s="554">
        <v>22.71603</v>
      </c>
      <c r="I121" s="551">
        <v>45.859639999999999</v>
      </c>
      <c r="J121" s="552">
        <v>-2.9736933333320001</v>
      </c>
      <c r="K121" s="555">
        <v>0.15651754266199999</v>
      </c>
    </row>
    <row r="122" spans="1:11" ht="14.4" customHeight="1" thickBot="1" x14ac:dyDescent="0.35">
      <c r="A122" s="572" t="s">
        <v>385</v>
      </c>
      <c r="B122" s="556">
        <v>278.99999999998499</v>
      </c>
      <c r="C122" s="556">
        <v>300.29984000000002</v>
      </c>
      <c r="D122" s="557">
        <v>21.299840000014999</v>
      </c>
      <c r="E122" s="563">
        <v>1.076343512544</v>
      </c>
      <c r="F122" s="556">
        <v>292.99999999999397</v>
      </c>
      <c r="G122" s="557">
        <v>48.833333333332</v>
      </c>
      <c r="H122" s="559">
        <v>22.71603</v>
      </c>
      <c r="I122" s="556">
        <v>45.859639999999999</v>
      </c>
      <c r="J122" s="557">
        <v>-2.9736933333320001</v>
      </c>
      <c r="K122" s="564">
        <v>0.15651754266199999</v>
      </c>
    </row>
    <row r="123" spans="1:11" ht="14.4" customHeight="1" thickBot="1" x14ac:dyDescent="0.35">
      <c r="A123" s="573" t="s">
        <v>386</v>
      </c>
      <c r="B123" s="551">
        <v>278.99999999998499</v>
      </c>
      <c r="C123" s="551">
        <v>300.29984000000002</v>
      </c>
      <c r="D123" s="552">
        <v>21.299840000014999</v>
      </c>
      <c r="E123" s="553">
        <v>1.076343512544</v>
      </c>
      <c r="F123" s="551">
        <v>292.99999999999397</v>
      </c>
      <c r="G123" s="552">
        <v>48.833333333332</v>
      </c>
      <c r="H123" s="554">
        <v>22.71603</v>
      </c>
      <c r="I123" s="551">
        <v>45.859639999999999</v>
      </c>
      <c r="J123" s="552">
        <v>-2.9736933333320001</v>
      </c>
      <c r="K123" s="555">
        <v>0.15651754266199999</v>
      </c>
    </row>
    <row r="124" spans="1:11" ht="14.4" customHeight="1" thickBot="1" x14ac:dyDescent="0.35">
      <c r="A124" s="570" t="s">
        <v>387</v>
      </c>
      <c r="B124" s="551">
        <v>4.9406564584124654E-324</v>
      </c>
      <c r="C124" s="551">
        <v>0.03</v>
      </c>
      <c r="D124" s="552">
        <v>0.03</v>
      </c>
      <c r="E124" s="561" t="s">
        <v>278</v>
      </c>
      <c r="F124" s="551">
        <v>0</v>
      </c>
      <c r="G124" s="552">
        <v>0</v>
      </c>
      <c r="H124" s="554">
        <v>4.9406564584124654E-324</v>
      </c>
      <c r="I124" s="551">
        <v>9.8813129168249309E-324</v>
      </c>
      <c r="J124" s="552">
        <v>9.8813129168249309E-324</v>
      </c>
      <c r="K124" s="562" t="s">
        <v>272</v>
      </c>
    </row>
    <row r="125" spans="1:11" ht="14.4" customHeight="1" thickBot="1" x14ac:dyDescent="0.35">
      <c r="A125" s="571" t="s">
        <v>388</v>
      </c>
      <c r="B125" s="551">
        <v>4.9406564584124654E-324</v>
      </c>
      <c r="C125" s="551">
        <v>0.03</v>
      </c>
      <c r="D125" s="552">
        <v>0.03</v>
      </c>
      <c r="E125" s="561" t="s">
        <v>278</v>
      </c>
      <c r="F125" s="551">
        <v>0</v>
      </c>
      <c r="G125" s="552">
        <v>0</v>
      </c>
      <c r="H125" s="554">
        <v>4.9406564584124654E-324</v>
      </c>
      <c r="I125" s="551">
        <v>9.8813129168249309E-324</v>
      </c>
      <c r="J125" s="552">
        <v>9.8813129168249309E-324</v>
      </c>
      <c r="K125" s="562" t="s">
        <v>272</v>
      </c>
    </row>
    <row r="126" spans="1:11" ht="14.4" customHeight="1" thickBot="1" x14ac:dyDescent="0.35">
      <c r="A126" s="572" t="s">
        <v>389</v>
      </c>
      <c r="B126" s="556">
        <v>4.9406564584124654E-324</v>
      </c>
      <c r="C126" s="556">
        <v>0.03</v>
      </c>
      <c r="D126" s="557">
        <v>0.03</v>
      </c>
      <c r="E126" s="558" t="s">
        <v>278</v>
      </c>
      <c r="F126" s="556">
        <v>0</v>
      </c>
      <c r="G126" s="557">
        <v>0</v>
      </c>
      <c r="H126" s="559">
        <v>4.9406564584124654E-324</v>
      </c>
      <c r="I126" s="556">
        <v>9.8813129168249309E-324</v>
      </c>
      <c r="J126" s="557">
        <v>9.8813129168249309E-324</v>
      </c>
      <c r="K126" s="560" t="s">
        <v>272</v>
      </c>
    </row>
    <row r="127" spans="1:11" ht="14.4" customHeight="1" thickBot="1" x14ac:dyDescent="0.35">
      <c r="A127" s="573" t="s">
        <v>390</v>
      </c>
      <c r="B127" s="551">
        <v>4.9406564584124654E-324</v>
      </c>
      <c r="C127" s="551">
        <v>0.03</v>
      </c>
      <c r="D127" s="552">
        <v>0.03</v>
      </c>
      <c r="E127" s="561" t="s">
        <v>278</v>
      </c>
      <c r="F127" s="551">
        <v>0</v>
      </c>
      <c r="G127" s="552">
        <v>0</v>
      </c>
      <c r="H127" s="554">
        <v>4.9406564584124654E-324</v>
      </c>
      <c r="I127" s="551">
        <v>9.8813129168249309E-324</v>
      </c>
      <c r="J127" s="552">
        <v>9.8813129168249309E-324</v>
      </c>
      <c r="K127" s="562" t="s">
        <v>272</v>
      </c>
    </row>
    <row r="128" spans="1:11" ht="14.4" customHeight="1" thickBot="1" x14ac:dyDescent="0.35">
      <c r="A128" s="570" t="s">
        <v>391</v>
      </c>
      <c r="B128" s="551">
        <v>0</v>
      </c>
      <c r="C128" s="551">
        <v>55.127249999999997</v>
      </c>
      <c r="D128" s="552">
        <v>55.127249999999997</v>
      </c>
      <c r="E128" s="561" t="s">
        <v>272</v>
      </c>
      <c r="F128" s="551">
        <v>0</v>
      </c>
      <c r="G128" s="552">
        <v>0</v>
      </c>
      <c r="H128" s="554">
        <v>3.931</v>
      </c>
      <c r="I128" s="551">
        <v>7.8630000000000004</v>
      </c>
      <c r="J128" s="552">
        <v>7.8630000000000004</v>
      </c>
      <c r="K128" s="562" t="s">
        <v>272</v>
      </c>
    </row>
    <row r="129" spans="1:11" ht="14.4" customHeight="1" thickBot="1" x14ac:dyDescent="0.35">
      <c r="A129" s="571" t="s">
        <v>392</v>
      </c>
      <c r="B129" s="551">
        <v>0</v>
      </c>
      <c r="C129" s="551">
        <v>55.127249999999997</v>
      </c>
      <c r="D129" s="552">
        <v>55.127249999999997</v>
      </c>
      <c r="E129" s="561" t="s">
        <v>272</v>
      </c>
      <c r="F129" s="551">
        <v>0</v>
      </c>
      <c r="G129" s="552">
        <v>0</v>
      </c>
      <c r="H129" s="554">
        <v>3.931</v>
      </c>
      <c r="I129" s="551">
        <v>7.8630000000000004</v>
      </c>
      <c r="J129" s="552">
        <v>7.8630000000000004</v>
      </c>
      <c r="K129" s="562" t="s">
        <v>272</v>
      </c>
    </row>
    <row r="130" spans="1:11" ht="14.4" customHeight="1" thickBot="1" x14ac:dyDescent="0.35">
      <c r="A130" s="572" t="s">
        <v>393</v>
      </c>
      <c r="B130" s="556">
        <v>0</v>
      </c>
      <c r="C130" s="556">
        <v>45.627249999999997</v>
      </c>
      <c r="D130" s="557">
        <v>45.627249999999997</v>
      </c>
      <c r="E130" s="558" t="s">
        <v>272</v>
      </c>
      <c r="F130" s="556">
        <v>0</v>
      </c>
      <c r="G130" s="557">
        <v>0</v>
      </c>
      <c r="H130" s="559">
        <v>3.931</v>
      </c>
      <c r="I130" s="556">
        <v>7.8630000000000004</v>
      </c>
      <c r="J130" s="557">
        <v>7.8630000000000004</v>
      </c>
      <c r="K130" s="560" t="s">
        <v>272</v>
      </c>
    </row>
    <row r="131" spans="1:11" ht="14.4" customHeight="1" thickBot="1" x14ac:dyDescent="0.35">
      <c r="A131" s="573" t="s">
        <v>394</v>
      </c>
      <c r="B131" s="551">
        <v>0</v>
      </c>
      <c r="C131" s="551">
        <v>7.3592500000000003</v>
      </c>
      <c r="D131" s="552">
        <v>7.3592500000000003</v>
      </c>
      <c r="E131" s="561" t="s">
        <v>272</v>
      </c>
      <c r="F131" s="551">
        <v>0</v>
      </c>
      <c r="G131" s="552">
        <v>0</v>
      </c>
      <c r="H131" s="554">
        <v>4.9406564584124654E-324</v>
      </c>
      <c r="I131" s="551">
        <v>9.8813129168249309E-324</v>
      </c>
      <c r="J131" s="552">
        <v>9.8813129168249309E-324</v>
      </c>
      <c r="K131" s="562" t="s">
        <v>272</v>
      </c>
    </row>
    <row r="132" spans="1:11" ht="14.4" customHeight="1" thickBot="1" x14ac:dyDescent="0.35">
      <c r="A132" s="573" t="s">
        <v>395</v>
      </c>
      <c r="B132" s="551">
        <v>0</v>
      </c>
      <c r="C132" s="551">
        <v>12.5</v>
      </c>
      <c r="D132" s="552">
        <v>12.5</v>
      </c>
      <c r="E132" s="561" t="s">
        <v>272</v>
      </c>
      <c r="F132" s="551">
        <v>0</v>
      </c>
      <c r="G132" s="552">
        <v>0</v>
      </c>
      <c r="H132" s="554">
        <v>4.9406564584124654E-324</v>
      </c>
      <c r="I132" s="551">
        <v>9.8813129168249309E-324</v>
      </c>
      <c r="J132" s="552">
        <v>9.8813129168249309E-324</v>
      </c>
      <c r="K132" s="562" t="s">
        <v>272</v>
      </c>
    </row>
    <row r="133" spans="1:11" ht="14.4" customHeight="1" thickBot="1" x14ac:dyDescent="0.35">
      <c r="A133" s="573" t="s">
        <v>396</v>
      </c>
      <c r="B133" s="551">
        <v>0</v>
      </c>
      <c r="C133" s="551">
        <v>25.768000000000001</v>
      </c>
      <c r="D133" s="552">
        <v>25.768000000000001</v>
      </c>
      <c r="E133" s="561" t="s">
        <v>272</v>
      </c>
      <c r="F133" s="551">
        <v>0</v>
      </c>
      <c r="G133" s="552">
        <v>0</v>
      </c>
      <c r="H133" s="554">
        <v>3.931</v>
      </c>
      <c r="I133" s="551">
        <v>7.8630000000000004</v>
      </c>
      <c r="J133" s="552">
        <v>7.8630000000000004</v>
      </c>
      <c r="K133" s="562" t="s">
        <v>272</v>
      </c>
    </row>
    <row r="134" spans="1:11" ht="14.4" customHeight="1" thickBot="1" x14ac:dyDescent="0.35">
      <c r="A134" s="575" t="s">
        <v>397</v>
      </c>
      <c r="B134" s="551">
        <v>0</v>
      </c>
      <c r="C134" s="551">
        <v>7.1</v>
      </c>
      <c r="D134" s="552">
        <v>7.1</v>
      </c>
      <c r="E134" s="561" t="s">
        <v>272</v>
      </c>
      <c r="F134" s="551">
        <v>0</v>
      </c>
      <c r="G134" s="552">
        <v>0</v>
      </c>
      <c r="H134" s="554">
        <v>4.9406564584124654E-324</v>
      </c>
      <c r="I134" s="551">
        <v>9.8813129168249309E-324</v>
      </c>
      <c r="J134" s="552">
        <v>9.8813129168249309E-324</v>
      </c>
      <c r="K134" s="562" t="s">
        <v>272</v>
      </c>
    </row>
    <row r="135" spans="1:11" ht="14.4" customHeight="1" thickBot="1" x14ac:dyDescent="0.35">
      <c r="A135" s="573" t="s">
        <v>398</v>
      </c>
      <c r="B135" s="551">
        <v>0</v>
      </c>
      <c r="C135" s="551">
        <v>7.1</v>
      </c>
      <c r="D135" s="552">
        <v>7.1</v>
      </c>
      <c r="E135" s="561" t="s">
        <v>272</v>
      </c>
      <c r="F135" s="551">
        <v>0</v>
      </c>
      <c r="G135" s="552">
        <v>0</v>
      </c>
      <c r="H135" s="554">
        <v>4.9406564584124654E-324</v>
      </c>
      <c r="I135" s="551">
        <v>9.8813129168249309E-324</v>
      </c>
      <c r="J135" s="552">
        <v>9.8813129168249309E-324</v>
      </c>
      <c r="K135" s="562" t="s">
        <v>272</v>
      </c>
    </row>
    <row r="136" spans="1:11" ht="14.4" customHeight="1" thickBot="1" x14ac:dyDescent="0.35">
      <c r="A136" s="575" t="s">
        <v>399</v>
      </c>
      <c r="B136" s="551">
        <v>0</v>
      </c>
      <c r="C136" s="551">
        <v>2.4</v>
      </c>
      <c r="D136" s="552">
        <v>2.4</v>
      </c>
      <c r="E136" s="561" t="s">
        <v>272</v>
      </c>
      <c r="F136" s="551">
        <v>0</v>
      </c>
      <c r="G136" s="552">
        <v>0</v>
      </c>
      <c r="H136" s="554">
        <v>4.9406564584124654E-324</v>
      </c>
      <c r="I136" s="551">
        <v>9.8813129168249309E-324</v>
      </c>
      <c r="J136" s="552">
        <v>9.8813129168249309E-324</v>
      </c>
      <c r="K136" s="562" t="s">
        <v>272</v>
      </c>
    </row>
    <row r="137" spans="1:11" ht="14.4" customHeight="1" thickBot="1" x14ac:dyDescent="0.35">
      <c r="A137" s="573" t="s">
        <v>400</v>
      </c>
      <c r="B137" s="551">
        <v>0</v>
      </c>
      <c r="C137" s="551">
        <v>2.4</v>
      </c>
      <c r="D137" s="552">
        <v>2.4</v>
      </c>
      <c r="E137" s="561" t="s">
        <v>272</v>
      </c>
      <c r="F137" s="551">
        <v>0</v>
      </c>
      <c r="G137" s="552">
        <v>0</v>
      </c>
      <c r="H137" s="554">
        <v>4.9406564584124654E-324</v>
      </c>
      <c r="I137" s="551">
        <v>9.8813129168249309E-324</v>
      </c>
      <c r="J137" s="552">
        <v>9.8813129168249309E-324</v>
      </c>
      <c r="K137" s="562" t="s">
        <v>272</v>
      </c>
    </row>
    <row r="138" spans="1:11" ht="14.4" customHeight="1" thickBot="1" x14ac:dyDescent="0.35">
      <c r="A138" s="570" t="s">
        <v>401</v>
      </c>
      <c r="B138" s="551">
        <v>2180.9999999998799</v>
      </c>
      <c r="C138" s="551">
        <v>2601.0878200000002</v>
      </c>
      <c r="D138" s="552">
        <v>420.08782000012297</v>
      </c>
      <c r="E138" s="553">
        <v>1.1926124805130001</v>
      </c>
      <c r="F138" s="551">
        <v>2721.9962620438</v>
      </c>
      <c r="G138" s="552">
        <v>453.66604367396599</v>
      </c>
      <c r="H138" s="554">
        <v>240.63300000000001</v>
      </c>
      <c r="I138" s="551">
        <v>472.49100000000101</v>
      </c>
      <c r="J138" s="552">
        <v>18.824956326033998</v>
      </c>
      <c r="K138" s="555">
        <v>0.17358253080200001</v>
      </c>
    </row>
    <row r="139" spans="1:11" ht="14.4" customHeight="1" thickBot="1" x14ac:dyDescent="0.35">
      <c r="A139" s="571" t="s">
        <v>402</v>
      </c>
      <c r="B139" s="551">
        <v>2180.9999999998799</v>
      </c>
      <c r="C139" s="551">
        <v>1994.0340000000001</v>
      </c>
      <c r="D139" s="552">
        <v>-186.96599999987799</v>
      </c>
      <c r="E139" s="553">
        <v>0.91427510316299998</v>
      </c>
      <c r="F139" s="551">
        <v>2721.9962620438</v>
      </c>
      <c r="G139" s="552">
        <v>453.66604367396599</v>
      </c>
      <c r="H139" s="554">
        <v>239.18100000000001</v>
      </c>
      <c r="I139" s="551">
        <v>471.03900000000101</v>
      </c>
      <c r="J139" s="552">
        <v>17.372956326034</v>
      </c>
      <c r="K139" s="555">
        <v>0.17304909876899999</v>
      </c>
    </row>
    <row r="140" spans="1:11" ht="14.4" customHeight="1" thickBot="1" x14ac:dyDescent="0.35">
      <c r="A140" s="572" t="s">
        <v>403</v>
      </c>
      <c r="B140" s="556">
        <v>2180.9999999998799</v>
      </c>
      <c r="C140" s="556">
        <v>1994.0340000000001</v>
      </c>
      <c r="D140" s="557">
        <v>-186.96599999987799</v>
      </c>
      <c r="E140" s="563">
        <v>0.91427510316299998</v>
      </c>
      <c r="F140" s="556">
        <v>2721.9962620438</v>
      </c>
      <c r="G140" s="557">
        <v>453.66604367396599</v>
      </c>
      <c r="H140" s="559">
        <v>239.18100000000001</v>
      </c>
      <c r="I140" s="556">
        <v>471.03900000000101</v>
      </c>
      <c r="J140" s="557">
        <v>17.372956326034</v>
      </c>
      <c r="K140" s="564">
        <v>0.17304909876899999</v>
      </c>
    </row>
    <row r="141" spans="1:11" ht="14.4" customHeight="1" thickBot="1" x14ac:dyDescent="0.35">
      <c r="A141" s="573" t="s">
        <v>404</v>
      </c>
      <c r="B141" s="551">
        <v>35.999999999998003</v>
      </c>
      <c r="C141" s="551">
        <v>74.501999999999995</v>
      </c>
      <c r="D141" s="552">
        <v>38.502000000001999</v>
      </c>
      <c r="E141" s="553">
        <v>2.0695000000000001</v>
      </c>
      <c r="F141" s="551">
        <v>105.995788643487</v>
      </c>
      <c r="G141" s="552">
        <v>17.665964773913998</v>
      </c>
      <c r="H141" s="554">
        <v>8.8160000000000007</v>
      </c>
      <c r="I141" s="551">
        <v>17.632000000000001</v>
      </c>
      <c r="J141" s="552">
        <v>-3.3964773913999997E-2</v>
      </c>
      <c r="K141" s="555">
        <v>0.16634623154</v>
      </c>
    </row>
    <row r="142" spans="1:11" ht="14.4" customHeight="1" thickBot="1" x14ac:dyDescent="0.35">
      <c r="A142" s="573" t="s">
        <v>405</v>
      </c>
      <c r="B142" s="551">
        <v>1591.99999999991</v>
      </c>
      <c r="C142" s="551">
        <v>1333.2650000000001</v>
      </c>
      <c r="D142" s="552">
        <v>-258.734999999911</v>
      </c>
      <c r="E142" s="553">
        <v>0.83747801507499997</v>
      </c>
      <c r="F142" s="551">
        <v>2013.99999999996</v>
      </c>
      <c r="G142" s="552">
        <v>335.666666666661</v>
      </c>
      <c r="H142" s="554">
        <v>175.96899999999999</v>
      </c>
      <c r="I142" s="551">
        <v>348.10600000000102</v>
      </c>
      <c r="J142" s="552">
        <v>12.43933333334</v>
      </c>
      <c r="K142" s="555">
        <v>0.172843098311</v>
      </c>
    </row>
    <row r="143" spans="1:11" ht="14.4" customHeight="1" thickBot="1" x14ac:dyDescent="0.35">
      <c r="A143" s="573" t="s">
        <v>406</v>
      </c>
      <c r="B143" s="551">
        <v>4.9999999999989999</v>
      </c>
      <c r="C143" s="551">
        <v>37.337000000000003</v>
      </c>
      <c r="D143" s="552">
        <v>32.337000000000003</v>
      </c>
      <c r="E143" s="553">
        <v>7.4673999999999996</v>
      </c>
      <c r="F143" s="551">
        <v>61.000510353907998</v>
      </c>
      <c r="G143" s="552">
        <v>10.166751725651</v>
      </c>
      <c r="H143" s="554">
        <v>5.1079999999999997</v>
      </c>
      <c r="I143" s="551">
        <v>10.215999999999999</v>
      </c>
      <c r="J143" s="552">
        <v>4.9248274347999998E-2</v>
      </c>
      <c r="K143" s="555">
        <v>0.16747400867100001</v>
      </c>
    </row>
    <row r="144" spans="1:11" ht="14.4" customHeight="1" thickBot="1" x14ac:dyDescent="0.35">
      <c r="A144" s="573" t="s">
        <v>407</v>
      </c>
      <c r="B144" s="551">
        <v>0.99999999999900002</v>
      </c>
      <c r="C144" s="551">
        <v>2.5259999999999998</v>
      </c>
      <c r="D144" s="552">
        <v>1.526</v>
      </c>
      <c r="E144" s="553">
        <v>2.5259999999999998</v>
      </c>
      <c r="F144" s="551">
        <v>2.99996304645</v>
      </c>
      <c r="G144" s="552">
        <v>0.499993841075</v>
      </c>
      <c r="H144" s="554">
        <v>0.26500000000000001</v>
      </c>
      <c r="I144" s="551">
        <v>0.53</v>
      </c>
      <c r="J144" s="552">
        <v>3.0006158924E-2</v>
      </c>
      <c r="K144" s="555">
        <v>0.17666884284600001</v>
      </c>
    </row>
    <row r="145" spans="1:11" ht="14.4" customHeight="1" thickBot="1" x14ac:dyDescent="0.35">
      <c r="A145" s="573" t="s">
        <v>408</v>
      </c>
      <c r="B145" s="551">
        <v>546.99999999996999</v>
      </c>
      <c r="C145" s="551">
        <v>546.404</v>
      </c>
      <c r="D145" s="552">
        <v>-0.59599999996899999</v>
      </c>
      <c r="E145" s="553">
        <v>0.998910420475</v>
      </c>
      <c r="F145" s="551">
        <v>537.99999999999</v>
      </c>
      <c r="G145" s="552">
        <v>89.666666666664995</v>
      </c>
      <c r="H145" s="554">
        <v>49.023000000000003</v>
      </c>
      <c r="I145" s="551">
        <v>94.555000000000007</v>
      </c>
      <c r="J145" s="552">
        <v>4.8883333333349999</v>
      </c>
      <c r="K145" s="555">
        <v>0.175752788104</v>
      </c>
    </row>
    <row r="146" spans="1:11" ht="14.4" customHeight="1" thickBot="1" x14ac:dyDescent="0.35">
      <c r="A146" s="571" t="s">
        <v>409</v>
      </c>
      <c r="B146" s="551">
        <v>4.9406564584124654E-324</v>
      </c>
      <c r="C146" s="551">
        <v>1.881</v>
      </c>
      <c r="D146" s="552">
        <v>1.881</v>
      </c>
      <c r="E146" s="561" t="s">
        <v>278</v>
      </c>
      <c r="F146" s="551">
        <v>0</v>
      </c>
      <c r="G146" s="552">
        <v>0</v>
      </c>
      <c r="H146" s="554">
        <v>4.9406564584124654E-324</v>
      </c>
      <c r="I146" s="551">
        <v>9.8813129168249309E-324</v>
      </c>
      <c r="J146" s="552">
        <v>9.8813129168249309E-324</v>
      </c>
      <c r="K146" s="562" t="s">
        <v>272</v>
      </c>
    </row>
    <row r="147" spans="1:11" ht="14.4" customHeight="1" thickBot="1" x14ac:dyDescent="0.35">
      <c r="A147" s="572" t="s">
        <v>410</v>
      </c>
      <c r="B147" s="556">
        <v>4.9406564584124654E-324</v>
      </c>
      <c r="C147" s="556">
        <v>1.881</v>
      </c>
      <c r="D147" s="557">
        <v>1.881</v>
      </c>
      <c r="E147" s="558" t="s">
        <v>278</v>
      </c>
      <c r="F147" s="556">
        <v>0</v>
      </c>
      <c r="G147" s="557">
        <v>0</v>
      </c>
      <c r="H147" s="559">
        <v>4.9406564584124654E-324</v>
      </c>
      <c r="I147" s="556">
        <v>9.8813129168249309E-324</v>
      </c>
      <c r="J147" s="557">
        <v>9.8813129168249309E-324</v>
      </c>
      <c r="K147" s="560" t="s">
        <v>272</v>
      </c>
    </row>
    <row r="148" spans="1:11" ht="14.4" customHeight="1" thickBot="1" x14ac:dyDescent="0.35">
      <c r="A148" s="573" t="s">
        <v>411</v>
      </c>
      <c r="B148" s="551">
        <v>4.9406564584124654E-324</v>
      </c>
      <c r="C148" s="551">
        <v>1.881</v>
      </c>
      <c r="D148" s="552">
        <v>1.881</v>
      </c>
      <c r="E148" s="561" t="s">
        <v>278</v>
      </c>
      <c r="F148" s="551">
        <v>0</v>
      </c>
      <c r="G148" s="552">
        <v>0</v>
      </c>
      <c r="H148" s="554">
        <v>4.9406564584124654E-324</v>
      </c>
      <c r="I148" s="551">
        <v>9.8813129168249309E-324</v>
      </c>
      <c r="J148" s="552">
        <v>9.8813129168249309E-324</v>
      </c>
      <c r="K148" s="562" t="s">
        <v>272</v>
      </c>
    </row>
    <row r="149" spans="1:11" ht="14.4" customHeight="1" thickBot="1" x14ac:dyDescent="0.35">
      <c r="A149" s="571" t="s">
        <v>412</v>
      </c>
      <c r="B149" s="551">
        <v>0</v>
      </c>
      <c r="C149" s="551">
        <v>605.17282000000205</v>
      </c>
      <c r="D149" s="552">
        <v>605.17282000000205</v>
      </c>
      <c r="E149" s="561" t="s">
        <v>272</v>
      </c>
      <c r="F149" s="551">
        <v>0</v>
      </c>
      <c r="G149" s="552">
        <v>0</v>
      </c>
      <c r="H149" s="554">
        <v>1.452</v>
      </c>
      <c r="I149" s="551">
        <v>1.452</v>
      </c>
      <c r="J149" s="552">
        <v>1.452</v>
      </c>
      <c r="K149" s="562" t="s">
        <v>272</v>
      </c>
    </row>
    <row r="150" spans="1:11" ht="14.4" customHeight="1" thickBot="1" x14ac:dyDescent="0.35">
      <c r="A150" s="572" t="s">
        <v>413</v>
      </c>
      <c r="B150" s="556">
        <v>0</v>
      </c>
      <c r="C150" s="556">
        <v>330.01193000000097</v>
      </c>
      <c r="D150" s="557">
        <v>330.01193000000097</v>
      </c>
      <c r="E150" s="558" t="s">
        <v>272</v>
      </c>
      <c r="F150" s="556">
        <v>0</v>
      </c>
      <c r="G150" s="557">
        <v>0</v>
      </c>
      <c r="H150" s="559">
        <v>4.9406564584124654E-324</v>
      </c>
      <c r="I150" s="556">
        <v>9.8813129168249309E-324</v>
      </c>
      <c r="J150" s="557">
        <v>9.8813129168249309E-324</v>
      </c>
      <c r="K150" s="560" t="s">
        <v>272</v>
      </c>
    </row>
    <row r="151" spans="1:11" ht="14.4" customHeight="1" thickBot="1" x14ac:dyDescent="0.35">
      <c r="A151" s="573" t="s">
        <v>414</v>
      </c>
      <c r="B151" s="551">
        <v>0</v>
      </c>
      <c r="C151" s="551">
        <v>281.61266000000097</v>
      </c>
      <c r="D151" s="552">
        <v>281.61266000000097</v>
      </c>
      <c r="E151" s="561" t="s">
        <v>272</v>
      </c>
      <c r="F151" s="551">
        <v>0</v>
      </c>
      <c r="G151" s="552">
        <v>0</v>
      </c>
      <c r="H151" s="554">
        <v>4.9406564584124654E-324</v>
      </c>
      <c r="I151" s="551">
        <v>9.8813129168249309E-324</v>
      </c>
      <c r="J151" s="552">
        <v>9.8813129168249309E-324</v>
      </c>
      <c r="K151" s="562" t="s">
        <v>272</v>
      </c>
    </row>
    <row r="152" spans="1:11" ht="14.4" customHeight="1" thickBot="1" x14ac:dyDescent="0.35">
      <c r="A152" s="573" t="s">
        <v>415</v>
      </c>
      <c r="B152" s="551">
        <v>0</v>
      </c>
      <c r="C152" s="551">
        <v>34.00027</v>
      </c>
      <c r="D152" s="552">
        <v>34.00027</v>
      </c>
      <c r="E152" s="561" t="s">
        <v>272</v>
      </c>
      <c r="F152" s="551">
        <v>0</v>
      </c>
      <c r="G152" s="552">
        <v>0</v>
      </c>
      <c r="H152" s="554">
        <v>4.9406564584124654E-324</v>
      </c>
      <c r="I152" s="551">
        <v>9.8813129168249309E-324</v>
      </c>
      <c r="J152" s="552">
        <v>9.8813129168249309E-324</v>
      </c>
      <c r="K152" s="562" t="s">
        <v>272</v>
      </c>
    </row>
    <row r="153" spans="1:11" ht="14.4" customHeight="1" thickBot="1" x14ac:dyDescent="0.35">
      <c r="A153" s="573" t="s">
        <v>416</v>
      </c>
      <c r="B153" s="551">
        <v>4.9406564584124654E-324</v>
      </c>
      <c r="C153" s="551">
        <v>14.398999999999999</v>
      </c>
      <c r="D153" s="552">
        <v>14.398999999999999</v>
      </c>
      <c r="E153" s="561" t="s">
        <v>278</v>
      </c>
      <c r="F153" s="551">
        <v>4.9406564584124654E-324</v>
      </c>
      <c r="G153" s="552">
        <v>0</v>
      </c>
      <c r="H153" s="554">
        <v>4.9406564584124654E-324</v>
      </c>
      <c r="I153" s="551">
        <v>9.8813129168249309E-324</v>
      </c>
      <c r="J153" s="552">
        <v>9.8813129168249309E-324</v>
      </c>
      <c r="K153" s="555">
        <v>2</v>
      </c>
    </row>
    <row r="154" spans="1:11" ht="14.4" customHeight="1" thickBot="1" x14ac:dyDescent="0.35">
      <c r="A154" s="572" t="s">
        <v>417</v>
      </c>
      <c r="B154" s="556">
        <v>0</v>
      </c>
      <c r="C154" s="556">
        <v>27.681999999999999</v>
      </c>
      <c r="D154" s="557">
        <v>27.681999999999999</v>
      </c>
      <c r="E154" s="558" t="s">
        <v>272</v>
      </c>
      <c r="F154" s="556">
        <v>0</v>
      </c>
      <c r="G154" s="557">
        <v>0</v>
      </c>
      <c r="H154" s="559">
        <v>4.9406564584124654E-324</v>
      </c>
      <c r="I154" s="556">
        <v>9.8813129168249309E-324</v>
      </c>
      <c r="J154" s="557">
        <v>9.8813129168249309E-324</v>
      </c>
      <c r="K154" s="560" t="s">
        <v>272</v>
      </c>
    </row>
    <row r="155" spans="1:11" ht="14.4" customHeight="1" thickBot="1" x14ac:dyDescent="0.35">
      <c r="A155" s="573" t="s">
        <v>418</v>
      </c>
      <c r="B155" s="551">
        <v>0</v>
      </c>
      <c r="C155" s="551">
        <v>13.58</v>
      </c>
      <c r="D155" s="552">
        <v>13.58</v>
      </c>
      <c r="E155" s="561" t="s">
        <v>272</v>
      </c>
      <c r="F155" s="551">
        <v>0</v>
      </c>
      <c r="G155" s="552">
        <v>0</v>
      </c>
      <c r="H155" s="554">
        <v>4.9406564584124654E-324</v>
      </c>
      <c r="I155" s="551">
        <v>9.8813129168249309E-324</v>
      </c>
      <c r="J155" s="552">
        <v>9.8813129168249309E-324</v>
      </c>
      <c r="K155" s="562" t="s">
        <v>272</v>
      </c>
    </row>
    <row r="156" spans="1:11" ht="14.4" customHeight="1" thickBot="1" x14ac:dyDescent="0.35">
      <c r="A156" s="573" t="s">
        <v>419</v>
      </c>
      <c r="B156" s="551">
        <v>4.9406564584124654E-324</v>
      </c>
      <c r="C156" s="551">
        <v>5.4</v>
      </c>
      <c r="D156" s="552">
        <v>5.4</v>
      </c>
      <c r="E156" s="561" t="s">
        <v>278</v>
      </c>
      <c r="F156" s="551">
        <v>0</v>
      </c>
      <c r="G156" s="552">
        <v>0</v>
      </c>
      <c r="H156" s="554">
        <v>4.9406564584124654E-324</v>
      </c>
      <c r="I156" s="551">
        <v>9.8813129168249309E-324</v>
      </c>
      <c r="J156" s="552">
        <v>9.8813129168249309E-324</v>
      </c>
      <c r="K156" s="562" t="s">
        <v>272</v>
      </c>
    </row>
    <row r="157" spans="1:11" ht="14.4" customHeight="1" thickBot="1" x14ac:dyDescent="0.35">
      <c r="A157" s="573" t="s">
        <v>420</v>
      </c>
      <c r="B157" s="551">
        <v>4.9406564584124654E-324</v>
      </c>
      <c r="C157" s="551">
        <v>8.702</v>
      </c>
      <c r="D157" s="552">
        <v>8.702</v>
      </c>
      <c r="E157" s="561" t="s">
        <v>278</v>
      </c>
      <c r="F157" s="551">
        <v>0</v>
      </c>
      <c r="G157" s="552">
        <v>0</v>
      </c>
      <c r="H157" s="554">
        <v>4.9406564584124654E-324</v>
      </c>
      <c r="I157" s="551">
        <v>9.8813129168249309E-324</v>
      </c>
      <c r="J157" s="552">
        <v>9.8813129168249309E-324</v>
      </c>
      <c r="K157" s="562" t="s">
        <v>272</v>
      </c>
    </row>
    <row r="158" spans="1:11" ht="14.4" customHeight="1" thickBot="1" x14ac:dyDescent="0.35">
      <c r="A158" s="572" t="s">
        <v>421</v>
      </c>
      <c r="B158" s="556">
        <v>0</v>
      </c>
      <c r="C158" s="556">
        <v>169.00159000000099</v>
      </c>
      <c r="D158" s="557">
        <v>169.00159000000099</v>
      </c>
      <c r="E158" s="558" t="s">
        <v>272</v>
      </c>
      <c r="F158" s="556">
        <v>0</v>
      </c>
      <c r="G158" s="557">
        <v>0</v>
      </c>
      <c r="H158" s="559">
        <v>1.452</v>
      </c>
      <c r="I158" s="556">
        <v>1.452</v>
      </c>
      <c r="J158" s="557">
        <v>1.452</v>
      </c>
      <c r="K158" s="560" t="s">
        <v>272</v>
      </c>
    </row>
    <row r="159" spans="1:11" ht="14.4" customHeight="1" thickBot="1" x14ac:dyDescent="0.35">
      <c r="A159" s="573" t="s">
        <v>422</v>
      </c>
      <c r="B159" s="551">
        <v>0</v>
      </c>
      <c r="C159" s="551">
        <v>169.00159000000099</v>
      </c>
      <c r="D159" s="552">
        <v>169.00159000000099</v>
      </c>
      <c r="E159" s="561" t="s">
        <v>272</v>
      </c>
      <c r="F159" s="551">
        <v>0</v>
      </c>
      <c r="G159" s="552">
        <v>0</v>
      </c>
      <c r="H159" s="554">
        <v>1.452</v>
      </c>
      <c r="I159" s="551">
        <v>1.452</v>
      </c>
      <c r="J159" s="552">
        <v>1.452</v>
      </c>
      <c r="K159" s="562" t="s">
        <v>272</v>
      </c>
    </row>
    <row r="160" spans="1:11" ht="14.4" customHeight="1" thickBot="1" x14ac:dyDescent="0.35">
      <c r="A160" s="572" t="s">
        <v>423</v>
      </c>
      <c r="B160" s="556">
        <v>4.9406564584124654E-324</v>
      </c>
      <c r="C160" s="556">
        <v>78.4773</v>
      </c>
      <c r="D160" s="557">
        <v>78.4773</v>
      </c>
      <c r="E160" s="558" t="s">
        <v>278</v>
      </c>
      <c r="F160" s="556">
        <v>0</v>
      </c>
      <c r="G160" s="557">
        <v>0</v>
      </c>
      <c r="H160" s="559">
        <v>4.9406564584124654E-324</v>
      </c>
      <c r="I160" s="556">
        <v>9.8813129168249309E-324</v>
      </c>
      <c r="J160" s="557">
        <v>9.8813129168249309E-324</v>
      </c>
      <c r="K160" s="560" t="s">
        <v>272</v>
      </c>
    </row>
    <row r="161" spans="1:11" ht="14.4" customHeight="1" thickBot="1" x14ac:dyDescent="0.35">
      <c r="A161" s="573" t="s">
        <v>424</v>
      </c>
      <c r="B161" s="551">
        <v>4.9406564584124654E-324</v>
      </c>
      <c r="C161" s="551">
        <v>49.081299999999999</v>
      </c>
      <c r="D161" s="552">
        <v>49.081299999999999</v>
      </c>
      <c r="E161" s="561" t="s">
        <v>278</v>
      </c>
      <c r="F161" s="551">
        <v>0</v>
      </c>
      <c r="G161" s="552">
        <v>0</v>
      </c>
      <c r="H161" s="554">
        <v>4.9406564584124654E-324</v>
      </c>
      <c r="I161" s="551">
        <v>9.8813129168249309E-324</v>
      </c>
      <c r="J161" s="552">
        <v>9.8813129168249309E-324</v>
      </c>
      <c r="K161" s="562" t="s">
        <v>272</v>
      </c>
    </row>
    <row r="162" spans="1:11" ht="14.4" customHeight="1" thickBot="1" x14ac:dyDescent="0.35">
      <c r="A162" s="573" t="s">
        <v>425</v>
      </c>
      <c r="B162" s="551">
        <v>4.9406564584124654E-324</v>
      </c>
      <c r="C162" s="551">
        <v>29.396000000000001</v>
      </c>
      <c r="D162" s="552">
        <v>29.396000000000001</v>
      </c>
      <c r="E162" s="561" t="s">
        <v>278</v>
      </c>
      <c r="F162" s="551">
        <v>0</v>
      </c>
      <c r="G162" s="552">
        <v>0</v>
      </c>
      <c r="H162" s="554">
        <v>4.9406564584124654E-324</v>
      </c>
      <c r="I162" s="551">
        <v>9.8813129168249309E-324</v>
      </c>
      <c r="J162" s="552">
        <v>9.8813129168249309E-324</v>
      </c>
      <c r="K162" s="562" t="s">
        <v>272</v>
      </c>
    </row>
    <row r="163" spans="1:11" ht="14.4" customHeight="1" thickBot="1" x14ac:dyDescent="0.35">
      <c r="A163" s="569" t="s">
        <v>426</v>
      </c>
      <c r="B163" s="551">
        <v>72279.131266304496</v>
      </c>
      <c r="C163" s="551">
        <v>76687.205470000001</v>
      </c>
      <c r="D163" s="552">
        <v>4408.0742036955298</v>
      </c>
      <c r="E163" s="553">
        <v>1.0609868177220001</v>
      </c>
      <c r="F163" s="551">
        <v>74347.813103783701</v>
      </c>
      <c r="G163" s="552">
        <v>12391.302183964001</v>
      </c>
      <c r="H163" s="554">
        <v>6852.6205</v>
      </c>
      <c r="I163" s="551">
        <v>9591.4028699999999</v>
      </c>
      <c r="J163" s="552">
        <v>-2799.8993139639601</v>
      </c>
      <c r="K163" s="555">
        <v>0.129007195633</v>
      </c>
    </row>
    <row r="164" spans="1:11" ht="14.4" customHeight="1" thickBot="1" x14ac:dyDescent="0.35">
      <c r="A164" s="570" t="s">
        <v>427</v>
      </c>
      <c r="B164" s="551">
        <v>71350.136503434696</v>
      </c>
      <c r="C164" s="551">
        <v>75042.519650000002</v>
      </c>
      <c r="D164" s="552">
        <v>3692.3831465652602</v>
      </c>
      <c r="E164" s="553">
        <v>1.0517501903640001</v>
      </c>
      <c r="F164" s="551">
        <v>74255.478623281306</v>
      </c>
      <c r="G164" s="552">
        <v>12375.913103880201</v>
      </c>
      <c r="H164" s="554">
        <v>6842.2930399999996</v>
      </c>
      <c r="I164" s="551">
        <v>9579.0124099999994</v>
      </c>
      <c r="J164" s="552">
        <v>-2796.9006938802199</v>
      </c>
      <c r="K164" s="555">
        <v>0.129000749676</v>
      </c>
    </row>
    <row r="165" spans="1:11" ht="14.4" customHeight="1" thickBot="1" x14ac:dyDescent="0.35">
      <c r="A165" s="571" t="s">
        <v>428</v>
      </c>
      <c r="B165" s="551">
        <v>71350.136503434696</v>
      </c>
      <c r="C165" s="551">
        <v>75002.562170000005</v>
      </c>
      <c r="D165" s="552">
        <v>3652.4256665652501</v>
      </c>
      <c r="E165" s="553">
        <v>1.0511901706919999</v>
      </c>
      <c r="F165" s="551">
        <v>74255.478623281306</v>
      </c>
      <c r="G165" s="552">
        <v>12375.913103880201</v>
      </c>
      <c r="H165" s="554">
        <v>6837.0858900000003</v>
      </c>
      <c r="I165" s="551">
        <v>9564.6190000000006</v>
      </c>
      <c r="J165" s="552">
        <v>-2811.2941038802101</v>
      </c>
      <c r="K165" s="555">
        <v>0.12880691333899999</v>
      </c>
    </row>
    <row r="166" spans="1:11" ht="14.4" customHeight="1" thickBot="1" x14ac:dyDescent="0.35">
      <c r="A166" s="572" t="s">
        <v>429</v>
      </c>
      <c r="B166" s="556">
        <v>40.136748537496999</v>
      </c>
      <c r="C166" s="556">
        <v>25.555620000000001</v>
      </c>
      <c r="D166" s="557">
        <v>-14.581128537496999</v>
      </c>
      <c r="E166" s="563">
        <v>0.636713758119</v>
      </c>
      <c r="F166" s="556">
        <v>23.478623281265001</v>
      </c>
      <c r="G166" s="557">
        <v>3.91310388021</v>
      </c>
      <c r="H166" s="559">
        <v>4.9406564584124654E-324</v>
      </c>
      <c r="I166" s="556">
        <v>0.14710000000000001</v>
      </c>
      <c r="J166" s="557">
        <v>-3.76600388021</v>
      </c>
      <c r="K166" s="564">
        <v>6.2652736590000004E-3</v>
      </c>
    </row>
    <row r="167" spans="1:11" ht="14.4" customHeight="1" thickBot="1" x14ac:dyDescent="0.35">
      <c r="A167" s="573" t="s">
        <v>430</v>
      </c>
      <c r="B167" s="551">
        <v>39.852782776868999</v>
      </c>
      <c r="C167" s="551">
        <v>19.328220000000002</v>
      </c>
      <c r="D167" s="552">
        <v>-20.524562776869001</v>
      </c>
      <c r="E167" s="553">
        <v>0.48499047376900001</v>
      </c>
      <c r="F167" s="551">
        <v>16.719649588503</v>
      </c>
      <c r="G167" s="552">
        <v>2.7866082647499999</v>
      </c>
      <c r="H167" s="554">
        <v>4.9406564584124654E-324</v>
      </c>
      <c r="I167" s="551">
        <v>9.8813129168249309E-324</v>
      </c>
      <c r="J167" s="552">
        <v>-2.7866082647499999</v>
      </c>
      <c r="K167" s="555">
        <v>0</v>
      </c>
    </row>
    <row r="168" spans="1:11" ht="14.4" customHeight="1" thickBot="1" x14ac:dyDescent="0.35">
      <c r="A168" s="573" t="s">
        <v>431</v>
      </c>
      <c r="B168" s="551">
        <v>7.6841462451E-2</v>
      </c>
      <c r="C168" s="551">
        <v>6.2274000000000003</v>
      </c>
      <c r="D168" s="552">
        <v>6.1505585375480001</v>
      </c>
      <c r="E168" s="553">
        <v>81.042184795999006</v>
      </c>
      <c r="F168" s="551">
        <v>6.7589736927609998</v>
      </c>
      <c r="G168" s="552">
        <v>1.1264956154600001</v>
      </c>
      <c r="H168" s="554">
        <v>4.9406564584124654E-324</v>
      </c>
      <c r="I168" s="551">
        <v>0.14710000000000001</v>
      </c>
      <c r="J168" s="552">
        <v>-0.97939561545999998</v>
      </c>
      <c r="K168" s="555">
        <v>2.1763659200999999E-2</v>
      </c>
    </row>
    <row r="169" spans="1:11" ht="14.4" customHeight="1" thickBot="1" x14ac:dyDescent="0.35">
      <c r="A169" s="572" t="s">
        <v>432</v>
      </c>
      <c r="B169" s="556">
        <v>0</v>
      </c>
      <c r="C169" s="556">
        <v>33.123600000000003</v>
      </c>
      <c r="D169" s="557">
        <v>33.123600000000003</v>
      </c>
      <c r="E169" s="558" t="s">
        <v>272</v>
      </c>
      <c r="F169" s="556">
        <v>0</v>
      </c>
      <c r="G169" s="557">
        <v>0</v>
      </c>
      <c r="H169" s="559">
        <v>300.57850000000002</v>
      </c>
      <c r="I169" s="556">
        <v>300.57850000000002</v>
      </c>
      <c r="J169" s="557">
        <v>300.57850000000002</v>
      </c>
      <c r="K169" s="560" t="s">
        <v>272</v>
      </c>
    </row>
    <row r="170" spans="1:11" ht="14.4" customHeight="1" thickBot="1" x14ac:dyDescent="0.35">
      <c r="A170" s="573" t="s">
        <v>433</v>
      </c>
      <c r="B170" s="551">
        <v>0</v>
      </c>
      <c r="C170" s="551">
        <v>4.9406564584124654E-324</v>
      </c>
      <c r="D170" s="552">
        <v>4.9406564584124654E-324</v>
      </c>
      <c r="E170" s="561" t="s">
        <v>272</v>
      </c>
      <c r="F170" s="551">
        <v>4.9406564584124654E-324</v>
      </c>
      <c r="G170" s="552">
        <v>0</v>
      </c>
      <c r="H170" s="554">
        <v>296.17559999999997</v>
      </c>
      <c r="I170" s="551">
        <v>296.17559999999997</v>
      </c>
      <c r="J170" s="552">
        <v>296.17559999999997</v>
      </c>
      <c r="K170" s="562" t="s">
        <v>278</v>
      </c>
    </row>
    <row r="171" spans="1:11" ht="14.4" customHeight="1" thickBot="1" x14ac:dyDescent="0.35">
      <c r="A171" s="573" t="s">
        <v>434</v>
      </c>
      <c r="B171" s="551">
        <v>0</v>
      </c>
      <c r="C171" s="551">
        <v>33.123600000000003</v>
      </c>
      <c r="D171" s="552">
        <v>33.123600000000003</v>
      </c>
      <c r="E171" s="561" t="s">
        <v>272</v>
      </c>
      <c r="F171" s="551">
        <v>0</v>
      </c>
      <c r="G171" s="552">
        <v>0</v>
      </c>
      <c r="H171" s="554">
        <v>4.4028999999999998</v>
      </c>
      <c r="I171" s="551">
        <v>4.4028999999999998</v>
      </c>
      <c r="J171" s="552">
        <v>4.4028999999999998</v>
      </c>
      <c r="K171" s="562" t="s">
        <v>272</v>
      </c>
    </row>
    <row r="172" spans="1:11" ht="14.4" customHeight="1" thickBot="1" x14ac:dyDescent="0.35">
      <c r="A172" s="572" t="s">
        <v>435</v>
      </c>
      <c r="B172" s="556">
        <v>0</v>
      </c>
      <c r="C172" s="556">
        <v>5.4463699999999999</v>
      </c>
      <c r="D172" s="557">
        <v>5.4463699999999999</v>
      </c>
      <c r="E172" s="558" t="s">
        <v>272</v>
      </c>
      <c r="F172" s="556">
        <v>0</v>
      </c>
      <c r="G172" s="557">
        <v>0</v>
      </c>
      <c r="H172" s="559">
        <v>4.9406564584124654E-324</v>
      </c>
      <c r="I172" s="556">
        <v>9.8813129168249309E-324</v>
      </c>
      <c r="J172" s="557">
        <v>9.8813129168249309E-324</v>
      </c>
      <c r="K172" s="560" t="s">
        <v>272</v>
      </c>
    </row>
    <row r="173" spans="1:11" ht="14.4" customHeight="1" thickBot="1" x14ac:dyDescent="0.35">
      <c r="A173" s="573" t="s">
        <v>436</v>
      </c>
      <c r="B173" s="551">
        <v>0</v>
      </c>
      <c r="C173" s="551">
        <v>5.4463699999999999</v>
      </c>
      <c r="D173" s="552">
        <v>5.4463699999999999</v>
      </c>
      <c r="E173" s="561" t="s">
        <v>272</v>
      </c>
      <c r="F173" s="551">
        <v>0</v>
      </c>
      <c r="G173" s="552">
        <v>0</v>
      </c>
      <c r="H173" s="554">
        <v>4.9406564584124654E-324</v>
      </c>
      <c r="I173" s="551">
        <v>9.8813129168249309E-324</v>
      </c>
      <c r="J173" s="552">
        <v>9.8813129168249309E-324</v>
      </c>
      <c r="K173" s="562" t="s">
        <v>272</v>
      </c>
    </row>
    <row r="174" spans="1:11" ht="14.4" customHeight="1" thickBot="1" x14ac:dyDescent="0.35">
      <c r="A174" s="572" t="s">
        <v>437</v>
      </c>
      <c r="B174" s="556">
        <v>4.9406564584124654E-324</v>
      </c>
      <c r="C174" s="556">
        <v>-1.23533</v>
      </c>
      <c r="D174" s="557">
        <v>-1.23533</v>
      </c>
      <c r="E174" s="558" t="s">
        <v>278</v>
      </c>
      <c r="F174" s="556">
        <v>0</v>
      </c>
      <c r="G174" s="557">
        <v>0</v>
      </c>
      <c r="H174" s="559">
        <v>4.9406564584124654E-324</v>
      </c>
      <c r="I174" s="556">
        <v>9.8813129168249309E-324</v>
      </c>
      <c r="J174" s="557">
        <v>9.8813129168249309E-324</v>
      </c>
      <c r="K174" s="560" t="s">
        <v>272</v>
      </c>
    </row>
    <row r="175" spans="1:11" ht="14.4" customHeight="1" thickBot="1" x14ac:dyDescent="0.35">
      <c r="A175" s="573" t="s">
        <v>438</v>
      </c>
      <c r="B175" s="551">
        <v>4.9406564584124654E-324</v>
      </c>
      <c r="C175" s="551">
        <v>-1.23533</v>
      </c>
      <c r="D175" s="552">
        <v>-1.23533</v>
      </c>
      <c r="E175" s="561" t="s">
        <v>278</v>
      </c>
      <c r="F175" s="551">
        <v>0</v>
      </c>
      <c r="G175" s="552">
        <v>0</v>
      </c>
      <c r="H175" s="554">
        <v>4.9406564584124654E-324</v>
      </c>
      <c r="I175" s="551">
        <v>9.8813129168249309E-324</v>
      </c>
      <c r="J175" s="552">
        <v>9.8813129168249309E-324</v>
      </c>
      <c r="K175" s="562" t="s">
        <v>272</v>
      </c>
    </row>
    <row r="176" spans="1:11" ht="14.4" customHeight="1" thickBot="1" x14ac:dyDescent="0.35">
      <c r="A176" s="572" t="s">
        <v>439</v>
      </c>
      <c r="B176" s="556">
        <v>71309.999754897202</v>
      </c>
      <c r="C176" s="556">
        <v>71854.097339999993</v>
      </c>
      <c r="D176" s="557">
        <v>544.09758510276197</v>
      </c>
      <c r="E176" s="563">
        <v>1.00763003207</v>
      </c>
      <c r="F176" s="556">
        <v>74232</v>
      </c>
      <c r="G176" s="557">
        <v>12372</v>
      </c>
      <c r="H176" s="559">
        <v>6319.6815699999997</v>
      </c>
      <c r="I176" s="556">
        <v>8922.8166199999996</v>
      </c>
      <c r="J176" s="557">
        <v>-3449.1833800000099</v>
      </c>
      <c r="K176" s="564">
        <v>0.12020175422899999</v>
      </c>
    </row>
    <row r="177" spans="1:11" ht="14.4" customHeight="1" thickBot="1" x14ac:dyDescent="0.35">
      <c r="A177" s="573" t="s">
        <v>440</v>
      </c>
      <c r="B177" s="551">
        <v>21491.999935206899</v>
      </c>
      <c r="C177" s="551">
        <v>22652.981739999999</v>
      </c>
      <c r="D177" s="552">
        <v>1160.9818047930701</v>
      </c>
      <c r="E177" s="553">
        <v>1.0540192540610001</v>
      </c>
      <c r="F177" s="551">
        <v>22415</v>
      </c>
      <c r="G177" s="552">
        <v>3735.8333333333399</v>
      </c>
      <c r="H177" s="554">
        <v>1522.1610599999999</v>
      </c>
      <c r="I177" s="551">
        <v>2400.5925200000001</v>
      </c>
      <c r="J177" s="552">
        <v>-1335.2408133333399</v>
      </c>
      <c r="K177" s="555">
        <v>0.10709759179099999</v>
      </c>
    </row>
    <row r="178" spans="1:11" ht="14.4" customHeight="1" thickBot="1" x14ac:dyDescent="0.35">
      <c r="A178" s="573" t="s">
        <v>441</v>
      </c>
      <c r="B178" s="551">
        <v>49769.999819690303</v>
      </c>
      <c r="C178" s="551">
        <v>48954.544159999998</v>
      </c>
      <c r="D178" s="552">
        <v>-815.45565969030599</v>
      </c>
      <c r="E178" s="553">
        <v>0.98361551813000003</v>
      </c>
      <c r="F178" s="551">
        <v>51817</v>
      </c>
      <c r="G178" s="552">
        <v>8636.1666666666697</v>
      </c>
      <c r="H178" s="554">
        <v>4797.5205100000003</v>
      </c>
      <c r="I178" s="551">
        <v>6522.2241000000004</v>
      </c>
      <c r="J178" s="552">
        <v>-2113.9425666666698</v>
      </c>
      <c r="K178" s="555">
        <v>0.12587035335800001</v>
      </c>
    </row>
    <row r="179" spans="1:11" ht="14.4" customHeight="1" thickBot="1" x14ac:dyDescent="0.35">
      <c r="A179" s="573" t="s">
        <v>442</v>
      </c>
      <c r="B179" s="551">
        <v>4.9406564584124654E-324</v>
      </c>
      <c r="C179" s="551">
        <v>102.7381</v>
      </c>
      <c r="D179" s="552">
        <v>102.7381</v>
      </c>
      <c r="E179" s="561" t="s">
        <v>278</v>
      </c>
      <c r="F179" s="551">
        <v>0</v>
      </c>
      <c r="G179" s="552">
        <v>0</v>
      </c>
      <c r="H179" s="554">
        <v>4.9406564584124654E-324</v>
      </c>
      <c r="I179" s="551">
        <v>9.8813129168249309E-324</v>
      </c>
      <c r="J179" s="552">
        <v>9.8813129168249309E-324</v>
      </c>
      <c r="K179" s="562" t="s">
        <v>272</v>
      </c>
    </row>
    <row r="180" spans="1:11" ht="14.4" customHeight="1" thickBot="1" x14ac:dyDescent="0.35">
      <c r="A180" s="573" t="s">
        <v>443</v>
      </c>
      <c r="B180" s="551">
        <v>48</v>
      </c>
      <c r="C180" s="551">
        <v>143.83333999999999</v>
      </c>
      <c r="D180" s="552">
        <v>95.833340000000007</v>
      </c>
      <c r="E180" s="553">
        <v>2.9965279166659999</v>
      </c>
      <c r="F180" s="551">
        <v>0</v>
      </c>
      <c r="G180" s="552">
        <v>0</v>
      </c>
      <c r="H180" s="554">
        <v>4.9406564584124654E-324</v>
      </c>
      <c r="I180" s="551">
        <v>9.8813129168249309E-324</v>
      </c>
      <c r="J180" s="552">
        <v>9.8813129168249309E-324</v>
      </c>
      <c r="K180" s="562" t="s">
        <v>272</v>
      </c>
    </row>
    <row r="181" spans="1:11" ht="14.4" customHeight="1" thickBot="1" x14ac:dyDescent="0.35">
      <c r="A181" s="572" t="s">
        <v>444</v>
      </c>
      <c r="B181" s="556">
        <v>0</v>
      </c>
      <c r="C181" s="556">
        <v>3085.5745700000002</v>
      </c>
      <c r="D181" s="557">
        <v>3085.5745700000002</v>
      </c>
      <c r="E181" s="558" t="s">
        <v>272</v>
      </c>
      <c r="F181" s="556">
        <v>0</v>
      </c>
      <c r="G181" s="557">
        <v>0</v>
      </c>
      <c r="H181" s="559">
        <v>216.82581999999999</v>
      </c>
      <c r="I181" s="556">
        <v>341.07677999999999</v>
      </c>
      <c r="J181" s="557">
        <v>341.07677999999999</v>
      </c>
      <c r="K181" s="560" t="s">
        <v>272</v>
      </c>
    </row>
    <row r="182" spans="1:11" ht="14.4" customHeight="1" thickBot="1" x14ac:dyDescent="0.35">
      <c r="A182" s="573" t="s">
        <v>445</v>
      </c>
      <c r="B182" s="551">
        <v>4.9406564584124654E-324</v>
      </c>
      <c r="C182" s="551">
        <v>1781.0717500000001</v>
      </c>
      <c r="D182" s="552">
        <v>1781.0717500000001</v>
      </c>
      <c r="E182" s="561" t="s">
        <v>278</v>
      </c>
      <c r="F182" s="551">
        <v>0</v>
      </c>
      <c r="G182" s="552">
        <v>0</v>
      </c>
      <c r="H182" s="554">
        <v>4.9406564584124654E-324</v>
      </c>
      <c r="I182" s="551">
        <v>124.25096000000001</v>
      </c>
      <c r="J182" s="552">
        <v>124.25096000000001</v>
      </c>
      <c r="K182" s="562" t="s">
        <v>272</v>
      </c>
    </row>
    <row r="183" spans="1:11" ht="14.4" customHeight="1" thickBot="1" x14ac:dyDescent="0.35">
      <c r="A183" s="573" t="s">
        <v>446</v>
      </c>
      <c r="B183" s="551">
        <v>0</v>
      </c>
      <c r="C183" s="551">
        <v>1304.5028199999999</v>
      </c>
      <c r="D183" s="552">
        <v>1304.5028199999999</v>
      </c>
      <c r="E183" s="561" t="s">
        <v>272</v>
      </c>
      <c r="F183" s="551">
        <v>0</v>
      </c>
      <c r="G183" s="552">
        <v>0</v>
      </c>
      <c r="H183" s="554">
        <v>216.82581999999999</v>
      </c>
      <c r="I183" s="551">
        <v>216.82581999999999</v>
      </c>
      <c r="J183" s="552">
        <v>216.82581999999999</v>
      </c>
      <c r="K183" s="562" t="s">
        <v>272</v>
      </c>
    </row>
    <row r="184" spans="1:11" ht="14.4" customHeight="1" thickBot="1" x14ac:dyDescent="0.35">
      <c r="A184" s="571" t="s">
        <v>447</v>
      </c>
      <c r="B184" s="551">
        <v>4.9406564584124654E-324</v>
      </c>
      <c r="C184" s="551">
        <v>39.957479999999997</v>
      </c>
      <c r="D184" s="552">
        <v>39.957479999999997</v>
      </c>
      <c r="E184" s="561" t="s">
        <v>278</v>
      </c>
      <c r="F184" s="551">
        <v>0</v>
      </c>
      <c r="G184" s="552">
        <v>0</v>
      </c>
      <c r="H184" s="554">
        <v>5.2071500000000004</v>
      </c>
      <c r="I184" s="551">
        <v>14.393409999999999</v>
      </c>
      <c r="J184" s="552">
        <v>14.393409999999999</v>
      </c>
      <c r="K184" s="562" t="s">
        <v>272</v>
      </c>
    </row>
    <row r="185" spans="1:11" ht="14.4" customHeight="1" thickBot="1" x14ac:dyDescent="0.35">
      <c r="A185" s="572" t="s">
        <v>448</v>
      </c>
      <c r="B185" s="556">
        <v>4.9406564584124654E-324</v>
      </c>
      <c r="C185" s="556">
        <v>39.957479999999997</v>
      </c>
      <c r="D185" s="557">
        <v>39.957479999999997</v>
      </c>
      <c r="E185" s="558" t="s">
        <v>278</v>
      </c>
      <c r="F185" s="556">
        <v>0</v>
      </c>
      <c r="G185" s="557">
        <v>0</v>
      </c>
      <c r="H185" s="559">
        <v>5.2071500000000004</v>
      </c>
      <c r="I185" s="556">
        <v>14.393409999999999</v>
      </c>
      <c r="J185" s="557">
        <v>14.393409999999999</v>
      </c>
      <c r="K185" s="560" t="s">
        <v>272</v>
      </c>
    </row>
    <row r="186" spans="1:11" ht="14.4" customHeight="1" thickBot="1" x14ac:dyDescent="0.35">
      <c r="A186" s="573" t="s">
        <v>449</v>
      </c>
      <c r="B186" s="551">
        <v>4.9406564584124654E-324</v>
      </c>
      <c r="C186" s="551">
        <v>39.957479999999997</v>
      </c>
      <c r="D186" s="552">
        <v>39.957479999999997</v>
      </c>
      <c r="E186" s="561" t="s">
        <v>278</v>
      </c>
      <c r="F186" s="551">
        <v>0</v>
      </c>
      <c r="G186" s="552">
        <v>0</v>
      </c>
      <c r="H186" s="554">
        <v>5.2071500000000004</v>
      </c>
      <c r="I186" s="551">
        <v>14.393409999999999</v>
      </c>
      <c r="J186" s="552">
        <v>14.393409999999999</v>
      </c>
      <c r="K186" s="562" t="s">
        <v>272</v>
      </c>
    </row>
    <row r="187" spans="1:11" ht="14.4" customHeight="1" thickBot="1" x14ac:dyDescent="0.35">
      <c r="A187" s="570" t="s">
        <v>450</v>
      </c>
      <c r="B187" s="551">
        <v>928.99476286971696</v>
      </c>
      <c r="C187" s="551">
        <v>1630.76082</v>
      </c>
      <c r="D187" s="552">
        <v>701.766057130283</v>
      </c>
      <c r="E187" s="553">
        <v>1.755403674141</v>
      </c>
      <c r="F187" s="551">
        <v>52.334480502433998</v>
      </c>
      <c r="G187" s="552">
        <v>8.7224134170719996</v>
      </c>
      <c r="H187" s="554">
        <v>8.2644599999999997</v>
      </c>
      <c r="I187" s="551">
        <v>8.2644599999999997</v>
      </c>
      <c r="J187" s="552">
        <v>-0.45795341707199999</v>
      </c>
      <c r="K187" s="555">
        <v>0.15791615624399999</v>
      </c>
    </row>
    <row r="188" spans="1:11" ht="14.4" customHeight="1" thickBot="1" x14ac:dyDescent="0.35">
      <c r="A188" s="571" t="s">
        <v>451</v>
      </c>
      <c r="B188" s="551">
        <v>876.660282367283</v>
      </c>
      <c r="C188" s="551">
        <v>1017.97155</v>
      </c>
      <c r="D188" s="552">
        <v>141.311267632717</v>
      </c>
      <c r="E188" s="553">
        <v>1.1611927339179999</v>
      </c>
      <c r="F188" s="551">
        <v>0</v>
      </c>
      <c r="G188" s="552">
        <v>0</v>
      </c>
      <c r="H188" s="554">
        <v>4.9406564584124654E-324</v>
      </c>
      <c r="I188" s="551">
        <v>9.8813129168249309E-324</v>
      </c>
      <c r="J188" s="552">
        <v>9.8813129168249309E-324</v>
      </c>
      <c r="K188" s="562" t="s">
        <v>272</v>
      </c>
    </row>
    <row r="189" spans="1:11" ht="14.4" customHeight="1" thickBot="1" x14ac:dyDescent="0.35">
      <c r="A189" s="572" t="s">
        <v>452</v>
      </c>
      <c r="B189" s="556">
        <v>4.9406564584124654E-324</v>
      </c>
      <c r="C189" s="556">
        <v>14.398999999999999</v>
      </c>
      <c r="D189" s="557">
        <v>14.398999999999999</v>
      </c>
      <c r="E189" s="558" t="s">
        <v>278</v>
      </c>
      <c r="F189" s="556">
        <v>4.9406564584124654E-324</v>
      </c>
      <c r="G189" s="557">
        <v>0</v>
      </c>
      <c r="H189" s="559">
        <v>4.9406564584124654E-324</v>
      </c>
      <c r="I189" s="556">
        <v>9.8813129168249309E-324</v>
      </c>
      <c r="J189" s="557">
        <v>9.8813129168249309E-324</v>
      </c>
      <c r="K189" s="564">
        <v>2</v>
      </c>
    </row>
    <row r="190" spans="1:11" ht="14.4" customHeight="1" thickBot="1" x14ac:dyDescent="0.35">
      <c r="A190" s="573" t="s">
        <v>453</v>
      </c>
      <c r="B190" s="551">
        <v>4.9406564584124654E-324</v>
      </c>
      <c r="C190" s="551">
        <v>14.398999999999999</v>
      </c>
      <c r="D190" s="552">
        <v>14.398999999999999</v>
      </c>
      <c r="E190" s="561" t="s">
        <v>278</v>
      </c>
      <c r="F190" s="551">
        <v>4.9406564584124654E-324</v>
      </c>
      <c r="G190" s="552">
        <v>0</v>
      </c>
      <c r="H190" s="554">
        <v>4.9406564584124654E-324</v>
      </c>
      <c r="I190" s="551">
        <v>9.8813129168249309E-324</v>
      </c>
      <c r="J190" s="552">
        <v>9.8813129168249309E-324</v>
      </c>
      <c r="K190" s="555">
        <v>2</v>
      </c>
    </row>
    <row r="191" spans="1:11" ht="14.4" customHeight="1" thickBot="1" x14ac:dyDescent="0.35">
      <c r="A191" s="572" t="s">
        <v>454</v>
      </c>
      <c r="B191" s="556">
        <v>876.660282367283</v>
      </c>
      <c r="C191" s="556">
        <v>1003.57255</v>
      </c>
      <c r="D191" s="557">
        <v>126.912267632717</v>
      </c>
      <c r="E191" s="563">
        <v>1.144767899476</v>
      </c>
      <c r="F191" s="556">
        <v>0</v>
      </c>
      <c r="G191" s="557">
        <v>0</v>
      </c>
      <c r="H191" s="559">
        <v>4.9406564584124654E-324</v>
      </c>
      <c r="I191" s="556">
        <v>9.8813129168249309E-324</v>
      </c>
      <c r="J191" s="557">
        <v>9.8813129168249309E-324</v>
      </c>
      <c r="K191" s="560" t="s">
        <v>272</v>
      </c>
    </row>
    <row r="192" spans="1:11" ht="14.4" customHeight="1" thickBot="1" x14ac:dyDescent="0.35">
      <c r="A192" s="573" t="s">
        <v>455</v>
      </c>
      <c r="B192" s="551">
        <v>0</v>
      </c>
      <c r="C192" s="551">
        <v>842.31997999999999</v>
      </c>
      <c r="D192" s="552">
        <v>842.31997999999999</v>
      </c>
      <c r="E192" s="561" t="s">
        <v>272</v>
      </c>
      <c r="F192" s="551">
        <v>0</v>
      </c>
      <c r="G192" s="552">
        <v>0</v>
      </c>
      <c r="H192" s="554">
        <v>4.9406564584124654E-324</v>
      </c>
      <c r="I192" s="551">
        <v>9.8813129168249309E-324</v>
      </c>
      <c r="J192" s="552">
        <v>9.8813129168249309E-324</v>
      </c>
      <c r="K192" s="562" t="s">
        <v>272</v>
      </c>
    </row>
    <row r="193" spans="1:11" ht="14.4" customHeight="1" thickBot="1" x14ac:dyDescent="0.35">
      <c r="A193" s="573" t="s">
        <v>456</v>
      </c>
      <c r="B193" s="551">
        <v>0</v>
      </c>
      <c r="C193" s="551">
        <v>8.5561000000000007</v>
      </c>
      <c r="D193" s="552">
        <v>8.5561000000000007</v>
      </c>
      <c r="E193" s="561" t="s">
        <v>272</v>
      </c>
      <c r="F193" s="551">
        <v>0</v>
      </c>
      <c r="G193" s="552">
        <v>0</v>
      </c>
      <c r="H193" s="554">
        <v>4.9406564584124654E-324</v>
      </c>
      <c r="I193" s="551">
        <v>9.8813129168249309E-324</v>
      </c>
      <c r="J193" s="552">
        <v>9.8813129168249309E-324</v>
      </c>
      <c r="K193" s="562" t="s">
        <v>272</v>
      </c>
    </row>
    <row r="194" spans="1:11" ht="14.4" customHeight="1" thickBot="1" x14ac:dyDescent="0.35">
      <c r="A194" s="573" t="s">
        <v>457</v>
      </c>
      <c r="B194" s="551">
        <v>0</v>
      </c>
      <c r="C194" s="551">
        <v>108.67316</v>
      </c>
      <c r="D194" s="552">
        <v>108.67316</v>
      </c>
      <c r="E194" s="561" t="s">
        <v>272</v>
      </c>
      <c r="F194" s="551">
        <v>0</v>
      </c>
      <c r="G194" s="552">
        <v>0</v>
      </c>
      <c r="H194" s="554">
        <v>4.9406564584124654E-324</v>
      </c>
      <c r="I194" s="551">
        <v>9.8813129168249309E-324</v>
      </c>
      <c r="J194" s="552">
        <v>9.8813129168249309E-324</v>
      </c>
      <c r="K194" s="562" t="s">
        <v>272</v>
      </c>
    </row>
    <row r="195" spans="1:11" ht="14.4" customHeight="1" thickBot="1" x14ac:dyDescent="0.35">
      <c r="A195" s="573" t="s">
        <v>458</v>
      </c>
      <c r="B195" s="551">
        <v>0</v>
      </c>
      <c r="C195" s="551">
        <v>44.023310000000002</v>
      </c>
      <c r="D195" s="552">
        <v>44.023310000000002</v>
      </c>
      <c r="E195" s="561" t="s">
        <v>272</v>
      </c>
      <c r="F195" s="551">
        <v>0</v>
      </c>
      <c r="G195" s="552">
        <v>0</v>
      </c>
      <c r="H195" s="554">
        <v>4.9406564584124654E-324</v>
      </c>
      <c r="I195" s="551">
        <v>9.8813129168249309E-324</v>
      </c>
      <c r="J195" s="552">
        <v>9.8813129168249309E-324</v>
      </c>
      <c r="K195" s="562" t="s">
        <v>272</v>
      </c>
    </row>
    <row r="196" spans="1:11" ht="14.4" customHeight="1" thickBot="1" x14ac:dyDescent="0.35">
      <c r="A196" s="576" t="s">
        <v>459</v>
      </c>
      <c r="B196" s="556">
        <v>52.334480502433998</v>
      </c>
      <c r="C196" s="556">
        <v>612.78926999999999</v>
      </c>
      <c r="D196" s="557">
        <v>560.454789497565</v>
      </c>
      <c r="E196" s="563">
        <v>11.709092439954</v>
      </c>
      <c r="F196" s="556">
        <v>52.334480502433998</v>
      </c>
      <c r="G196" s="557">
        <v>8.7224134170719996</v>
      </c>
      <c r="H196" s="559">
        <v>8.2644599999999997</v>
      </c>
      <c r="I196" s="556">
        <v>8.2644599999999997</v>
      </c>
      <c r="J196" s="557">
        <v>-0.45795341707199999</v>
      </c>
      <c r="K196" s="564">
        <v>0.15791615624399999</v>
      </c>
    </row>
    <row r="197" spans="1:11" ht="14.4" customHeight="1" thickBot="1" x14ac:dyDescent="0.35">
      <c r="A197" s="572" t="s">
        <v>460</v>
      </c>
      <c r="B197" s="556">
        <v>4.9406564584124654E-324</v>
      </c>
      <c r="C197" s="556">
        <v>42.293999999999997</v>
      </c>
      <c r="D197" s="557">
        <v>42.293999999999997</v>
      </c>
      <c r="E197" s="558" t="s">
        <v>278</v>
      </c>
      <c r="F197" s="556">
        <v>0</v>
      </c>
      <c r="G197" s="557">
        <v>0</v>
      </c>
      <c r="H197" s="559">
        <v>4.9406564584124654E-324</v>
      </c>
      <c r="I197" s="556">
        <v>9.8813129168249309E-324</v>
      </c>
      <c r="J197" s="557">
        <v>9.8813129168249309E-324</v>
      </c>
      <c r="K197" s="560" t="s">
        <v>272</v>
      </c>
    </row>
    <row r="198" spans="1:11" ht="14.4" customHeight="1" thickBot="1" x14ac:dyDescent="0.35">
      <c r="A198" s="573" t="s">
        <v>461</v>
      </c>
      <c r="B198" s="551">
        <v>4.9406564584124654E-324</v>
      </c>
      <c r="C198" s="551">
        <v>42.293999999999997</v>
      </c>
      <c r="D198" s="552">
        <v>42.293999999999997</v>
      </c>
      <c r="E198" s="561" t="s">
        <v>278</v>
      </c>
      <c r="F198" s="551">
        <v>0</v>
      </c>
      <c r="G198" s="552">
        <v>0</v>
      </c>
      <c r="H198" s="554">
        <v>4.9406564584124654E-324</v>
      </c>
      <c r="I198" s="551">
        <v>9.8813129168249309E-324</v>
      </c>
      <c r="J198" s="552">
        <v>9.8813129168249309E-324</v>
      </c>
      <c r="K198" s="562" t="s">
        <v>272</v>
      </c>
    </row>
    <row r="199" spans="1:11" ht="14.4" customHeight="1" thickBot="1" x14ac:dyDescent="0.35">
      <c r="A199" s="572" t="s">
        <v>462</v>
      </c>
      <c r="B199" s="556">
        <v>0</v>
      </c>
      <c r="C199" s="556">
        <v>8.5999999999999998E-4</v>
      </c>
      <c r="D199" s="557">
        <v>8.5999999999999998E-4</v>
      </c>
      <c r="E199" s="558" t="s">
        <v>272</v>
      </c>
      <c r="F199" s="556">
        <v>0</v>
      </c>
      <c r="G199" s="557">
        <v>0</v>
      </c>
      <c r="H199" s="559">
        <v>4.9406564584124654E-324</v>
      </c>
      <c r="I199" s="556">
        <v>9.8813129168249309E-324</v>
      </c>
      <c r="J199" s="557">
        <v>9.8813129168249309E-324</v>
      </c>
      <c r="K199" s="560" t="s">
        <v>272</v>
      </c>
    </row>
    <row r="200" spans="1:11" ht="14.4" customHeight="1" thickBot="1" x14ac:dyDescent="0.35">
      <c r="A200" s="573" t="s">
        <v>463</v>
      </c>
      <c r="B200" s="551">
        <v>0</v>
      </c>
      <c r="C200" s="551">
        <v>8.5999999999999998E-4</v>
      </c>
      <c r="D200" s="552">
        <v>8.5999999999999998E-4</v>
      </c>
      <c r="E200" s="561" t="s">
        <v>272</v>
      </c>
      <c r="F200" s="551">
        <v>0</v>
      </c>
      <c r="G200" s="552">
        <v>0</v>
      </c>
      <c r="H200" s="554">
        <v>4.9406564584124654E-324</v>
      </c>
      <c r="I200" s="551">
        <v>9.8813129168249309E-324</v>
      </c>
      <c r="J200" s="552">
        <v>9.8813129168249309E-324</v>
      </c>
      <c r="K200" s="562" t="s">
        <v>272</v>
      </c>
    </row>
    <row r="201" spans="1:11" ht="14.4" customHeight="1" thickBot="1" x14ac:dyDescent="0.35">
      <c r="A201" s="572" t="s">
        <v>464</v>
      </c>
      <c r="B201" s="556">
        <v>52.334480502433998</v>
      </c>
      <c r="C201" s="556">
        <v>61.706139999999998</v>
      </c>
      <c r="D201" s="557">
        <v>9.3716594975650001</v>
      </c>
      <c r="E201" s="563">
        <v>1.179072370788</v>
      </c>
      <c r="F201" s="556">
        <v>52.334480502433998</v>
      </c>
      <c r="G201" s="557">
        <v>8.7224134170719996</v>
      </c>
      <c r="H201" s="559">
        <v>8.2644599999999997</v>
      </c>
      <c r="I201" s="556">
        <v>8.2644599999999997</v>
      </c>
      <c r="J201" s="557">
        <v>-0.45795341707199999</v>
      </c>
      <c r="K201" s="564">
        <v>0.15791615624399999</v>
      </c>
    </row>
    <row r="202" spans="1:11" ht="14.4" customHeight="1" thickBot="1" x14ac:dyDescent="0.35">
      <c r="A202" s="573" t="s">
        <v>465</v>
      </c>
      <c r="B202" s="551">
        <v>0</v>
      </c>
      <c r="C202" s="551">
        <v>2.3260000000000001</v>
      </c>
      <c r="D202" s="552">
        <v>2.3260000000000001</v>
      </c>
      <c r="E202" s="561" t="s">
        <v>272</v>
      </c>
      <c r="F202" s="551">
        <v>0</v>
      </c>
      <c r="G202" s="552">
        <v>0</v>
      </c>
      <c r="H202" s="554">
        <v>4.9406564584124654E-324</v>
      </c>
      <c r="I202" s="551">
        <v>9.8813129168249309E-324</v>
      </c>
      <c r="J202" s="552">
        <v>9.8813129168249309E-324</v>
      </c>
      <c r="K202" s="562" t="s">
        <v>272</v>
      </c>
    </row>
    <row r="203" spans="1:11" ht="14.4" customHeight="1" thickBot="1" x14ac:dyDescent="0.35">
      <c r="A203" s="573" t="s">
        <v>466</v>
      </c>
      <c r="B203" s="551">
        <v>52.334480502433998</v>
      </c>
      <c r="C203" s="551">
        <v>59.380139999999997</v>
      </c>
      <c r="D203" s="552">
        <v>7.0456594975650004</v>
      </c>
      <c r="E203" s="553">
        <v>1.134627485167</v>
      </c>
      <c r="F203" s="551">
        <v>52.334480502433998</v>
      </c>
      <c r="G203" s="552">
        <v>8.7224134170719996</v>
      </c>
      <c r="H203" s="554">
        <v>8.2644599999999997</v>
      </c>
      <c r="I203" s="551">
        <v>8.2644599999999997</v>
      </c>
      <c r="J203" s="552">
        <v>-0.45795341707199999</v>
      </c>
      <c r="K203" s="555">
        <v>0.15791615624399999</v>
      </c>
    </row>
    <row r="204" spans="1:11" ht="14.4" customHeight="1" thickBot="1" x14ac:dyDescent="0.35">
      <c r="A204" s="572" t="s">
        <v>467</v>
      </c>
      <c r="B204" s="556">
        <v>0</v>
      </c>
      <c r="C204" s="556">
        <v>508.78827000000001</v>
      </c>
      <c r="D204" s="557">
        <v>508.78827000000001</v>
      </c>
      <c r="E204" s="558" t="s">
        <v>272</v>
      </c>
      <c r="F204" s="556">
        <v>0</v>
      </c>
      <c r="G204" s="557">
        <v>0</v>
      </c>
      <c r="H204" s="559">
        <v>4.9406564584124654E-324</v>
      </c>
      <c r="I204" s="556">
        <v>9.8813129168249309E-324</v>
      </c>
      <c r="J204" s="557">
        <v>9.8813129168249309E-324</v>
      </c>
      <c r="K204" s="560" t="s">
        <v>272</v>
      </c>
    </row>
    <row r="205" spans="1:11" ht="14.4" customHeight="1" thickBot="1" x14ac:dyDescent="0.35">
      <c r="A205" s="573" t="s">
        <v>468</v>
      </c>
      <c r="B205" s="551">
        <v>0</v>
      </c>
      <c r="C205" s="551">
        <v>508.78827000000001</v>
      </c>
      <c r="D205" s="552">
        <v>508.78827000000001</v>
      </c>
      <c r="E205" s="561" t="s">
        <v>272</v>
      </c>
      <c r="F205" s="551">
        <v>0</v>
      </c>
      <c r="G205" s="552">
        <v>0</v>
      </c>
      <c r="H205" s="554">
        <v>4.9406564584124654E-324</v>
      </c>
      <c r="I205" s="551">
        <v>9.8813129168249309E-324</v>
      </c>
      <c r="J205" s="552">
        <v>9.8813129168249309E-324</v>
      </c>
      <c r="K205" s="562" t="s">
        <v>272</v>
      </c>
    </row>
    <row r="206" spans="1:11" ht="14.4" customHeight="1" thickBot="1" x14ac:dyDescent="0.35">
      <c r="A206" s="570" t="s">
        <v>469</v>
      </c>
      <c r="B206" s="551">
        <v>0</v>
      </c>
      <c r="C206" s="551">
        <v>13.925000000000001</v>
      </c>
      <c r="D206" s="552">
        <v>13.925000000000001</v>
      </c>
      <c r="E206" s="561" t="s">
        <v>272</v>
      </c>
      <c r="F206" s="551">
        <v>40</v>
      </c>
      <c r="G206" s="552">
        <v>6.6666666666659999</v>
      </c>
      <c r="H206" s="554">
        <v>2.0630000000000002</v>
      </c>
      <c r="I206" s="551">
        <v>4.1260000000000003</v>
      </c>
      <c r="J206" s="552">
        <v>-2.5406666666660001</v>
      </c>
      <c r="K206" s="555">
        <v>0.10315000000000001</v>
      </c>
    </row>
    <row r="207" spans="1:11" ht="14.4" customHeight="1" thickBot="1" x14ac:dyDescent="0.35">
      <c r="A207" s="576" t="s">
        <v>470</v>
      </c>
      <c r="B207" s="556">
        <v>0</v>
      </c>
      <c r="C207" s="556">
        <v>13.925000000000001</v>
      </c>
      <c r="D207" s="557">
        <v>13.925000000000001</v>
      </c>
      <c r="E207" s="558" t="s">
        <v>272</v>
      </c>
      <c r="F207" s="556">
        <v>40</v>
      </c>
      <c r="G207" s="557">
        <v>6.6666666666659999</v>
      </c>
      <c r="H207" s="559">
        <v>2.0630000000000002</v>
      </c>
      <c r="I207" s="556">
        <v>4.1260000000000003</v>
      </c>
      <c r="J207" s="557">
        <v>-2.5406666666660001</v>
      </c>
      <c r="K207" s="564">
        <v>0.10315000000000001</v>
      </c>
    </row>
    <row r="208" spans="1:11" ht="14.4" customHeight="1" thickBot="1" x14ac:dyDescent="0.35">
      <c r="A208" s="572" t="s">
        <v>471</v>
      </c>
      <c r="B208" s="556">
        <v>0</v>
      </c>
      <c r="C208" s="556">
        <v>9.7989999999999995</v>
      </c>
      <c r="D208" s="557">
        <v>9.7989999999999995</v>
      </c>
      <c r="E208" s="558" t="s">
        <v>272</v>
      </c>
      <c r="F208" s="556">
        <v>40</v>
      </c>
      <c r="G208" s="557">
        <v>6.6666666666659999</v>
      </c>
      <c r="H208" s="559">
        <v>4.9406564584124654E-324</v>
      </c>
      <c r="I208" s="556">
        <v>9.8813129168249309E-324</v>
      </c>
      <c r="J208" s="557">
        <v>-6.6666666666659999</v>
      </c>
      <c r="K208" s="564">
        <v>0</v>
      </c>
    </row>
    <row r="209" spans="1:11" ht="14.4" customHeight="1" thickBot="1" x14ac:dyDescent="0.35">
      <c r="A209" s="573" t="s">
        <v>472</v>
      </c>
      <c r="B209" s="551">
        <v>0</v>
      </c>
      <c r="C209" s="551">
        <v>9.7989999999999995</v>
      </c>
      <c r="D209" s="552">
        <v>9.7989999999999995</v>
      </c>
      <c r="E209" s="561" t="s">
        <v>272</v>
      </c>
      <c r="F209" s="551">
        <v>40</v>
      </c>
      <c r="G209" s="552">
        <v>6.6666666666659999</v>
      </c>
      <c r="H209" s="554">
        <v>4.9406564584124654E-324</v>
      </c>
      <c r="I209" s="551">
        <v>9.8813129168249309E-324</v>
      </c>
      <c r="J209" s="552">
        <v>-6.6666666666659999</v>
      </c>
      <c r="K209" s="555">
        <v>0</v>
      </c>
    </row>
    <row r="210" spans="1:11" ht="14.4" customHeight="1" thickBot="1" x14ac:dyDescent="0.35">
      <c r="A210" s="577"/>
      <c r="B210" s="551">
        <v>4.9406564584124654E-324</v>
      </c>
      <c r="C210" s="551">
        <v>4.1260000000000003</v>
      </c>
      <c r="D210" s="552">
        <v>4.1260000000000003</v>
      </c>
      <c r="E210" s="561" t="s">
        <v>278</v>
      </c>
      <c r="F210" s="551">
        <v>0</v>
      </c>
      <c r="G210" s="552">
        <v>0</v>
      </c>
      <c r="H210" s="554">
        <v>2.0630000000000002</v>
      </c>
      <c r="I210" s="551">
        <v>4.1260000000000003</v>
      </c>
      <c r="J210" s="552">
        <v>4.1260000000000003</v>
      </c>
      <c r="K210" s="562" t="s">
        <v>272</v>
      </c>
    </row>
    <row r="211" spans="1:11" ht="14.4" customHeight="1" thickBot="1" x14ac:dyDescent="0.35">
      <c r="A211" s="573" t="s">
        <v>473</v>
      </c>
      <c r="B211" s="551">
        <v>4.9406564584124654E-324</v>
      </c>
      <c r="C211" s="551">
        <v>4.1260000000000003</v>
      </c>
      <c r="D211" s="552">
        <v>4.1260000000000003</v>
      </c>
      <c r="E211" s="561" t="s">
        <v>278</v>
      </c>
      <c r="F211" s="551">
        <v>0</v>
      </c>
      <c r="G211" s="552">
        <v>0</v>
      </c>
      <c r="H211" s="554">
        <v>2.0630000000000002</v>
      </c>
      <c r="I211" s="551">
        <v>4.1260000000000003</v>
      </c>
      <c r="J211" s="552">
        <v>4.1260000000000003</v>
      </c>
      <c r="K211" s="562" t="s">
        <v>272</v>
      </c>
    </row>
    <row r="212" spans="1:11" ht="14.4" customHeight="1" thickBot="1" x14ac:dyDescent="0.35">
      <c r="A212" s="569" t="s">
        <v>474</v>
      </c>
      <c r="B212" s="551">
        <v>6874.5315545786698</v>
      </c>
      <c r="C212" s="551">
        <v>7142.46443</v>
      </c>
      <c r="D212" s="552">
        <v>267.93287542132998</v>
      </c>
      <c r="E212" s="553">
        <v>1.0389747102460001</v>
      </c>
      <c r="F212" s="551">
        <v>6394.0059540686098</v>
      </c>
      <c r="G212" s="552">
        <v>1065.66765901144</v>
      </c>
      <c r="H212" s="554">
        <v>548.07451000000003</v>
      </c>
      <c r="I212" s="551">
        <v>1127.97424</v>
      </c>
      <c r="J212" s="552">
        <v>62.306580988564001</v>
      </c>
      <c r="K212" s="555">
        <v>0.17641119637700001</v>
      </c>
    </row>
    <row r="213" spans="1:11" ht="14.4" customHeight="1" thickBot="1" x14ac:dyDescent="0.35">
      <c r="A213" s="574" t="s">
        <v>475</v>
      </c>
      <c r="B213" s="556">
        <v>6874.5315545786698</v>
      </c>
      <c r="C213" s="556">
        <v>7142.46443</v>
      </c>
      <c r="D213" s="557">
        <v>267.93287542132998</v>
      </c>
      <c r="E213" s="563">
        <v>1.0389747102460001</v>
      </c>
      <c r="F213" s="556">
        <v>6394.0059540686098</v>
      </c>
      <c r="G213" s="557">
        <v>1065.66765901144</v>
      </c>
      <c r="H213" s="559">
        <v>548.07451000000003</v>
      </c>
      <c r="I213" s="556">
        <v>1127.97424</v>
      </c>
      <c r="J213" s="557">
        <v>62.306580988564001</v>
      </c>
      <c r="K213" s="564">
        <v>0.17641119637700001</v>
      </c>
    </row>
    <row r="214" spans="1:11" ht="14.4" customHeight="1" thickBot="1" x14ac:dyDescent="0.35">
      <c r="A214" s="576" t="s">
        <v>44</v>
      </c>
      <c r="B214" s="556">
        <v>6874.5315545786698</v>
      </c>
      <c r="C214" s="556">
        <v>7142.46443</v>
      </c>
      <c r="D214" s="557">
        <v>267.93287542132998</v>
      </c>
      <c r="E214" s="563">
        <v>1.0389747102460001</v>
      </c>
      <c r="F214" s="556">
        <v>6394.0059540686098</v>
      </c>
      <c r="G214" s="557">
        <v>1065.66765901144</v>
      </c>
      <c r="H214" s="559">
        <v>548.07451000000003</v>
      </c>
      <c r="I214" s="556">
        <v>1127.97424</v>
      </c>
      <c r="J214" s="557">
        <v>62.306580988564001</v>
      </c>
      <c r="K214" s="564">
        <v>0.17641119637700001</v>
      </c>
    </row>
    <row r="215" spans="1:11" ht="14.4" customHeight="1" thickBot="1" x14ac:dyDescent="0.35">
      <c r="A215" s="572" t="s">
        <v>476</v>
      </c>
      <c r="B215" s="556">
        <v>63.999999999998998</v>
      </c>
      <c r="C215" s="556">
        <v>71.775000000000006</v>
      </c>
      <c r="D215" s="557">
        <v>7.7750000000000004</v>
      </c>
      <c r="E215" s="563">
        <v>1.1214843750000001</v>
      </c>
      <c r="F215" s="556">
        <v>53</v>
      </c>
      <c r="G215" s="557">
        <v>8.833333333333</v>
      </c>
      <c r="H215" s="559">
        <v>5.9812500000000002</v>
      </c>
      <c r="I215" s="556">
        <v>11.9625</v>
      </c>
      <c r="J215" s="557">
        <v>3.1291666666659999</v>
      </c>
      <c r="K215" s="564">
        <v>0.22570754716899999</v>
      </c>
    </row>
    <row r="216" spans="1:11" ht="14.4" customHeight="1" thickBot="1" x14ac:dyDescent="0.35">
      <c r="A216" s="573" t="s">
        <v>477</v>
      </c>
      <c r="B216" s="551">
        <v>63.999999999998998</v>
      </c>
      <c r="C216" s="551">
        <v>71.775000000000006</v>
      </c>
      <c r="D216" s="552">
        <v>7.7750000000000004</v>
      </c>
      <c r="E216" s="553">
        <v>1.1214843750000001</v>
      </c>
      <c r="F216" s="551">
        <v>53</v>
      </c>
      <c r="G216" s="552">
        <v>8.833333333333</v>
      </c>
      <c r="H216" s="554">
        <v>5.9812500000000002</v>
      </c>
      <c r="I216" s="551">
        <v>11.9625</v>
      </c>
      <c r="J216" s="552">
        <v>3.1291666666659999</v>
      </c>
      <c r="K216" s="555">
        <v>0.22570754716899999</v>
      </c>
    </row>
    <row r="217" spans="1:11" ht="14.4" customHeight="1" thickBot="1" x14ac:dyDescent="0.35">
      <c r="A217" s="572" t="s">
        <v>478</v>
      </c>
      <c r="B217" s="556">
        <v>62.458526697604</v>
      </c>
      <c r="C217" s="556">
        <v>34.479999999999997</v>
      </c>
      <c r="D217" s="557">
        <v>-27.978526697604</v>
      </c>
      <c r="E217" s="563">
        <v>0.552046322945</v>
      </c>
      <c r="F217" s="556">
        <v>42.005954068613001</v>
      </c>
      <c r="G217" s="557">
        <v>7.000992344768</v>
      </c>
      <c r="H217" s="559">
        <v>3.5659999999999998</v>
      </c>
      <c r="I217" s="556">
        <v>10.513</v>
      </c>
      <c r="J217" s="557">
        <v>3.5120076552309998</v>
      </c>
      <c r="K217" s="564">
        <v>0.25027404407499998</v>
      </c>
    </row>
    <row r="218" spans="1:11" ht="14.4" customHeight="1" thickBot="1" x14ac:dyDescent="0.35">
      <c r="A218" s="573" t="s">
        <v>479</v>
      </c>
      <c r="B218" s="551">
        <v>62.458526697604</v>
      </c>
      <c r="C218" s="551">
        <v>34.479999999999997</v>
      </c>
      <c r="D218" s="552">
        <v>-27.978526697604</v>
      </c>
      <c r="E218" s="553">
        <v>0.552046322945</v>
      </c>
      <c r="F218" s="551">
        <v>42.005954068613001</v>
      </c>
      <c r="G218" s="552">
        <v>7.000992344768</v>
      </c>
      <c r="H218" s="554">
        <v>3.5659999999999998</v>
      </c>
      <c r="I218" s="551">
        <v>10.513</v>
      </c>
      <c r="J218" s="552">
        <v>3.5120076552309998</v>
      </c>
      <c r="K218" s="555">
        <v>0.25027404407499998</v>
      </c>
    </row>
    <row r="219" spans="1:11" ht="14.4" customHeight="1" thickBot="1" x14ac:dyDescent="0.35">
      <c r="A219" s="572" t="s">
        <v>480</v>
      </c>
      <c r="B219" s="556">
        <v>1134.07302788114</v>
      </c>
      <c r="C219" s="556">
        <v>1178.3044</v>
      </c>
      <c r="D219" s="557">
        <v>44.231372118861003</v>
      </c>
      <c r="E219" s="563">
        <v>1.0390022256339999</v>
      </c>
      <c r="F219" s="556">
        <v>1289</v>
      </c>
      <c r="G219" s="557">
        <v>214.833333333333</v>
      </c>
      <c r="H219" s="559">
        <v>67.593500000000006</v>
      </c>
      <c r="I219" s="556">
        <v>135.37049999999999</v>
      </c>
      <c r="J219" s="557">
        <v>-79.462833333332995</v>
      </c>
      <c r="K219" s="564">
        <v>0.105019782777</v>
      </c>
    </row>
    <row r="220" spans="1:11" ht="14.4" customHeight="1" thickBot="1" x14ac:dyDescent="0.35">
      <c r="A220" s="573" t="s">
        <v>481</v>
      </c>
      <c r="B220" s="551">
        <v>1134.07302788114</v>
      </c>
      <c r="C220" s="551">
        <v>1178.3044</v>
      </c>
      <c r="D220" s="552">
        <v>44.231372118861003</v>
      </c>
      <c r="E220" s="553">
        <v>1.0390022256339999</v>
      </c>
      <c r="F220" s="551">
        <v>1289</v>
      </c>
      <c r="G220" s="552">
        <v>214.833333333333</v>
      </c>
      <c r="H220" s="554">
        <v>67.593500000000006</v>
      </c>
      <c r="I220" s="551">
        <v>135.37049999999999</v>
      </c>
      <c r="J220" s="552">
        <v>-79.462833333332995</v>
      </c>
      <c r="K220" s="555">
        <v>0.105019782777</v>
      </c>
    </row>
    <row r="221" spans="1:11" ht="14.4" customHeight="1" thickBot="1" x14ac:dyDescent="0.35">
      <c r="A221" s="572" t="s">
        <v>482</v>
      </c>
      <c r="B221" s="556">
        <v>0</v>
      </c>
      <c r="C221" s="556">
        <v>12.085000000000001</v>
      </c>
      <c r="D221" s="557">
        <v>12.085000000000001</v>
      </c>
      <c r="E221" s="558" t="s">
        <v>272</v>
      </c>
      <c r="F221" s="556">
        <v>4.9406564584124654E-324</v>
      </c>
      <c r="G221" s="557">
        <v>0</v>
      </c>
      <c r="H221" s="559">
        <v>0.74099999999999999</v>
      </c>
      <c r="I221" s="556">
        <v>1.569</v>
      </c>
      <c r="J221" s="557">
        <v>1.569</v>
      </c>
      <c r="K221" s="560" t="s">
        <v>278</v>
      </c>
    </row>
    <row r="222" spans="1:11" ht="14.4" customHeight="1" thickBot="1" x14ac:dyDescent="0.35">
      <c r="A222" s="573" t="s">
        <v>483</v>
      </c>
      <c r="B222" s="551">
        <v>0</v>
      </c>
      <c r="C222" s="551">
        <v>12.085000000000001</v>
      </c>
      <c r="D222" s="552">
        <v>12.085000000000001</v>
      </c>
      <c r="E222" s="561" t="s">
        <v>272</v>
      </c>
      <c r="F222" s="551">
        <v>4.9406564584124654E-324</v>
      </c>
      <c r="G222" s="552">
        <v>0</v>
      </c>
      <c r="H222" s="554">
        <v>0.74099999999999999</v>
      </c>
      <c r="I222" s="551">
        <v>1.569</v>
      </c>
      <c r="J222" s="552">
        <v>1.569</v>
      </c>
      <c r="K222" s="562" t="s">
        <v>278</v>
      </c>
    </row>
    <row r="223" spans="1:11" ht="14.4" customHeight="1" thickBot="1" x14ac:dyDescent="0.35">
      <c r="A223" s="572" t="s">
        <v>484</v>
      </c>
      <c r="B223" s="556">
        <v>466.99999999999397</v>
      </c>
      <c r="C223" s="556">
        <v>414.27015999999998</v>
      </c>
      <c r="D223" s="557">
        <v>-52.729839999992997</v>
      </c>
      <c r="E223" s="563">
        <v>0.88708813704400002</v>
      </c>
      <c r="F223" s="556">
        <v>586</v>
      </c>
      <c r="G223" s="557">
        <v>97.666666666666003</v>
      </c>
      <c r="H223" s="559">
        <v>25.881019999999999</v>
      </c>
      <c r="I223" s="556">
        <v>59.832610000000003</v>
      </c>
      <c r="J223" s="557">
        <v>-37.834056666666001</v>
      </c>
      <c r="K223" s="564">
        <v>0.10210343003400001</v>
      </c>
    </row>
    <row r="224" spans="1:11" ht="14.4" customHeight="1" thickBot="1" x14ac:dyDescent="0.35">
      <c r="A224" s="573" t="s">
        <v>485</v>
      </c>
      <c r="B224" s="551">
        <v>466.99999999999397</v>
      </c>
      <c r="C224" s="551">
        <v>414.12063999999998</v>
      </c>
      <c r="D224" s="552">
        <v>-52.879359999994001</v>
      </c>
      <c r="E224" s="553">
        <v>0.88676796573799999</v>
      </c>
      <c r="F224" s="551">
        <v>577</v>
      </c>
      <c r="G224" s="552">
        <v>96.166666666666003</v>
      </c>
      <c r="H224" s="554">
        <v>25.19904</v>
      </c>
      <c r="I224" s="551">
        <v>58.468649999999997</v>
      </c>
      <c r="J224" s="552">
        <v>-37.698016666666</v>
      </c>
      <c r="K224" s="555">
        <v>0.10133214904600001</v>
      </c>
    </row>
    <row r="225" spans="1:11" ht="14.4" customHeight="1" thickBot="1" x14ac:dyDescent="0.35">
      <c r="A225" s="573" t="s">
        <v>486</v>
      </c>
      <c r="B225" s="551">
        <v>0</v>
      </c>
      <c r="C225" s="551">
        <v>0.14951999999999999</v>
      </c>
      <c r="D225" s="552">
        <v>0.14951999999999999</v>
      </c>
      <c r="E225" s="561" t="s">
        <v>272</v>
      </c>
      <c r="F225" s="551">
        <v>9</v>
      </c>
      <c r="G225" s="552">
        <v>1.5</v>
      </c>
      <c r="H225" s="554">
        <v>0.68198000000000003</v>
      </c>
      <c r="I225" s="551">
        <v>1.3639600000000001</v>
      </c>
      <c r="J225" s="552">
        <v>-0.13603999999999999</v>
      </c>
      <c r="K225" s="555">
        <v>0.151551111111</v>
      </c>
    </row>
    <row r="226" spans="1:11" ht="14.4" customHeight="1" thickBot="1" x14ac:dyDescent="0.35">
      <c r="A226" s="572" t="s">
        <v>487</v>
      </c>
      <c r="B226" s="556">
        <v>0</v>
      </c>
      <c r="C226" s="556">
        <v>1142.41608</v>
      </c>
      <c r="D226" s="557">
        <v>1142.41608</v>
      </c>
      <c r="E226" s="558" t="s">
        <v>272</v>
      </c>
      <c r="F226" s="556">
        <v>4.9406564584124654E-324</v>
      </c>
      <c r="G226" s="557">
        <v>0</v>
      </c>
      <c r="H226" s="559">
        <v>88.423959999999994</v>
      </c>
      <c r="I226" s="556">
        <v>181.06048000000001</v>
      </c>
      <c r="J226" s="557">
        <v>181.06048000000001</v>
      </c>
      <c r="K226" s="560" t="s">
        <v>278</v>
      </c>
    </row>
    <row r="227" spans="1:11" ht="14.4" customHeight="1" thickBot="1" x14ac:dyDescent="0.35">
      <c r="A227" s="573" t="s">
        <v>488</v>
      </c>
      <c r="B227" s="551">
        <v>0</v>
      </c>
      <c r="C227" s="551">
        <v>1142.41608</v>
      </c>
      <c r="D227" s="552">
        <v>1142.41608</v>
      </c>
      <c r="E227" s="561" t="s">
        <v>272</v>
      </c>
      <c r="F227" s="551">
        <v>4.9406564584124654E-324</v>
      </c>
      <c r="G227" s="552">
        <v>0</v>
      </c>
      <c r="H227" s="554">
        <v>88.423959999999994</v>
      </c>
      <c r="I227" s="551">
        <v>181.06048000000001</v>
      </c>
      <c r="J227" s="552">
        <v>181.06048000000001</v>
      </c>
      <c r="K227" s="562" t="s">
        <v>278</v>
      </c>
    </row>
    <row r="228" spans="1:11" ht="14.4" customHeight="1" thickBot="1" x14ac:dyDescent="0.35">
      <c r="A228" s="572" t="s">
        <v>489</v>
      </c>
      <c r="B228" s="556">
        <v>5146.99999999993</v>
      </c>
      <c r="C228" s="556">
        <v>4289.1337899999999</v>
      </c>
      <c r="D228" s="557">
        <v>-857.86620999993397</v>
      </c>
      <c r="E228" s="563">
        <v>0.83332694579300004</v>
      </c>
      <c r="F228" s="556">
        <v>4424</v>
      </c>
      <c r="G228" s="557">
        <v>737.33333333333303</v>
      </c>
      <c r="H228" s="559">
        <v>355.88778000000002</v>
      </c>
      <c r="I228" s="556">
        <v>727.66615000000002</v>
      </c>
      <c r="J228" s="557">
        <v>-9.667183333333</v>
      </c>
      <c r="K228" s="564">
        <v>0.16448149864299999</v>
      </c>
    </row>
    <row r="229" spans="1:11" ht="14.4" customHeight="1" thickBot="1" x14ac:dyDescent="0.35">
      <c r="A229" s="573" t="s">
        <v>490</v>
      </c>
      <c r="B229" s="551">
        <v>5146.99999999993</v>
      </c>
      <c r="C229" s="551">
        <v>4289.1337899999999</v>
      </c>
      <c r="D229" s="552">
        <v>-857.86620999993397</v>
      </c>
      <c r="E229" s="553">
        <v>0.83332694579300004</v>
      </c>
      <c r="F229" s="551">
        <v>4424</v>
      </c>
      <c r="G229" s="552">
        <v>737.33333333333303</v>
      </c>
      <c r="H229" s="554">
        <v>355.88778000000002</v>
      </c>
      <c r="I229" s="551">
        <v>727.66615000000002</v>
      </c>
      <c r="J229" s="552">
        <v>-9.667183333333</v>
      </c>
      <c r="K229" s="555">
        <v>0.16448149864299999</v>
      </c>
    </row>
    <row r="230" spans="1:11" ht="14.4" customHeight="1" thickBot="1" x14ac:dyDescent="0.35">
      <c r="A230" s="578" t="s">
        <v>491</v>
      </c>
      <c r="B230" s="556">
        <v>0</v>
      </c>
      <c r="C230" s="556">
        <v>31.736999999999998</v>
      </c>
      <c r="D230" s="557">
        <v>31.736999999999998</v>
      </c>
      <c r="E230" s="558" t="s">
        <v>272</v>
      </c>
      <c r="F230" s="556">
        <v>4.9406564584124654E-324</v>
      </c>
      <c r="G230" s="557">
        <v>0</v>
      </c>
      <c r="H230" s="559">
        <v>4.9406564584124654E-324</v>
      </c>
      <c r="I230" s="556">
        <v>9.8813129168249309E-324</v>
      </c>
      <c r="J230" s="557">
        <v>9.8813129168249309E-324</v>
      </c>
      <c r="K230" s="564">
        <v>2</v>
      </c>
    </row>
    <row r="231" spans="1:11" ht="14.4" customHeight="1" thickBot="1" x14ac:dyDescent="0.35">
      <c r="A231" s="574" t="s">
        <v>492</v>
      </c>
      <c r="B231" s="556">
        <v>0</v>
      </c>
      <c r="C231" s="556">
        <v>31.736999999999998</v>
      </c>
      <c r="D231" s="557">
        <v>31.736999999999998</v>
      </c>
      <c r="E231" s="558" t="s">
        <v>272</v>
      </c>
      <c r="F231" s="556">
        <v>4.9406564584124654E-324</v>
      </c>
      <c r="G231" s="557">
        <v>0</v>
      </c>
      <c r="H231" s="559">
        <v>4.9406564584124654E-324</v>
      </c>
      <c r="I231" s="556">
        <v>9.8813129168249309E-324</v>
      </c>
      <c r="J231" s="557">
        <v>9.8813129168249309E-324</v>
      </c>
      <c r="K231" s="564">
        <v>2</v>
      </c>
    </row>
    <row r="232" spans="1:11" ht="14.4" customHeight="1" thickBot="1" x14ac:dyDescent="0.35">
      <c r="A232" s="576" t="s">
        <v>493</v>
      </c>
      <c r="B232" s="556">
        <v>0</v>
      </c>
      <c r="C232" s="556">
        <v>31.736999999999998</v>
      </c>
      <c r="D232" s="557">
        <v>31.736999999999998</v>
      </c>
      <c r="E232" s="558" t="s">
        <v>272</v>
      </c>
      <c r="F232" s="556">
        <v>4.9406564584124654E-324</v>
      </c>
      <c r="G232" s="557">
        <v>0</v>
      </c>
      <c r="H232" s="559">
        <v>4.9406564584124654E-324</v>
      </c>
      <c r="I232" s="556">
        <v>9.8813129168249309E-324</v>
      </c>
      <c r="J232" s="557">
        <v>9.8813129168249309E-324</v>
      </c>
      <c r="K232" s="564">
        <v>2</v>
      </c>
    </row>
    <row r="233" spans="1:11" ht="14.4" customHeight="1" thickBot="1" x14ac:dyDescent="0.35">
      <c r="A233" s="572" t="s">
        <v>494</v>
      </c>
      <c r="B233" s="556">
        <v>0</v>
      </c>
      <c r="C233" s="556">
        <v>31.736999999999998</v>
      </c>
      <c r="D233" s="557">
        <v>31.736999999999998</v>
      </c>
      <c r="E233" s="558" t="s">
        <v>272</v>
      </c>
      <c r="F233" s="556">
        <v>4.9406564584124654E-324</v>
      </c>
      <c r="G233" s="557">
        <v>0</v>
      </c>
      <c r="H233" s="559">
        <v>4.9406564584124654E-324</v>
      </c>
      <c r="I233" s="556">
        <v>9.8813129168249309E-324</v>
      </c>
      <c r="J233" s="557">
        <v>9.8813129168249309E-324</v>
      </c>
      <c r="K233" s="564">
        <v>2</v>
      </c>
    </row>
    <row r="234" spans="1:11" ht="14.4" customHeight="1" thickBot="1" x14ac:dyDescent="0.35">
      <c r="A234" s="573" t="s">
        <v>495</v>
      </c>
      <c r="B234" s="551">
        <v>0</v>
      </c>
      <c r="C234" s="551">
        <v>31.736999999999998</v>
      </c>
      <c r="D234" s="552">
        <v>31.736999999999998</v>
      </c>
      <c r="E234" s="561" t="s">
        <v>272</v>
      </c>
      <c r="F234" s="551">
        <v>4.9406564584124654E-324</v>
      </c>
      <c r="G234" s="552">
        <v>0</v>
      </c>
      <c r="H234" s="554">
        <v>4.9406564584124654E-324</v>
      </c>
      <c r="I234" s="551">
        <v>9.8813129168249309E-324</v>
      </c>
      <c r="J234" s="552">
        <v>9.8813129168249309E-324</v>
      </c>
      <c r="K234" s="555">
        <v>2</v>
      </c>
    </row>
    <row r="235" spans="1:11" ht="14.4" customHeight="1" thickBot="1" x14ac:dyDescent="0.35">
      <c r="A235" s="577"/>
      <c r="B235" s="551">
        <v>12298.670133461999</v>
      </c>
      <c r="C235" s="551">
        <v>13500.996139999999</v>
      </c>
      <c r="D235" s="552">
        <v>1202.32600653791</v>
      </c>
      <c r="E235" s="553">
        <v>1.0977606516380001</v>
      </c>
      <c r="F235" s="551">
        <v>13407.8248890704</v>
      </c>
      <c r="G235" s="552">
        <v>2234.6374815117401</v>
      </c>
      <c r="H235" s="554">
        <v>2068.5268099999998</v>
      </c>
      <c r="I235" s="551">
        <v>11.83394999998</v>
      </c>
      <c r="J235" s="552">
        <v>-2222.80353151176</v>
      </c>
      <c r="K235" s="555">
        <v>8.8261519599999998E-4</v>
      </c>
    </row>
    <row r="236" spans="1:11" ht="14.4" customHeight="1" thickBot="1" x14ac:dyDescent="0.35">
      <c r="A236" s="579" t="s">
        <v>56</v>
      </c>
      <c r="B236" s="565">
        <v>12298.670133461899</v>
      </c>
      <c r="C236" s="565">
        <v>13500.996139999999</v>
      </c>
      <c r="D236" s="566">
        <v>1202.32600653801</v>
      </c>
      <c r="E236" s="567" t="s">
        <v>272</v>
      </c>
      <c r="F236" s="565">
        <v>13407.8248890704</v>
      </c>
      <c r="G236" s="566">
        <v>2234.6374815117401</v>
      </c>
      <c r="H236" s="565">
        <v>2068.5268099999998</v>
      </c>
      <c r="I236" s="565">
        <v>11.83394999998</v>
      </c>
      <c r="J236" s="566">
        <v>-2222.80353151176</v>
      </c>
      <c r="K236" s="568">
        <v>8.8261519599999998E-4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3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28" bestFit="1" customWidth="1"/>
    <col min="2" max="2" width="9.33203125" style="328" customWidth="1"/>
    <col min="3" max="3" width="28.88671875" style="246" bestFit="1" customWidth="1"/>
    <col min="4" max="4" width="12.77734375" style="329" bestFit="1" customWidth="1"/>
    <col min="5" max="5" width="11.109375" style="329" customWidth="1"/>
    <col min="6" max="6" width="6.6640625" style="330" customWidth="1"/>
    <col min="7" max="7" width="12.21875" style="327" bestFit="1" customWidth="1"/>
    <col min="8" max="8" width="0" style="246" hidden="1" customWidth="1"/>
    <col min="9" max="16384" width="8.88671875" style="246"/>
  </cols>
  <sheetData>
    <row r="1" spans="1:8" ht="18.600000000000001" customHeight="1" thickBot="1" x14ac:dyDescent="0.4">
      <c r="A1" s="469" t="s">
        <v>161</v>
      </c>
      <c r="B1" s="470"/>
      <c r="C1" s="470"/>
      <c r="D1" s="470"/>
      <c r="E1" s="470"/>
      <c r="F1" s="470"/>
      <c r="G1" s="446"/>
    </row>
    <row r="2" spans="1:8" ht="14.4" customHeight="1" thickBot="1" x14ac:dyDescent="0.35">
      <c r="A2" s="369" t="s">
        <v>271</v>
      </c>
      <c r="B2" s="326"/>
      <c r="C2" s="326"/>
      <c r="D2" s="326"/>
      <c r="E2" s="326"/>
      <c r="F2" s="326"/>
    </row>
    <row r="3" spans="1:8" ht="14.4" customHeight="1" thickBot="1" x14ac:dyDescent="0.35">
      <c r="A3" s="97" t="s">
        <v>0</v>
      </c>
      <c r="B3" s="98" t="s">
        <v>1</v>
      </c>
      <c r="C3" s="197" t="s">
        <v>2</v>
      </c>
      <c r="D3" s="198" t="s">
        <v>187</v>
      </c>
      <c r="E3" s="198" t="s">
        <v>4</v>
      </c>
      <c r="F3" s="198" t="s">
        <v>5</v>
      </c>
      <c r="G3" s="199" t="s">
        <v>168</v>
      </c>
    </row>
    <row r="4" spans="1:8" ht="14.4" customHeight="1" x14ac:dyDescent="0.3">
      <c r="A4" s="580" t="s">
        <v>496</v>
      </c>
      <c r="B4" s="581" t="s">
        <v>497</v>
      </c>
      <c r="C4" s="582" t="s">
        <v>498</v>
      </c>
      <c r="D4" s="582" t="s">
        <v>497</v>
      </c>
      <c r="E4" s="582" t="s">
        <v>497</v>
      </c>
      <c r="F4" s="583" t="s">
        <v>497</v>
      </c>
      <c r="G4" s="582" t="s">
        <v>497</v>
      </c>
      <c r="H4" s="582" t="s">
        <v>64</v>
      </c>
    </row>
    <row r="5" spans="1:8" ht="14.4" customHeight="1" x14ac:dyDescent="0.3">
      <c r="A5" s="580" t="s">
        <v>496</v>
      </c>
      <c r="B5" s="581" t="s">
        <v>499</v>
      </c>
      <c r="C5" s="582" t="s">
        <v>500</v>
      </c>
      <c r="D5" s="582">
        <v>292834.16597838298</v>
      </c>
      <c r="E5" s="582">
        <v>250102.07493820097</v>
      </c>
      <c r="F5" s="583">
        <v>0.85407409378816646</v>
      </c>
      <c r="G5" s="582">
        <v>-42732.091040182015</v>
      </c>
      <c r="H5" s="582" t="s">
        <v>2</v>
      </c>
    </row>
    <row r="6" spans="1:8" ht="14.4" customHeight="1" x14ac:dyDescent="0.3">
      <c r="A6" s="580" t="s">
        <v>496</v>
      </c>
      <c r="B6" s="581" t="s">
        <v>501</v>
      </c>
      <c r="C6" s="582" t="s">
        <v>502</v>
      </c>
      <c r="D6" s="582">
        <v>31743.871556430906</v>
      </c>
      <c r="E6" s="582">
        <v>47171.739998000106</v>
      </c>
      <c r="F6" s="583">
        <v>1.486010926995567</v>
      </c>
      <c r="G6" s="582">
        <v>15427.868441569201</v>
      </c>
      <c r="H6" s="582" t="s">
        <v>2</v>
      </c>
    </row>
    <row r="7" spans="1:8" ht="14.4" customHeight="1" x14ac:dyDescent="0.3">
      <c r="A7" s="580" t="s">
        <v>496</v>
      </c>
      <c r="B7" s="581" t="s">
        <v>503</v>
      </c>
      <c r="C7" s="582" t="s">
        <v>504</v>
      </c>
      <c r="D7" s="582">
        <v>4833.3757732305994</v>
      </c>
      <c r="E7" s="582">
        <v>8492.4</v>
      </c>
      <c r="F7" s="583">
        <v>1.7570328479392634</v>
      </c>
      <c r="G7" s="582">
        <v>3659.0242267694002</v>
      </c>
      <c r="H7" s="582" t="s">
        <v>2</v>
      </c>
    </row>
    <row r="8" spans="1:8" ht="14.4" customHeight="1" x14ac:dyDescent="0.3">
      <c r="A8" s="580" t="s">
        <v>496</v>
      </c>
      <c r="B8" s="581" t="s">
        <v>505</v>
      </c>
      <c r="C8" s="582" t="s">
        <v>506</v>
      </c>
      <c r="D8" s="582">
        <v>22406.78946238654</v>
      </c>
      <c r="E8" s="582">
        <v>37319.387871846659</v>
      </c>
      <c r="F8" s="583">
        <v>1.6655392748029947</v>
      </c>
      <c r="G8" s="582">
        <v>14912.598409460119</v>
      </c>
      <c r="H8" s="582" t="s">
        <v>2</v>
      </c>
    </row>
    <row r="9" spans="1:8" ht="14.4" customHeight="1" x14ac:dyDescent="0.3">
      <c r="A9" s="580" t="s">
        <v>496</v>
      </c>
      <c r="B9" s="581" t="s">
        <v>507</v>
      </c>
      <c r="C9" s="582" t="s">
        <v>508</v>
      </c>
      <c r="D9" s="582">
        <v>1416.7627210293049</v>
      </c>
      <c r="E9" s="582">
        <v>1436.3869821535297</v>
      </c>
      <c r="F9" s="583">
        <v>1.0138514804440699</v>
      </c>
      <c r="G9" s="582">
        <v>19.624261124224859</v>
      </c>
      <c r="H9" s="582" t="s">
        <v>2</v>
      </c>
    </row>
    <row r="10" spans="1:8" ht="14.4" customHeight="1" x14ac:dyDescent="0.3">
      <c r="A10" s="580" t="s">
        <v>496</v>
      </c>
      <c r="B10" s="581" t="s">
        <v>6</v>
      </c>
      <c r="C10" s="582" t="s">
        <v>498</v>
      </c>
      <c r="D10" s="582">
        <v>353234.9654914604</v>
      </c>
      <c r="E10" s="582">
        <v>344521.9897902013</v>
      </c>
      <c r="F10" s="583">
        <v>0.9753337677397349</v>
      </c>
      <c r="G10" s="582">
        <v>-8712.9757012590999</v>
      </c>
      <c r="H10" s="582" t="s">
        <v>509</v>
      </c>
    </row>
    <row r="12" spans="1:8" ht="14.4" customHeight="1" x14ac:dyDescent="0.3">
      <c r="A12" s="580" t="s">
        <v>496</v>
      </c>
      <c r="B12" s="581" t="s">
        <v>497</v>
      </c>
      <c r="C12" s="582" t="s">
        <v>498</v>
      </c>
      <c r="D12" s="582" t="s">
        <v>497</v>
      </c>
      <c r="E12" s="582" t="s">
        <v>497</v>
      </c>
      <c r="F12" s="583" t="s">
        <v>497</v>
      </c>
      <c r="G12" s="582" t="s">
        <v>497</v>
      </c>
      <c r="H12" s="582" t="s">
        <v>64</v>
      </c>
    </row>
    <row r="13" spans="1:8" ht="14.4" customHeight="1" x14ac:dyDescent="0.3">
      <c r="A13" s="580" t="s">
        <v>510</v>
      </c>
      <c r="B13" s="581" t="s">
        <v>499</v>
      </c>
      <c r="C13" s="582" t="s">
        <v>500</v>
      </c>
      <c r="D13" s="582">
        <v>27256.409814606832</v>
      </c>
      <c r="E13" s="582">
        <v>25167.820111228732</v>
      </c>
      <c r="F13" s="583">
        <v>0.92337253080709059</v>
      </c>
      <c r="G13" s="582">
        <v>-2088.5897033781002</v>
      </c>
      <c r="H13" s="582" t="s">
        <v>2</v>
      </c>
    </row>
    <row r="14" spans="1:8" ht="14.4" customHeight="1" x14ac:dyDescent="0.3">
      <c r="A14" s="580" t="s">
        <v>510</v>
      </c>
      <c r="B14" s="581" t="s">
        <v>505</v>
      </c>
      <c r="C14" s="582" t="s">
        <v>506</v>
      </c>
      <c r="D14" s="582">
        <v>1408.8081700950381</v>
      </c>
      <c r="E14" s="582">
        <v>2035.0475597656462</v>
      </c>
      <c r="F14" s="583">
        <v>1.4445171478728449</v>
      </c>
      <c r="G14" s="582">
        <v>626.23938967060803</v>
      </c>
      <c r="H14" s="582" t="s">
        <v>2</v>
      </c>
    </row>
    <row r="15" spans="1:8" ht="14.4" customHeight="1" x14ac:dyDescent="0.3">
      <c r="A15" s="580" t="s">
        <v>510</v>
      </c>
      <c r="B15" s="581" t="s">
        <v>507</v>
      </c>
      <c r="C15" s="582" t="s">
        <v>508</v>
      </c>
      <c r="D15" s="582">
        <v>244.13968238668167</v>
      </c>
      <c r="E15" s="582">
        <v>720.2685072749133</v>
      </c>
      <c r="F15" s="583">
        <v>2.9502311964759298</v>
      </c>
      <c r="G15" s="582">
        <v>476.12882488823163</v>
      </c>
      <c r="H15" s="582" t="s">
        <v>2</v>
      </c>
    </row>
    <row r="16" spans="1:8" ht="14.4" customHeight="1" x14ac:dyDescent="0.3">
      <c r="A16" s="580" t="s">
        <v>510</v>
      </c>
      <c r="B16" s="581" t="s">
        <v>6</v>
      </c>
      <c r="C16" s="582" t="s">
        <v>511</v>
      </c>
      <c r="D16" s="582">
        <v>32011.972046102554</v>
      </c>
      <c r="E16" s="582">
        <v>27923.136178269291</v>
      </c>
      <c r="F16" s="583">
        <v>0.87227166567730785</v>
      </c>
      <c r="G16" s="582">
        <v>-4088.8358678332625</v>
      </c>
      <c r="H16" s="582" t="s">
        <v>512</v>
      </c>
    </row>
    <row r="17" spans="1:8" ht="14.4" customHeight="1" x14ac:dyDescent="0.3">
      <c r="A17" s="580" t="s">
        <v>497</v>
      </c>
      <c r="B17" s="581" t="s">
        <v>497</v>
      </c>
      <c r="C17" s="582" t="s">
        <v>497</v>
      </c>
      <c r="D17" s="582" t="s">
        <v>497</v>
      </c>
      <c r="E17" s="582" t="s">
        <v>497</v>
      </c>
      <c r="F17" s="583" t="s">
        <v>497</v>
      </c>
      <c r="G17" s="582" t="s">
        <v>497</v>
      </c>
      <c r="H17" s="582" t="s">
        <v>513</v>
      </c>
    </row>
    <row r="18" spans="1:8" ht="14.4" customHeight="1" x14ac:dyDescent="0.3">
      <c r="A18" s="580" t="s">
        <v>514</v>
      </c>
      <c r="B18" s="581" t="s">
        <v>499</v>
      </c>
      <c r="C18" s="582" t="s">
        <v>500</v>
      </c>
      <c r="D18" s="582">
        <v>22644.874506754499</v>
      </c>
      <c r="E18" s="582">
        <v>19327.021793573665</v>
      </c>
      <c r="F18" s="583">
        <v>0.8534832810757601</v>
      </c>
      <c r="G18" s="582">
        <v>-3317.8527131808332</v>
      </c>
      <c r="H18" s="582" t="s">
        <v>2</v>
      </c>
    </row>
    <row r="19" spans="1:8" ht="14.4" customHeight="1" x14ac:dyDescent="0.3">
      <c r="A19" s="580" t="s">
        <v>514</v>
      </c>
      <c r="B19" s="581" t="s">
        <v>505</v>
      </c>
      <c r="C19" s="582" t="s">
        <v>506</v>
      </c>
      <c r="D19" s="582">
        <v>1999.807742123</v>
      </c>
      <c r="E19" s="582">
        <v>1477.790030242104</v>
      </c>
      <c r="F19" s="583">
        <v>0.73896605114313585</v>
      </c>
      <c r="G19" s="582">
        <v>-522.01771188089606</v>
      </c>
      <c r="H19" s="582" t="s">
        <v>2</v>
      </c>
    </row>
    <row r="20" spans="1:8" ht="14.4" customHeight="1" x14ac:dyDescent="0.3">
      <c r="A20" s="580" t="s">
        <v>514</v>
      </c>
      <c r="B20" s="581" t="s">
        <v>507</v>
      </c>
      <c r="C20" s="582" t="s">
        <v>508</v>
      </c>
      <c r="D20" s="582">
        <v>189.67549407341335</v>
      </c>
      <c r="E20" s="582">
        <v>355.84898865179377</v>
      </c>
      <c r="F20" s="583">
        <v>1.8760936429355679</v>
      </c>
      <c r="G20" s="582">
        <v>166.17349457838043</v>
      </c>
      <c r="H20" s="582" t="s">
        <v>2</v>
      </c>
    </row>
    <row r="21" spans="1:8" ht="14.4" customHeight="1" x14ac:dyDescent="0.3">
      <c r="A21" s="580" t="s">
        <v>514</v>
      </c>
      <c r="B21" s="581" t="s">
        <v>6</v>
      </c>
      <c r="C21" s="582" t="s">
        <v>515</v>
      </c>
      <c r="D21" s="582">
        <v>25389.520413978822</v>
      </c>
      <c r="E21" s="582">
        <v>21160.660812467562</v>
      </c>
      <c r="F21" s="583">
        <v>0.83344074513581767</v>
      </c>
      <c r="G21" s="582">
        <v>-4228.8596015112598</v>
      </c>
      <c r="H21" s="582" t="s">
        <v>512</v>
      </c>
    </row>
    <row r="22" spans="1:8" ht="14.4" customHeight="1" x14ac:dyDescent="0.3">
      <c r="A22" s="580" t="s">
        <v>497</v>
      </c>
      <c r="B22" s="581" t="s">
        <v>497</v>
      </c>
      <c r="C22" s="582" t="s">
        <v>497</v>
      </c>
      <c r="D22" s="582" t="s">
        <v>497</v>
      </c>
      <c r="E22" s="582" t="s">
        <v>497</v>
      </c>
      <c r="F22" s="583" t="s">
        <v>497</v>
      </c>
      <c r="G22" s="582" t="s">
        <v>497</v>
      </c>
      <c r="H22" s="582" t="s">
        <v>513</v>
      </c>
    </row>
    <row r="23" spans="1:8" ht="14.4" customHeight="1" x14ac:dyDescent="0.3">
      <c r="A23" s="580" t="s">
        <v>516</v>
      </c>
      <c r="B23" s="581" t="s">
        <v>499</v>
      </c>
      <c r="C23" s="582" t="s">
        <v>500</v>
      </c>
      <c r="D23" s="582">
        <v>242932.88165702167</v>
      </c>
      <c r="E23" s="582">
        <v>205607.23303339854</v>
      </c>
      <c r="F23" s="583">
        <v>0.84635406961367887</v>
      </c>
      <c r="G23" s="582">
        <v>-37325.648623623129</v>
      </c>
      <c r="H23" s="582" t="s">
        <v>2</v>
      </c>
    </row>
    <row r="24" spans="1:8" ht="14.4" customHeight="1" x14ac:dyDescent="0.3">
      <c r="A24" s="580" t="s">
        <v>516</v>
      </c>
      <c r="B24" s="581" t="s">
        <v>501</v>
      </c>
      <c r="C24" s="582" t="s">
        <v>502</v>
      </c>
      <c r="D24" s="582">
        <v>28086.094506388999</v>
      </c>
      <c r="E24" s="582">
        <v>47171.739998000106</v>
      </c>
      <c r="F24" s="583">
        <v>1.6795407416744796</v>
      </c>
      <c r="G24" s="582">
        <v>19085.645491611107</v>
      </c>
      <c r="H24" s="582" t="s">
        <v>2</v>
      </c>
    </row>
    <row r="25" spans="1:8" ht="14.4" customHeight="1" x14ac:dyDescent="0.3">
      <c r="A25" s="580" t="s">
        <v>516</v>
      </c>
      <c r="B25" s="581" t="s">
        <v>503</v>
      </c>
      <c r="C25" s="582" t="s">
        <v>504</v>
      </c>
      <c r="D25" s="582">
        <v>4833.3757732305994</v>
      </c>
      <c r="E25" s="582">
        <v>8492.4</v>
      </c>
      <c r="F25" s="583">
        <v>1.7570328479392634</v>
      </c>
      <c r="G25" s="582">
        <v>3659.0242267694002</v>
      </c>
      <c r="H25" s="582" t="s">
        <v>2</v>
      </c>
    </row>
    <row r="26" spans="1:8" ht="14.4" customHeight="1" x14ac:dyDescent="0.3">
      <c r="A26" s="580" t="s">
        <v>516</v>
      </c>
      <c r="B26" s="581" t="s">
        <v>505</v>
      </c>
      <c r="C26" s="582" t="s">
        <v>506</v>
      </c>
      <c r="D26" s="582">
        <v>18998.1735501685</v>
      </c>
      <c r="E26" s="582">
        <v>33806.550281838907</v>
      </c>
      <c r="F26" s="583">
        <v>1.7794631780031858</v>
      </c>
      <c r="G26" s="582">
        <v>14808.376731670407</v>
      </c>
      <c r="H26" s="582" t="s">
        <v>2</v>
      </c>
    </row>
    <row r="27" spans="1:8" ht="14.4" customHeight="1" x14ac:dyDescent="0.3">
      <c r="A27" s="580" t="s">
        <v>516</v>
      </c>
      <c r="B27" s="581" t="s">
        <v>507</v>
      </c>
      <c r="C27" s="582" t="s">
        <v>508</v>
      </c>
      <c r="D27" s="582">
        <v>982.94754456920998</v>
      </c>
      <c r="E27" s="582">
        <v>360.26948622682255</v>
      </c>
      <c r="F27" s="583">
        <v>0.36651954442260243</v>
      </c>
      <c r="G27" s="582">
        <v>-622.67805834238743</v>
      </c>
      <c r="H27" s="582" t="s">
        <v>2</v>
      </c>
    </row>
    <row r="28" spans="1:8" ht="14.4" customHeight="1" x14ac:dyDescent="0.3">
      <c r="A28" s="580" t="s">
        <v>516</v>
      </c>
      <c r="B28" s="581" t="s">
        <v>6</v>
      </c>
      <c r="C28" s="582" t="s">
        <v>517</v>
      </c>
      <c r="D28" s="582">
        <v>295833.47303137899</v>
      </c>
      <c r="E28" s="582">
        <v>295438.19279946439</v>
      </c>
      <c r="F28" s="583">
        <v>0.99866384210054326</v>
      </c>
      <c r="G28" s="582">
        <v>-395.28023191459943</v>
      </c>
      <c r="H28" s="582" t="s">
        <v>512</v>
      </c>
    </row>
    <row r="29" spans="1:8" ht="14.4" customHeight="1" x14ac:dyDescent="0.3">
      <c r="A29" s="580" t="s">
        <v>497</v>
      </c>
      <c r="B29" s="581" t="s">
        <v>497</v>
      </c>
      <c r="C29" s="582" t="s">
        <v>497</v>
      </c>
      <c r="D29" s="582" t="s">
        <v>497</v>
      </c>
      <c r="E29" s="582" t="s">
        <v>497</v>
      </c>
      <c r="F29" s="583" t="s">
        <v>497</v>
      </c>
      <c r="G29" s="582" t="s">
        <v>497</v>
      </c>
      <c r="H29" s="582" t="s">
        <v>513</v>
      </c>
    </row>
    <row r="30" spans="1:8" ht="14.4" customHeight="1" x14ac:dyDescent="0.3">
      <c r="A30" s="580" t="s">
        <v>496</v>
      </c>
      <c r="B30" s="581" t="s">
        <v>6</v>
      </c>
      <c r="C30" s="582" t="s">
        <v>498</v>
      </c>
      <c r="D30" s="582">
        <v>353234.9654914604</v>
      </c>
      <c r="E30" s="582">
        <v>344521.9897902013</v>
      </c>
      <c r="F30" s="583">
        <v>0.9753337677397349</v>
      </c>
      <c r="G30" s="582">
        <v>-8712.9757012590999</v>
      </c>
      <c r="H30" s="582" t="s">
        <v>509</v>
      </c>
    </row>
  </sheetData>
  <autoFilter ref="A3:G3"/>
  <mergeCells count="1">
    <mergeCell ref="A1:G1"/>
  </mergeCells>
  <conditionalFormatting sqref="F11 F31:F65536">
    <cfRule type="cellIs" dxfId="49" priority="15" stopIfTrue="1" operator="greaterThan">
      <formula>1</formula>
    </cfRule>
  </conditionalFormatting>
  <conditionalFormatting sqref="B4:B10">
    <cfRule type="expression" dxfId="48" priority="12">
      <formula>AND(LEFT(H4,6)&lt;&gt;"mezera",H4&lt;&gt;"")</formula>
    </cfRule>
  </conditionalFormatting>
  <conditionalFormatting sqref="A4:A10">
    <cfRule type="expression" dxfId="47" priority="10">
      <formula>AND(H4&lt;&gt;"",H4&lt;&gt;"mezeraKL")</formula>
    </cfRule>
  </conditionalFormatting>
  <conditionalFormatting sqref="G4:G10">
    <cfRule type="cellIs" dxfId="46" priority="9" operator="greaterThan">
      <formula>0</formula>
    </cfRule>
  </conditionalFormatting>
  <conditionalFormatting sqref="F4:F10">
    <cfRule type="cellIs" dxfId="45" priority="8" operator="greaterThan">
      <formula>1</formula>
    </cfRule>
  </conditionalFormatting>
  <conditionalFormatting sqref="B4:G10">
    <cfRule type="expression" dxfId="44" priority="11">
      <formula>OR($H4="KL",$H4="SumaKL")</formula>
    </cfRule>
    <cfRule type="expression" dxfId="43" priority="13">
      <formula>$H4="SumaNS"</formula>
    </cfRule>
  </conditionalFormatting>
  <conditionalFormatting sqref="A4:G10">
    <cfRule type="expression" dxfId="42" priority="14">
      <formula>$H4&lt;&gt;""</formula>
    </cfRule>
  </conditionalFormatting>
  <conditionalFormatting sqref="F12:F30">
    <cfRule type="cellIs" dxfId="41" priority="3" operator="greaterThan">
      <formula>1</formula>
    </cfRule>
  </conditionalFormatting>
  <conditionalFormatting sqref="B12:B30">
    <cfRule type="expression" dxfId="40" priority="6">
      <formula>AND(LEFT(H12,6)&lt;&gt;"mezera",H12&lt;&gt;"")</formula>
    </cfRule>
  </conditionalFormatting>
  <conditionalFormatting sqref="A12:A30">
    <cfRule type="expression" dxfId="39" priority="4">
      <formula>AND(H12&lt;&gt;"",H12&lt;&gt;"mezeraKL")</formula>
    </cfRule>
  </conditionalFormatting>
  <conditionalFormatting sqref="G12:G30">
    <cfRule type="cellIs" dxfId="38" priority="2" operator="greaterThan">
      <formula>0</formula>
    </cfRule>
  </conditionalFormatting>
  <conditionalFormatting sqref="B12:G30">
    <cfRule type="expression" dxfId="37" priority="5">
      <formula>OR($H12="KL",$H12="SumaKL")</formula>
    </cfRule>
    <cfRule type="expression" dxfId="36" priority="7">
      <formula>$H12="SumaNS"</formula>
    </cfRule>
  </conditionalFormatting>
  <conditionalFormatting sqref="A12:G30">
    <cfRule type="expression" dxfId="35" priority="1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6" hidden="1" customWidth="1" outlineLevel="1"/>
    <col min="2" max="2" width="28.33203125" style="246" hidden="1" customWidth="1" outlineLevel="1"/>
    <col min="3" max="3" width="5.33203125" style="329" bestFit="1" customWidth="1" collapsed="1"/>
    <col min="4" max="4" width="18.77734375" style="333" customWidth="1"/>
    <col min="5" max="5" width="9" style="329" bestFit="1" customWidth="1"/>
    <col min="6" max="6" width="18.77734375" style="333" customWidth="1"/>
    <col min="7" max="7" width="5" style="329" customWidth="1"/>
    <col min="8" max="8" width="12.44140625" style="329" hidden="1" customWidth="1" outlineLevel="1"/>
    <col min="9" max="9" width="8.5546875" style="329" hidden="1" customWidth="1" outlineLevel="1"/>
    <col min="10" max="10" width="25.77734375" style="329" customWidth="1" collapsed="1"/>
    <col min="11" max="11" width="8.77734375" style="329" customWidth="1"/>
    <col min="12" max="13" width="7.77734375" style="327" customWidth="1"/>
    <col min="14" max="14" width="11.109375" style="327" customWidth="1"/>
    <col min="15" max="16384" width="8.88671875" style="246"/>
  </cols>
  <sheetData>
    <row r="1" spans="1:14" ht="18.600000000000001" customHeight="1" thickBot="1" x14ac:dyDescent="0.4">
      <c r="A1" s="475" t="s">
        <v>186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</row>
    <row r="2" spans="1:14" ht="14.4" customHeight="1" thickBot="1" x14ac:dyDescent="0.35">
      <c r="A2" s="369" t="s">
        <v>271</v>
      </c>
      <c r="B2" s="66"/>
      <c r="C2" s="331"/>
      <c r="D2" s="331"/>
      <c r="E2" s="331"/>
      <c r="F2" s="331"/>
      <c r="G2" s="331"/>
      <c r="H2" s="331"/>
      <c r="I2" s="331"/>
      <c r="J2" s="331"/>
      <c r="K2" s="331"/>
      <c r="L2" s="332"/>
      <c r="M2" s="332"/>
      <c r="N2" s="332"/>
    </row>
    <row r="3" spans="1:14" ht="14.4" customHeight="1" thickBot="1" x14ac:dyDescent="0.35">
      <c r="A3" s="66"/>
      <c r="B3" s="66"/>
      <c r="C3" s="471"/>
      <c r="D3" s="472"/>
      <c r="E3" s="472"/>
      <c r="F3" s="472"/>
      <c r="G3" s="472"/>
      <c r="H3" s="472"/>
      <c r="I3" s="472"/>
      <c r="J3" s="473" t="s">
        <v>145</v>
      </c>
      <c r="K3" s="474"/>
      <c r="L3" s="200">
        <f>IF(M3&lt;&gt;0,N3/M3,0)</f>
        <v>148.1241625995105</v>
      </c>
      <c r="M3" s="200">
        <f>SUBTOTAL(9,M5:M1048576)</f>
        <v>2325.8999999999996</v>
      </c>
      <c r="N3" s="201">
        <f>SUBTOTAL(9,N5:N1048576)</f>
        <v>344521.98979020142</v>
      </c>
    </row>
    <row r="4" spans="1:14" s="328" customFormat="1" ht="14.4" customHeight="1" thickBot="1" x14ac:dyDescent="0.35">
      <c r="A4" s="584" t="s">
        <v>7</v>
      </c>
      <c r="B4" s="585" t="s">
        <v>8</v>
      </c>
      <c r="C4" s="585" t="s">
        <v>0</v>
      </c>
      <c r="D4" s="585" t="s">
        <v>9</v>
      </c>
      <c r="E4" s="585" t="s">
        <v>10</v>
      </c>
      <c r="F4" s="585" t="s">
        <v>2</v>
      </c>
      <c r="G4" s="585" t="s">
        <v>11</v>
      </c>
      <c r="H4" s="585" t="s">
        <v>12</v>
      </c>
      <c r="I4" s="585" t="s">
        <v>13</v>
      </c>
      <c r="J4" s="586" t="s">
        <v>14</v>
      </c>
      <c r="K4" s="586" t="s">
        <v>15</v>
      </c>
      <c r="L4" s="587" t="s">
        <v>169</v>
      </c>
      <c r="M4" s="587" t="s">
        <v>16</v>
      </c>
      <c r="N4" s="588" t="s">
        <v>180</v>
      </c>
    </row>
    <row r="5" spans="1:14" ht="14.4" customHeight="1" x14ac:dyDescent="0.3">
      <c r="A5" s="589" t="s">
        <v>496</v>
      </c>
      <c r="B5" s="590" t="s">
        <v>498</v>
      </c>
      <c r="C5" s="591" t="s">
        <v>510</v>
      </c>
      <c r="D5" s="592" t="s">
        <v>511</v>
      </c>
      <c r="E5" s="591" t="s">
        <v>499</v>
      </c>
      <c r="F5" s="592" t="s">
        <v>500</v>
      </c>
      <c r="G5" s="591" t="s">
        <v>518</v>
      </c>
      <c r="H5" s="591" t="s">
        <v>519</v>
      </c>
      <c r="I5" s="591" t="s">
        <v>519</v>
      </c>
      <c r="J5" s="591" t="s">
        <v>520</v>
      </c>
      <c r="K5" s="591" t="s">
        <v>521</v>
      </c>
      <c r="L5" s="593">
        <v>179.4</v>
      </c>
      <c r="M5" s="593">
        <v>1</v>
      </c>
      <c r="N5" s="594">
        <v>179.4</v>
      </c>
    </row>
    <row r="6" spans="1:14" ht="14.4" customHeight="1" x14ac:dyDescent="0.3">
      <c r="A6" s="595" t="s">
        <v>496</v>
      </c>
      <c r="B6" s="596" t="s">
        <v>498</v>
      </c>
      <c r="C6" s="597" t="s">
        <v>510</v>
      </c>
      <c r="D6" s="598" t="s">
        <v>511</v>
      </c>
      <c r="E6" s="597" t="s">
        <v>499</v>
      </c>
      <c r="F6" s="598" t="s">
        <v>500</v>
      </c>
      <c r="G6" s="597" t="s">
        <v>518</v>
      </c>
      <c r="H6" s="597" t="s">
        <v>522</v>
      </c>
      <c r="I6" s="597" t="s">
        <v>523</v>
      </c>
      <c r="J6" s="597" t="s">
        <v>524</v>
      </c>
      <c r="K6" s="597" t="s">
        <v>525</v>
      </c>
      <c r="L6" s="599">
        <v>84.57</v>
      </c>
      <c r="M6" s="599">
        <v>3</v>
      </c>
      <c r="N6" s="600">
        <v>253.70999999999998</v>
      </c>
    </row>
    <row r="7" spans="1:14" ht="14.4" customHeight="1" x14ac:dyDescent="0.3">
      <c r="A7" s="595" t="s">
        <v>496</v>
      </c>
      <c r="B7" s="596" t="s">
        <v>498</v>
      </c>
      <c r="C7" s="597" t="s">
        <v>510</v>
      </c>
      <c r="D7" s="598" t="s">
        <v>511</v>
      </c>
      <c r="E7" s="597" t="s">
        <v>499</v>
      </c>
      <c r="F7" s="598" t="s">
        <v>500</v>
      </c>
      <c r="G7" s="597" t="s">
        <v>518</v>
      </c>
      <c r="H7" s="597" t="s">
        <v>526</v>
      </c>
      <c r="I7" s="597" t="s">
        <v>527</v>
      </c>
      <c r="J7" s="597" t="s">
        <v>528</v>
      </c>
      <c r="K7" s="597" t="s">
        <v>529</v>
      </c>
      <c r="L7" s="599">
        <v>77.299920352755692</v>
      </c>
      <c r="M7" s="599">
        <v>6</v>
      </c>
      <c r="N7" s="600">
        <v>463.79952211653415</v>
      </c>
    </row>
    <row r="8" spans="1:14" ht="14.4" customHeight="1" x14ac:dyDescent="0.3">
      <c r="A8" s="595" t="s">
        <v>496</v>
      </c>
      <c r="B8" s="596" t="s">
        <v>498</v>
      </c>
      <c r="C8" s="597" t="s">
        <v>510</v>
      </c>
      <c r="D8" s="598" t="s">
        <v>511</v>
      </c>
      <c r="E8" s="597" t="s">
        <v>499</v>
      </c>
      <c r="F8" s="598" t="s">
        <v>500</v>
      </c>
      <c r="G8" s="597" t="s">
        <v>518</v>
      </c>
      <c r="H8" s="597" t="s">
        <v>530</v>
      </c>
      <c r="I8" s="597" t="s">
        <v>531</v>
      </c>
      <c r="J8" s="597" t="s">
        <v>532</v>
      </c>
      <c r="K8" s="597" t="s">
        <v>533</v>
      </c>
      <c r="L8" s="599">
        <v>59.896363636363631</v>
      </c>
      <c r="M8" s="599">
        <v>55</v>
      </c>
      <c r="N8" s="600">
        <v>3294.2999999999997</v>
      </c>
    </row>
    <row r="9" spans="1:14" ht="14.4" customHeight="1" x14ac:dyDescent="0.3">
      <c r="A9" s="595" t="s">
        <v>496</v>
      </c>
      <c r="B9" s="596" t="s">
        <v>498</v>
      </c>
      <c r="C9" s="597" t="s">
        <v>510</v>
      </c>
      <c r="D9" s="598" t="s">
        <v>511</v>
      </c>
      <c r="E9" s="597" t="s">
        <v>499</v>
      </c>
      <c r="F9" s="598" t="s">
        <v>500</v>
      </c>
      <c r="G9" s="597" t="s">
        <v>518</v>
      </c>
      <c r="H9" s="597" t="s">
        <v>534</v>
      </c>
      <c r="I9" s="597" t="s">
        <v>535</v>
      </c>
      <c r="J9" s="597" t="s">
        <v>536</v>
      </c>
      <c r="K9" s="597" t="s">
        <v>537</v>
      </c>
      <c r="L9" s="599">
        <v>56.429837177241367</v>
      </c>
      <c r="M9" s="599">
        <v>1</v>
      </c>
      <c r="N9" s="600">
        <v>56.429837177241367</v>
      </c>
    </row>
    <row r="10" spans="1:14" ht="14.4" customHeight="1" x14ac:dyDescent="0.3">
      <c r="A10" s="595" t="s">
        <v>496</v>
      </c>
      <c r="B10" s="596" t="s">
        <v>498</v>
      </c>
      <c r="C10" s="597" t="s">
        <v>510</v>
      </c>
      <c r="D10" s="598" t="s">
        <v>511</v>
      </c>
      <c r="E10" s="597" t="s">
        <v>499</v>
      </c>
      <c r="F10" s="598" t="s">
        <v>500</v>
      </c>
      <c r="G10" s="597" t="s">
        <v>518</v>
      </c>
      <c r="H10" s="597" t="s">
        <v>538</v>
      </c>
      <c r="I10" s="597" t="s">
        <v>539</v>
      </c>
      <c r="J10" s="597" t="s">
        <v>540</v>
      </c>
      <c r="K10" s="597" t="s">
        <v>541</v>
      </c>
      <c r="L10" s="599">
        <v>38.36</v>
      </c>
      <c r="M10" s="599">
        <v>1</v>
      </c>
      <c r="N10" s="600">
        <v>38.36</v>
      </c>
    </row>
    <row r="11" spans="1:14" ht="14.4" customHeight="1" x14ac:dyDescent="0.3">
      <c r="A11" s="595" t="s">
        <v>496</v>
      </c>
      <c r="B11" s="596" t="s">
        <v>498</v>
      </c>
      <c r="C11" s="597" t="s">
        <v>510</v>
      </c>
      <c r="D11" s="598" t="s">
        <v>511</v>
      </c>
      <c r="E11" s="597" t="s">
        <v>499</v>
      </c>
      <c r="F11" s="598" t="s">
        <v>500</v>
      </c>
      <c r="G11" s="597" t="s">
        <v>518</v>
      </c>
      <c r="H11" s="597" t="s">
        <v>542</v>
      </c>
      <c r="I11" s="597" t="s">
        <v>219</v>
      </c>
      <c r="J11" s="597" t="s">
        <v>543</v>
      </c>
      <c r="K11" s="597"/>
      <c r="L11" s="599">
        <v>97.320296409631453</v>
      </c>
      <c r="M11" s="599">
        <v>4</v>
      </c>
      <c r="N11" s="600">
        <v>389.28118563852581</v>
      </c>
    </row>
    <row r="12" spans="1:14" ht="14.4" customHeight="1" x14ac:dyDescent="0.3">
      <c r="A12" s="595" t="s">
        <v>496</v>
      </c>
      <c r="B12" s="596" t="s">
        <v>498</v>
      </c>
      <c r="C12" s="597" t="s">
        <v>510</v>
      </c>
      <c r="D12" s="598" t="s">
        <v>511</v>
      </c>
      <c r="E12" s="597" t="s">
        <v>499</v>
      </c>
      <c r="F12" s="598" t="s">
        <v>500</v>
      </c>
      <c r="G12" s="597" t="s">
        <v>518</v>
      </c>
      <c r="H12" s="597" t="s">
        <v>544</v>
      </c>
      <c r="I12" s="597" t="s">
        <v>545</v>
      </c>
      <c r="J12" s="597" t="s">
        <v>546</v>
      </c>
      <c r="K12" s="597" t="s">
        <v>547</v>
      </c>
      <c r="L12" s="599">
        <v>29.52</v>
      </c>
      <c r="M12" s="599">
        <v>2</v>
      </c>
      <c r="N12" s="600">
        <v>59.04</v>
      </c>
    </row>
    <row r="13" spans="1:14" ht="14.4" customHeight="1" x14ac:dyDescent="0.3">
      <c r="A13" s="595" t="s">
        <v>496</v>
      </c>
      <c r="B13" s="596" t="s">
        <v>498</v>
      </c>
      <c r="C13" s="597" t="s">
        <v>510</v>
      </c>
      <c r="D13" s="598" t="s">
        <v>511</v>
      </c>
      <c r="E13" s="597" t="s">
        <v>499</v>
      </c>
      <c r="F13" s="598" t="s">
        <v>500</v>
      </c>
      <c r="G13" s="597" t="s">
        <v>518</v>
      </c>
      <c r="H13" s="597" t="s">
        <v>548</v>
      </c>
      <c r="I13" s="597" t="s">
        <v>219</v>
      </c>
      <c r="J13" s="597" t="s">
        <v>549</v>
      </c>
      <c r="K13" s="597"/>
      <c r="L13" s="599">
        <v>35.651894640206002</v>
      </c>
      <c r="M13" s="599">
        <v>6</v>
      </c>
      <c r="N13" s="600">
        <v>213.91136784123603</v>
      </c>
    </row>
    <row r="14" spans="1:14" ht="14.4" customHeight="1" x14ac:dyDescent="0.3">
      <c r="A14" s="595" t="s">
        <v>496</v>
      </c>
      <c r="B14" s="596" t="s">
        <v>498</v>
      </c>
      <c r="C14" s="597" t="s">
        <v>510</v>
      </c>
      <c r="D14" s="598" t="s">
        <v>511</v>
      </c>
      <c r="E14" s="597" t="s">
        <v>499</v>
      </c>
      <c r="F14" s="598" t="s">
        <v>500</v>
      </c>
      <c r="G14" s="597" t="s">
        <v>518</v>
      </c>
      <c r="H14" s="597" t="s">
        <v>550</v>
      </c>
      <c r="I14" s="597" t="s">
        <v>551</v>
      </c>
      <c r="J14" s="597" t="s">
        <v>528</v>
      </c>
      <c r="K14" s="597" t="s">
        <v>552</v>
      </c>
      <c r="L14" s="599">
        <v>40.909999999999997</v>
      </c>
      <c r="M14" s="599">
        <v>2</v>
      </c>
      <c r="N14" s="600">
        <v>81.819999999999993</v>
      </c>
    </row>
    <row r="15" spans="1:14" ht="14.4" customHeight="1" x14ac:dyDescent="0.3">
      <c r="A15" s="595" t="s">
        <v>496</v>
      </c>
      <c r="B15" s="596" t="s">
        <v>498</v>
      </c>
      <c r="C15" s="597" t="s">
        <v>510</v>
      </c>
      <c r="D15" s="598" t="s">
        <v>511</v>
      </c>
      <c r="E15" s="597" t="s">
        <v>499</v>
      </c>
      <c r="F15" s="598" t="s">
        <v>500</v>
      </c>
      <c r="G15" s="597" t="s">
        <v>518</v>
      </c>
      <c r="H15" s="597" t="s">
        <v>553</v>
      </c>
      <c r="I15" s="597" t="s">
        <v>554</v>
      </c>
      <c r="J15" s="597" t="s">
        <v>555</v>
      </c>
      <c r="K15" s="597" t="s">
        <v>556</v>
      </c>
      <c r="L15" s="599">
        <v>56.41193009253562</v>
      </c>
      <c r="M15" s="599">
        <v>26</v>
      </c>
      <c r="N15" s="600">
        <v>1466.7101824059262</v>
      </c>
    </row>
    <row r="16" spans="1:14" ht="14.4" customHeight="1" x14ac:dyDescent="0.3">
      <c r="A16" s="595" t="s">
        <v>496</v>
      </c>
      <c r="B16" s="596" t="s">
        <v>498</v>
      </c>
      <c r="C16" s="597" t="s">
        <v>510</v>
      </c>
      <c r="D16" s="598" t="s">
        <v>511</v>
      </c>
      <c r="E16" s="597" t="s">
        <v>499</v>
      </c>
      <c r="F16" s="598" t="s">
        <v>500</v>
      </c>
      <c r="G16" s="597" t="s">
        <v>518</v>
      </c>
      <c r="H16" s="597" t="s">
        <v>557</v>
      </c>
      <c r="I16" s="597" t="s">
        <v>219</v>
      </c>
      <c r="J16" s="597" t="s">
        <v>558</v>
      </c>
      <c r="K16" s="597" t="s">
        <v>559</v>
      </c>
      <c r="L16" s="599">
        <v>23.700000000000003</v>
      </c>
      <c r="M16" s="599">
        <v>36</v>
      </c>
      <c r="N16" s="600">
        <v>853.2</v>
      </c>
    </row>
    <row r="17" spans="1:14" ht="14.4" customHeight="1" x14ac:dyDescent="0.3">
      <c r="A17" s="595" t="s">
        <v>496</v>
      </c>
      <c r="B17" s="596" t="s">
        <v>498</v>
      </c>
      <c r="C17" s="597" t="s">
        <v>510</v>
      </c>
      <c r="D17" s="598" t="s">
        <v>511</v>
      </c>
      <c r="E17" s="597" t="s">
        <v>499</v>
      </c>
      <c r="F17" s="598" t="s">
        <v>500</v>
      </c>
      <c r="G17" s="597" t="s">
        <v>518</v>
      </c>
      <c r="H17" s="597" t="s">
        <v>560</v>
      </c>
      <c r="I17" s="597" t="s">
        <v>219</v>
      </c>
      <c r="J17" s="597" t="s">
        <v>561</v>
      </c>
      <c r="K17" s="597" t="s">
        <v>559</v>
      </c>
      <c r="L17" s="599">
        <v>24.037194261613511</v>
      </c>
      <c r="M17" s="599">
        <v>6</v>
      </c>
      <c r="N17" s="600">
        <v>144.22316556968107</v>
      </c>
    </row>
    <row r="18" spans="1:14" ht="14.4" customHeight="1" x14ac:dyDescent="0.3">
      <c r="A18" s="595" t="s">
        <v>496</v>
      </c>
      <c r="B18" s="596" t="s">
        <v>498</v>
      </c>
      <c r="C18" s="597" t="s">
        <v>510</v>
      </c>
      <c r="D18" s="598" t="s">
        <v>511</v>
      </c>
      <c r="E18" s="597" t="s">
        <v>499</v>
      </c>
      <c r="F18" s="598" t="s">
        <v>500</v>
      </c>
      <c r="G18" s="597" t="s">
        <v>518</v>
      </c>
      <c r="H18" s="597" t="s">
        <v>562</v>
      </c>
      <c r="I18" s="597" t="s">
        <v>563</v>
      </c>
      <c r="J18" s="597" t="s">
        <v>564</v>
      </c>
      <c r="K18" s="597" t="s">
        <v>565</v>
      </c>
      <c r="L18" s="599">
        <v>52.440014688346196</v>
      </c>
      <c r="M18" s="599">
        <v>2</v>
      </c>
      <c r="N18" s="600">
        <v>104.88002937669239</v>
      </c>
    </row>
    <row r="19" spans="1:14" ht="14.4" customHeight="1" x14ac:dyDescent="0.3">
      <c r="A19" s="595" t="s">
        <v>496</v>
      </c>
      <c r="B19" s="596" t="s">
        <v>498</v>
      </c>
      <c r="C19" s="597" t="s">
        <v>510</v>
      </c>
      <c r="D19" s="598" t="s">
        <v>511</v>
      </c>
      <c r="E19" s="597" t="s">
        <v>499</v>
      </c>
      <c r="F19" s="598" t="s">
        <v>500</v>
      </c>
      <c r="G19" s="597" t="s">
        <v>518</v>
      </c>
      <c r="H19" s="597" t="s">
        <v>566</v>
      </c>
      <c r="I19" s="597" t="s">
        <v>567</v>
      </c>
      <c r="J19" s="597" t="s">
        <v>568</v>
      </c>
      <c r="K19" s="597" t="s">
        <v>569</v>
      </c>
      <c r="L19" s="599">
        <v>107.81724100843876</v>
      </c>
      <c r="M19" s="599">
        <v>8</v>
      </c>
      <c r="N19" s="600">
        <v>862.53792806751005</v>
      </c>
    </row>
    <row r="20" spans="1:14" ht="14.4" customHeight="1" x14ac:dyDescent="0.3">
      <c r="A20" s="595" t="s">
        <v>496</v>
      </c>
      <c r="B20" s="596" t="s">
        <v>498</v>
      </c>
      <c r="C20" s="597" t="s">
        <v>510</v>
      </c>
      <c r="D20" s="598" t="s">
        <v>511</v>
      </c>
      <c r="E20" s="597" t="s">
        <v>499</v>
      </c>
      <c r="F20" s="598" t="s">
        <v>500</v>
      </c>
      <c r="G20" s="597" t="s">
        <v>518</v>
      </c>
      <c r="H20" s="597" t="s">
        <v>570</v>
      </c>
      <c r="I20" s="597" t="s">
        <v>219</v>
      </c>
      <c r="J20" s="597" t="s">
        <v>571</v>
      </c>
      <c r="K20" s="597"/>
      <c r="L20" s="599">
        <v>103.3732233626467</v>
      </c>
      <c r="M20" s="599">
        <v>5</v>
      </c>
      <c r="N20" s="600">
        <v>516.86611681323348</v>
      </c>
    </row>
    <row r="21" spans="1:14" ht="14.4" customHeight="1" x14ac:dyDescent="0.3">
      <c r="A21" s="595" t="s">
        <v>496</v>
      </c>
      <c r="B21" s="596" t="s">
        <v>498</v>
      </c>
      <c r="C21" s="597" t="s">
        <v>510</v>
      </c>
      <c r="D21" s="598" t="s">
        <v>511</v>
      </c>
      <c r="E21" s="597" t="s">
        <v>499</v>
      </c>
      <c r="F21" s="598" t="s">
        <v>500</v>
      </c>
      <c r="G21" s="597" t="s">
        <v>518</v>
      </c>
      <c r="H21" s="597" t="s">
        <v>572</v>
      </c>
      <c r="I21" s="597" t="s">
        <v>219</v>
      </c>
      <c r="J21" s="597" t="s">
        <v>573</v>
      </c>
      <c r="K21" s="597"/>
      <c r="L21" s="599">
        <v>65.305526040994124</v>
      </c>
      <c r="M21" s="599">
        <v>20</v>
      </c>
      <c r="N21" s="600">
        <v>1306.1105208198824</v>
      </c>
    </row>
    <row r="22" spans="1:14" ht="14.4" customHeight="1" x14ac:dyDescent="0.3">
      <c r="A22" s="595" t="s">
        <v>496</v>
      </c>
      <c r="B22" s="596" t="s">
        <v>498</v>
      </c>
      <c r="C22" s="597" t="s">
        <v>510</v>
      </c>
      <c r="D22" s="598" t="s">
        <v>511</v>
      </c>
      <c r="E22" s="597" t="s">
        <v>499</v>
      </c>
      <c r="F22" s="598" t="s">
        <v>500</v>
      </c>
      <c r="G22" s="597" t="s">
        <v>518</v>
      </c>
      <c r="H22" s="597" t="s">
        <v>574</v>
      </c>
      <c r="I22" s="597" t="s">
        <v>219</v>
      </c>
      <c r="J22" s="597" t="s">
        <v>575</v>
      </c>
      <c r="K22" s="597"/>
      <c r="L22" s="599">
        <v>89.307622917125187</v>
      </c>
      <c r="M22" s="599">
        <v>46</v>
      </c>
      <c r="N22" s="600">
        <v>4108.1506541877588</v>
      </c>
    </row>
    <row r="23" spans="1:14" ht="14.4" customHeight="1" x14ac:dyDescent="0.3">
      <c r="A23" s="595" t="s">
        <v>496</v>
      </c>
      <c r="B23" s="596" t="s">
        <v>498</v>
      </c>
      <c r="C23" s="597" t="s">
        <v>510</v>
      </c>
      <c r="D23" s="598" t="s">
        <v>511</v>
      </c>
      <c r="E23" s="597" t="s">
        <v>499</v>
      </c>
      <c r="F23" s="598" t="s">
        <v>500</v>
      </c>
      <c r="G23" s="597" t="s">
        <v>518</v>
      </c>
      <c r="H23" s="597" t="s">
        <v>576</v>
      </c>
      <c r="I23" s="597" t="s">
        <v>219</v>
      </c>
      <c r="J23" s="597" t="s">
        <v>577</v>
      </c>
      <c r="K23" s="597"/>
      <c r="L23" s="599">
        <v>166.47604650959511</v>
      </c>
      <c r="M23" s="599">
        <v>1</v>
      </c>
      <c r="N23" s="600">
        <v>166.47604650959511</v>
      </c>
    </row>
    <row r="24" spans="1:14" ht="14.4" customHeight="1" x14ac:dyDescent="0.3">
      <c r="A24" s="595" t="s">
        <v>496</v>
      </c>
      <c r="B24" s="596" t="s">
        <v>498</v>
      </c>
      <c r="C24" s="597" t="s">
        <v>510</v>
      </c>
      <c r="D24" s="598" t="s">
        <v>511</v>
      </c>
      <c r="E24" s="597" t="s">
        <v>499</v>
      </c>
      <c r="F24" s="598" t="s">
        <v>500</v>
      </c>
      <c r="G24" s="597" t="s">
        <v>518</v>
      </c>
      <c r="H24" s="597" t="s">
        <v>578</v>
      </c>
      <c r="I24" s="597" t="s">
        <v>219</v>
      </c>
      <c r="J24" s="597" t="s">
        <v>579</v>
      </c>
      <c r="K24" s="597"/>
      <c r="L24" s="599">
        <v>48.968785773912145</v>
      </c>
      <c r="M24" s="599">
        <v>135</v>
      </c>
      <c r="N24" s="600">
        <v>6610.78607947814</v>
      </c>
    </row>
    <row r="25" spans="1:14" ht="14.4" customHeight="1" x14ac:dyDescent="0.3">
      <c r="A25" s="595" t="s">
        <v>496</v>
      </c>
      <c r="B25" s="596" t="s">
        <v>498</v>
      </c>
      <c r="C25" s="597" t="s">
        <v>510</v>
      </c>
      <c r="D25" s="598" t="s">
        <v>511</v>
      </c>
      <c r="E25" s="597" t="s">
        <v>499</v>
      </c>
      <c r="F25" s="598" t="s">
        <v>500</v>
      </c>
      <c r="G25" s="597" t="s">
        <v>518</v>
      </c>
      <c r="H25" s="597" t="s">
        <v>580</v>
      </c>
      <c r="I25" s="597" t="s">
        <v>219</v>
      </c>
      <c r="J25" s="597" t="s">
        <v>581</v>
      </c>
      <c r="K25" s="597"/>
      <c r="L25" s="599">
        <v>55.367864176157127</v>
      </c>
      <c r="M25" s="599">
        <v>2</v>
      </c>
      <c r="N25" s="600">
        <v>110.73572835231425</v>
      </c>
    </row>
    <row r="26" spans="1:14" ht="14.4" customHeight="1" x14ac:dyDescent="0.3">
      <c r="A26" s="595" t="s">
        <v>496</v>
      </c>
      <c r="B26" s="596" t="s">
        <v>498</v>
      </c>
      <c r="C26" s="597" t="s">
        <v>510</v>
      </c>
      <c r="D26" s="598" t="s">
        <v>511</v>
      </c>
      <c r="E26" s="597" t="s">
        <v>499</v>
      </c>
      <c r="F26" s="598" t="s">
        <v>500</v>
      </c>
      <c r="G26" s="597" t="s">
        <v>518</v>
      </c>
      <c r="H26" s="597" t="s">
        <v>582</v>
      </c>
      <c r="I26" s="597" t="s">
        <v>219</v>
      </c>
      <c r="J26" s="597" t="s">
        <v>583</v>
      </c>
      <c r="K26" s="597"/>
      <c r="L26" s="599">
        <v>92.293234179653567</v>
      </c>
      <c r="M26" s="599">
        <v>16</v>
      </c>
      <c r="N26" s="600">
        <v>1476.6917468744571</v>
      </c>
    </row>
    <row r="27" spans="1:14" ht="14.4" customHeight="1" x14ac:dyDescent="0.3">
      <c r="A27" s="595" t="s">
        <v>496</v>
      </c>
      <c r="B27" s="596" t="s">
        <v>498</v>
      </c>
      <c r="C27" s="597" t="s">
        <v>510</v>
      </c>
      <c r="D27" s="598" t="s">
        <v>511</v>
      </c>
      <c r="E27" s="597" t="s">
        <v>499</v>
      </c>
      <c r="F27" s="598" t="s">
        <v>500</v>
      </c>
      <c r="G27" s="597" t="s">
        <v>518</v>
      </c>
      <c r="H27" s="597" t="s">
        <v>584</v>
      </c>
      <c r="I27" s="597" t="s">
        <v>584</v>
      </c>
      <c r="J27" s="597" t="s">
        <v>532</v>
      </c>
      <c r="K27" s="597" t="s">
        <v>585</v>
      </c>
      <c r="L27" s="599">
        <v>60.259999999999991</v>
      </c>
      <c r="M27" s="599">
        <v>40</v>
      </c>
      <c r="N27" s="600">
        <v>2410.3999999999996</v>
      </c>
    </row>
    <row r="28" spans="1:14" ht="14.4" customHeight="1" x14ac:dyDescent="0.3">
      <c r="A28" s="595" t="s">
        <v>496</v>
      </c>
      <c r="B28" s="596" t="s">
        <v>498</v>
      </c>
      <c r="C28" s="597" t="s">
        <v>510</v>
      </c>
      <c r="D28" s="598" t="s">
        <v>511</v>
      </c>
      <c r="E28" s="597" t="s">
        <v>505</v>
      </c>
      <c r="F28" s="598" t="s">
        <v>506</v>
      </c>
      <c r="G28" s="597" t="s">
        <v>518</v>
      </c>
      <c r="H28" s="597" t="s">
        <v>586</v>
      </c>
      <c r="I28" s="597" t="s">
        <v>587</v>
      </c>
      <c r="J28" s="597" t="s">
        <v>588</v>
      </c>
      <c r="K28" s="597" t="s">
        <v>589</v>
      </c>
      <c r="L28" s="599">
        <v>39.3765627463454</v>
      </c>
      <c r="M28" s="599">
        <v>3</v>
      </c>
      <c r="N28" s="600">
        <v>118.1296882390362</v>
      </c>
    </row>
    <row r="29" spans="1:14" ht="14.4" customHeight="1" x14ac:dyDescent="0.3">
      <c r="A29" s="595" t="s">
        <v>496</v>
      </c>
      <c r="B29" s="596" t="s">
        <v>498</v>
      </c>
      <c r="C29" s="597" t="s">
        <v>510</v>
      </c>
      <c r="D29" s="598" t="s">
        <v>511</v>
      </c>
      <c r="E29" s="597" t="s">
        <v>505</v>
      </c>
      <c r="F29" s="598" t="s">
        <v>506</v>
      </c>
      <c r="G29" s="597" t="s">
        <v>518</v>
      </c>
      <c r="H29" s="597" t="s">
        <v>590</v>
      </c>
      <c r="I29" s="597" t="s">
        <v>591</v>
      </c>
      <c r="J29" s="597" t="s">
        <v>592</v>
      </c>
      <c r="K29" s="597" t="s">
        <v>593</v>
      </c>
      <c r="L29" s="599">
        <v>86.569314125879657</v>
      </c>
      <c r="M29" s="599">
        <v>1</v>
      </c>
      <c r="N29" s="600">
        <v>86.569314125879657</v>
      </c>
    </row>
    <row r="30" spans="1:14" ht="14.4" customHeight="1" x14ac:dyDescent="0.3">
      <c r="A30" s="595" t="s">
        <v>496</v>
      </c>
      <c r="B30" s="596" t="s">
        <v>498</v>
      </c>
      <c r="C30" s="597" t="s">
        <v>510</v>
      </c>
      <c r="D30" s="598" t="s">
        <v>511</v>
      </c>
      <c r="E30" s="597" t="s">
        <v>505</v>
      </c>
      <c r="F30" s="598" t="s">
        <v>506</v>
      </c>
      <c r="G30" s="597" t="s">
        <v>518</v>
      </c>
      <c r="H30" s="597" t="s">
        <v>594</v>
      </c>
      <c r="I30" s="597" t="s">
        <v>595</v>
      </c>
      <c r="J30" s="597" t="s">
        <v>596</v>
      </c>
      <c r="K30" s="597" t="s">
        <v>597</v>
      </c>
      <c r="L30" s="599">
        <v>138.76250000000002</v>
      </c>
      <c r="M30" s="599">
        <v>4</v>
      </c>
      <c r="N30" s="600">
        <v>555.05000000000007</v>
      </c>
    </row>
    <row r="31" spans="1:14" ht="14.4" customHeight="1" x14ac:dyDescent="0.3">
      <c r="A31" s="595" t="s">
        <v>496</v>
      </c>
      <c r="B31" s="596" t="s">
        <v>498</v>
      </c>
      <c r="C31" s="597" t="s">
        <v>510</v>
      </c>
      <c r="D31" s="598" t="s">
        <v>511</v>
      </c>
      <c r="E31" s="597" t="s">
        <v>505</v>
      </c>
      <c r="F31" s="598" t="s">
        <v>506</v>
      </c>
      <c r="G31" s="597" t="s">
        <v>518</v>
      </c>
      <c r="H31" s="597" t="s">
        <v>598</v>
      </c>
      <c r="I31" s="597" t="s">
        <v>599</v>
      </c>
      <c r="J31" s="597" t="s">
        <v>600</v>
      </c>
      <c r="K31" s="597" t="s">
        <v>601</v>
      </c>
      <c r="L31" s="599">
        <v>63.84</v>
      </c>
      <c r="M31" s="599">
        <v>2</v>
      </c>
      <c r="N31" s="600">
        <v>127.68</v>
      </c>
    </row>
    <row r="32" spans="1:14" ht="14.4" customHeight="1" x14ac:dyDescent="0.3">
      <c r="A32" s="595" t="s">
        <v>496</v>
      </c>
      <c r="B32" s="596" t="s">
        <v>498</v>
      </c>
      <c r="C32" s="597" t="s">
        <v>510</v>
      </c>
      <c r="D32" s="598" t="s">
        <v>511</v>
      </c>
      <c r="E32" s="597" t="s">
        <v>505</v>
      </c>
      <c r="F32" s="598" t="s">
        <v>506</v>
      </c>
      <c r="G32" s="597" t="s">
        <v>518</v>
      </c>
      <c r="H32" s="597" t="s">
        <v>602</v>
      </c>
      <c r="I32" s="597" t="s">
        <v>603</v>
      </c>
      <c r="J32" s="597" t="s">
        <v>604</v>
      </c>
      <c r="K32" s="597" t="s">
        <v>605</v>
      </c>
      <c r="L32" s="599">
        <v>73.4794053775706</v>
      </c>
      <c r="M32" s="599">
        <v>2</v>
      </c>
      <c r="N32" s="600">
        <v>146.9588107551412</v>
      </c>
    </row>
    <row r="33" spans="1:14" ht="14.4" customHeight="1" x14ac:dyDescent="0.3">
      <c r="A33" s="595" t="s">
        <v>496</v>
      </c>
      <c r="B33" s="596" t="s">
        <v>498</v>
      </c>
      <c r="C33" s="597" t="s">
        <v>510</v>
      </c>
      <c r="D33" s="598" t="s">
        <v>511</v>
      </c>
      <c r="E33" s="597" t="s">
        <v>505</v>
      </c>
      <c r="F33" s="598" t="s">
        <v>506</v>
      </c>
      <c r="G33" s="597" t="s">
        <v>518</v>
      </c>
      <c r="H33" s="597" t="s">
        <v>606</v>
      </c>
      <c r="I33" s="597" t="s">
        <v>607</v>
      </c>
      <c r="J33" s="597" t="s">
        <v>608</v>
      </c>
      <c r="K33" s="597" t="s">
        <v>609</v>
      </c>
      <c r="L33" s="599">
        <v>24.63000000000001</v>
      </c>
      <c r="M33" s="599">
        <v>1</v>
      </c>
      <c r="N33" s="600">
        <v>24.63000000000001</v>
      </c>
    </row>
    <row r="34" spans="1:14" ht="14.4" customHeight="1" x14ac:dyDescent="0.3">
      <c r="A34" s="595" t="s">
        <v>496</v>
      </c>
      <c r="B34" s="596" t="s">
        <v>498</v>
      </c>
      <c r="C34" s="597" t="s">
        <v>510</v>
      </c>
      <c r="D34" s="598" t="s">
        <v>511</v>
      </c>
      <c r="E34" s="597" t="s">
        <v>505</v>
      </c>
      <c r="F34" s="598" t="s">
        <v>506</v>
      </c>
      <c r="G34" s="597" t="s">
        <v>518</v>
      </c>
      <c r="H34" s="597" t="s">
        <v>610</v>
      </c>
      <c r="I34" s="597" t="s">
        <v>611</v>
      </c>
      <c r="J34" s="597" t="s">
        <v>612</v>
      </c>
      <c r="K34" s="597" t="s">
        <v>613</v>
      </c>
      <c r="L34" s="599">
        <v>51.36998666555732</v>
      </c>
      <c r="M34" s="599">
        <v>19</v>
      </c>
      <c r="N34" s="600">
        <v>976.02974664558906</v>
      </c>
    </row>
    <row r="35" spans="1:14" ht="14.4" customHeight="1" x14ac:dyDescent="0.3">
      <c r="A35" s="595" t="s">
        <v>496</v>
      </c>
      <c r="B35" s="596" t="s">
        <v>498</v>
      </c>
      <c r="C35" s="597" t="s">
        <v>510</v>
      </c>
      <c r="D35" s="598" t="s">
        <v>511</v>
      </c>
      <c r="E35" s="597" t="s">
        <v>507</v>
      </c>
      <c r="F35" s="598" t="s">
        <v>508</v>
      </c>
      <c r="G35" s="597" t="s">
        <v>518</v>
      </c>
      <c r="H35" s="597" t="s">
        <v>614</v>
      </c>
      <c r="I35" s="597" t="s">
        <v>615</v>
      </c>
      <c r="J35" s="597" t="s">
        <v>616</v>
      </c>
      <c r="K35" s="597" t="s">
        <v>617</v>
      </c>
      <c r="L35" s="599">
        <v>88.76</v>
      </c>
      <c r="M35" s="599">
        <v>1</v>
      </c>
      <c r="N35" s="600">
        <v>88.76</v>
      </c>
    </row>
    <row r="36" spans="1:14" ht="14.4" customHeight="1" x14ac:dyDescent="0.3">
      <c r="A36" s="595" t="s">
        <v>496</v>
      </c>
      <c r="B36" s="596" t="s">
        <v>498</v>
      </c>
      <c r="C36" s="597" t="s">
        <v>510</v>
      </c>
      <c r="D36" s="598" t="s">
        <v>511</v>
      </c>
      <c r="E36" s="597" t="s">
        <v>507</v>
      </c>
      <c r="F36" s="598" t="s">
        <v>508</v>
      </c>
      <c r="G36" s="597" t="s">
        <v>518</v>
      </c>
      <c r="H36" s="597" t="s">
        <v>618</v>
      </c>
      <c r="I36" s="597" t="s">
        <v>619</v>
      </c>
      <c r="J36" s="597" t="s">
        <v>620</v>
      </c>
      <c r="K36" s="597" t="s">
        <v>621</v>
      </c>
      <c r="L36" s="599">
        <v>90.215501039273335</v>
      </c>
      <c r="M36" s="599">
        <v>7</v>
      </c>
      <c r="N36" s="600">
        <v>631.50850727491331</v>
      </c>
    </row>
    <row r="37" spans="1:14" ht="14.4" customHeight="1" x14ac:dyDescent="0.3">
      <c r="A37" s="595" t="s">
        <v>496</v>
      </c>
      <c r="B37" s="596" t="s">
        <v>498</v>
      </c>
      <c r="C37" s="597" t="s">
        <v>514</v>
      </c>
      <c r="D37" s="598" t="s">
        <v>515</v>
      </c>
      <c r="E37" s="597" t="s">
        <v>499</v>
      </c>
      <c r="F37" s="598" t="s">
        <v>500</v>
      </c>
      <c r="G37" s="597" t="s">
        <v>518</v>
      </c>
      <c r="H37" s="597" t="s">
        <v>519</v>
      </c>
      <c r="I37" s="597" t="s">
        <v>519</v>
      </c>
      <c r="J37" s="597" t="s">
        <v>520</v>
      </c>
      <c r="K37" s="597" t="s">
        <v>521</v>
      </c>
      <c r="L37" s="599">
        <v>179.4</v>
      </c>
      <c r="M37" s="599">
        <v>3</v>
      </c>
      <c r="N37" s="600">
        <v>538.20000000000005</v>
      </c>
    </row>
    <row r="38" spans="1:14" ht="14.4" customHeight="1" x14ac:dyDescent="0.3">
      <c r="A38" s="595" t="s">
        <v>496</v>
      </c>
      <c r="B38" s="596" t="s">
        <v>498</v>
      </c>
      <c r="C38" s="597" t="s">
        <v>514</v>
      </c>
      <c r="D38" s="598" t="s">
        <v>515</v>
      </c>
      <c r="E38" s="597" t="s">
        <v>499</v>
      </c>
      <c r="F38" s="598" t="s">
        <v>500</v>
      </c>
      <c r="G38" s="597" t="s">
        <v>518</v>
      </c>
      <c r="H38" s="597" t="s">
        <v>622</v>
      </c>
      <c r="I38" s="597" t="s">
        <v>622</v>
      </c>
      <c r="J38" s="597" t="s">
        <v>623</v>
      </c>
      <c r="K38" s="597" t="s">
        <v>624</v>
      </c>
      <c r="L38" s="599">
        <v>232.30000000000004</v>
      </c>
      <c r="M38" s="599">
        <v>3</v>
      </c>
      <c r="N38" s="600">
        <v>696.90000000000009</v>
      </c>
    </row>
    <row r="39" spans="1:14" ht="14.4" customHeight="1" x14ac:dyDescent="0.3">
      <c r="A39" s="595" t="s">
        <v>496</v>
      </c>
      <c r="B39" s="596" t="s">
        <v>498</v>
      </c>
      <c r="C39" s="597" t="s">
        <v>514</v>
      </c>
      <c r="D39" s="598" t="s">
        <v>515</v>
      </c>
      <c r="E39" s="597" t="s">
        <v>499</v>
      </c>
      <c r="F39" s="598" t="s">
        <v>500</v>
      </c>
      <c r="G39" s="597" t="s">
        <v>518</v>
      </c>
      <c r="H39" s="597" t="s">
        <v>522</v>
      </c>
      <c r="I39" s="597" t="s">
        <v>523</v>
      </c>
      <c r="J39" s="597" t="s">
        <v>524</v>
      </c>
      <c r="K39" s="597" t="s">
        <v>525</v>
      </c>
      <c r="L39" s="599">
        <v>84.57017023183694</v>
      </c>
      <c r="M39" s="599">
        <v>2</v>
      </c>
      <c r="N39" s="600">
        <v>169.14034046367388</v>
      </c>
    </row>
    <row r="40" spans="1:14" ht="14.4" customHeight="1" x14ac:dyDescent="0.3">
      <c r="A40" s="595" t="s">
        <v>496</v>
      </c>
      <c r="B40" s="596" t="s">
        <v>498</v>
      </c>
      <c r="C40" s="597" t="s">
        <v>514</v>
      </c>
      <c r="D40" s="598" t="s">
        <v>515</v>
      </c>
      <c r="E40" s="597" t="s">
        <v>499</v>
      </c>
      <c r="F40" s="598" t="s">
        <v>500</v>
      </c>
      <c r="G40" s="597" t="s">
        <v>518</v>
      </c>
      <c r="H40" s="597" t="s">
        <v>526</v>
      </c>
      <c r="I40" s="597" t="s">
        <v>527</v>
      </c>
      <c r="J40" s="597" t="s">
        <v>528</v>
      </c>
      <c r="K40" s="597" t="s">
        <v>529</v>
      </c>
      <c r="L40" s="599">
        <v>77.3</v>
      </c>
      <c r="M40" s="599">
        <v>1</v>
      </c>
      <c r="N40" s="600">
        <v>77.3</v>
      </c>
    </row>
    <row r="41" spans="1:14" ht="14.4" customHeight="1" x14ac:dyDescent="0.3">
      <c r="A41" s="595" t="s">
        <v>496</v>
      </c>
      <c r="B41" s="596" t="s">
        <v>498</v>
      </c>
      <c r="C41" s="597" t="s">
        <v>514</v>
      </c>
      <c r="D41" s="598" t="s">
        <v>515</v>
      </c>
      <c r="E41" s="597" t="s">
        <v>499</v>
      </c>
      <c r="F41" s="598" t="s">
        <v>500</v>
      </c>
      <c r="G41" s="597" t="s">
        <v>518</v>
      </c>
      <c r="H41" s="597" t="s">
        <v>530</v>
      </c>
      <c r="I41" s="597" t="s">
        <v>531</v>
      </c>
      <c r="J41" s="597" t="s">
        <v>532</v>
      </c>
      <c r="K41" s="597" t="s">
        <v>533</v>
      </c>
      <c r="L41" s="599">
        <v>59.399999999999991</v>
      </c>
      <c r="M41" s="599">
        <v>18</v>
      </c>
      <c r="N41" s="600">
        <v>1069.1999999999998</v>
      </c>
    </row>
    <row r="42" spans="1:14" ht="14.4" customHeight="1" x14ac:dyDescent="0.3">
      <c r="A42" s="595" t="s">
        <v>496</v>
      </c>
      <c r="B42" s="596" t="s">
        <v>498</v>
      </c>
      <c r="C42" s="597" t="s">
        <v>514</v>
      </c>
      <c r="D42" s="598" t="s">
        <v>515</v>
      </c>
      <c r="E42" s="597" t="s">
        <v>499</v>
      </c>
      <c r="F42" s="598" t="s">
        <v>500</v>
      </c>
      <c r="G42" s="597" t="s">
        <v>518</v>
      </c>
      <c r="H42" s="597" t="s">
        <v>625</v>
      </c>
      <c r="I42" s="597" t="s">
        <v>626</v>
      </c>
      <c r="J42" s="597" t="s">
        <v>627</v>
      </c>
      <c r="K42" s="597" t="s">
        <v>537</v>
      </c>
      <c r="L42" s="599">
        <v>67.280000000000015</v>
      </c>
      <c r="M42" s="599">
        <v>1</v>
      </c>
      <c r="N42" s="600">
        <v>67.280000000000015</v>
      </c>
    </row>
    <row r="43" spans="1:14" ht="14.4" customHeight="1" x14ac:dyDescent="0.3">
      <c r="A43" s="595" t="s">
        <v>496</v>
      </c>
      <c r="B43" s="596" t="s">
        <v>498</v>
      </c>
      <c r="C43" s="597" t="s">
        <v>514</v>
      </c>
      <c r="D43" s="598" t="s">
        <v>515</v>
      </c>
      <c r="E43" s="597" t="s">
        <v>499</v>
      </c>
      <c r="F43" s="598" t="s">
        <v>500</v>
      </c>
      <c r="G43" s="597" t="s">
        <v>518</v>
      </c>
      <c r="H43" s="597" t="s">
        <v>542</v>
      </c>
      <c r="I43" s="597" t="s">
        <v>219</v>
      </c>
      <c r="J43" s="597" t="s">
        <v>543</v>
      </c>
      <c r="K43" s="597"/>
      <c r="L43" s="599">
        <v>97.320315187918212</v>
      </c>
      <c r="M43" s="599">
        <v>5</v>
      </c>
      <c r="N43" s="600">
        <v>486.60157593959104</v>
      </c>
    </row>
    <row r="44" spans="1:14" ht="14.4" customHeight="1" x14ac:dyDescent="0.3">
      <c r="A44" s="595" t="s">
        <v>496</v>
      </c>
      <c r="B44" s="596" t="s">
        <v>498</v>
      </c>
      <c r="C44" s="597" t="s">
        <v>514</v>
      </c>
      <c r="D44" s="598" t="s">
        <v>515</v>
      </c>
      <c r="E44" s="597" t="s">
        <v>499</v>
      </c>
      <c r="F44" s="598" t="s">
        <v>500</v>
      </c>
      <c r="G44" s="597" t="s">
        <v>518</v>
      </c>
      <c r="H44" s="597" t="s">
        <v>548</v>
      </c>
      <c r="I44" s="597" t="s">
        <v>219</v>
      </c>
      <c r="J44" s="597" t="s">
        <v>549</v>
      </c>
      <c r="K44" s="597"/>
      <c r="L44" s="599">
        <v>35.651925447490207</v>
      </c>
      <c r="M44" s="599">
        <v>50</v>
      </c>
      <c r="N44" s="600">
        <v>1782.5962723745104</v>
      </c>
    </row>
    <row r="45" spans="1:14" ht="14.4" customHeight="1" x14ac:dyDescent="0.3">
      <c r="A45" s="595" t="s">
        <v>496</v>
      </c>
      <c r="B45" s="596" t="s">
        <v>498</v>
      </c>
      <c r="C45" s="597" t="s">
        <v>514</v>
      </c>
      <c r="D45" s="598" t="s">
        <v>515</v>
      </c>
      <c r="E45" s="597" t="s">
        <v>499</v>
      </c>
      <c r="F45" s="598" t="s">
        <v>500</v>
      </c>
      <c r="G45" s="597" t="s">
        <v>518</v>
      </c>
      <c r="H45" s="597" t="s">
        <v>628</v>
      </c>
      <c r="I45" s="597" t="s">
        <v>629</v>
      </c>
      <c r="J45" s="597" t="s">
        <v>630</v>
      </c>
      <c r="K45" s="597" t="s">
        <v>631</v>
      </c>
      <c r="L45" s="599">
        <v>49.52</v>
      </c>
      <c r="M45" s="599">
        <v>1</v>
      </c>
      <c r="N45" s="600">
        <v>49.52</v>
      </c>
    </row>
    <row r="46" spans="1:14" ht="14.4" customHeight="1" x14ac:dyDescent="0.3">
      <c r="A46" s="595" t="s">
        <v>496</v>
      </c>
      <c r="B46" s="596" t="s">
        <v>498</v>
      </c>
      <c r="C46" s="597" t="s">
        <v>514</v>
      </c>
      <c r="D46" s="598" t="s">
        <v>515</v>
      </c>
      <c r="E46" s="597" t="s">
        <v>499</v>
      </c>
      <c r="F46" s="598" t="s">
        <v>500</v>
      </c>
      <c r="G46" s="597" t="s">
        <v>518</v>
      </c>
      <c r="H46" s="597" t="s">
        <v>632</v>
      </c>
      <c r="I46" s="597" t="s">
        <v>632</v>
      </c>
      <c r="J46" s="597" t="s">
        <v>623</v>
      </c>
      <c r="K46" s="597" t="s">
        <v>633</v>
      </c>
      <c r="L46" s="599">
        <v>0</v>
      </c>
      <c r="M46" s="599">
        <v>0</v>
      </c>
      <c r="N46" s="600">
        <v>0</v>
      </c>
    </row>
    <row r="47" spans="1:14" ht="14.4" customHeight="1" x14ac:dyDescent="0.3">
      <c r="A47" s="595" t="s">
        <v>496</v>
      </c>
      <c r="B47" s="596" t="s">
        <v>498</v>
      </c>
      <c r="C47" s="597" t="s">
        <v>514</v>
      </c>
      <c r="D47" s="598" t="s">
        <v>515</v>
      </c>
      <c r="E47" s="597" t="s">
        <v>499</v>
      </c>
      <c r="F47" s="598" t="s">
        <v>500</v>
      </c>
      <c r="G47" s="597" t="s">
        <v>518</v>
      </c>
      <c r="H47" s="597" t="s">
        <v>634</v>
      </c>
      <c r="I47" s="597" t="s">
        <v>634</v>
      </c>
      <c r="J47" s="597" t="s">
        <v>635</v>
      </c>
      <c r="K47" s="597" t="s">
        <v>636</v>
      </c>
      <c r="L47" s="599">
        <v>75.807272727272732</v>
      </c>
      <c r="M47" s="599">
        <v>11</v>
      </c>
      <c r="N47" s="600">
        <v>833.88000000000011</v>
      </c>
    </row>
    <row r="48" spans="1:14" ht="14.4" customHeight="1" x14ac:dyDescent="0.3">
      <c r="A48" s="595" t="s">
        <v>496</v>
      </c>
      <c r="B48" s="596" t="s">
        <v>498</v>
      </c>
      <c r="C48" s="597" t="s">
        <v>514</v>
      </c>
      <c r="D48" s="598" t="s">
        <v>515</v>
      </c>
      <c r="E48" s="597" t="s">
        <v>499</v>
      </c>
      <c r="F48" s="598" t="s">
        <v>500</v>
      </c>
      <c r="G48" s="597" t="s">
        <v>518</v>
      </c>
      <c r="H48" s="597" t="s">
        <v>553</v>
      </c>
      <c r="I48" s="597" t="s">
        <v>554</v>
      </c>
      <c r="J48" s="597" t="s">
        <v>555</v>
      </c>
      <c r="K48" s="597" t="s">
        <v>556</v>
      </c>
      <c r="L48" s="599">
        <v>57.945631653305099</v>
      </c>
      <c r="M48" s="599">
        <v>16</v>
      </c>
      <c r="N48" s="600">
        <v>927.13010645288159</v>
      </c>
    </row>
    <row r="49" spans="1:14" ht="14.4" customHeight="1" x14ac:dyDescent="0.3">
      <c r="A49" s="595" t="s">
        <v>496</v>
      </c>
      <c r="B49" s="596" t="s">
        <v>498</v>
      </c>
      <c r="C49" s="597" t="s">
        <v>514</v>
      </c>
      <c r="D49" s="598" t="s">
        <v>515</v>
      </c>
      <c r="E49" s="597" t="s">
        <v>499</v>
      </c>
      <c r="F49" s="598" t="s">
        <v>500</v>
      </c>
      <c r="G49" s="597" t="s">
        <v>518</v>
      </c>
      <c r="H49" s="597" t="s">
        <v>557</v>
      </c>
      <c r="I49" s="597" t="s">
        <v>219</v>
      </c>
      <c r="J49" s="597" t="s">
        <v>558</v>
      </c>
      <c r="K49" s="597" t="s">
        <v>559</v>
      </c>
      <c r="L49" s="599">
        <v>23.7</v>
      </c>
      <c r="M49" s="599">
        <v>108</v>
      </c>
      <c r="N49" s="600">
        <v>2559.6</v>
      </c>
    </row>
    <row r="50" spans="1:14" ht="14.4" customHeight="1" x14ac:dyDescent="0.3">
      <c r="A50" s="595" t="s">
        <v>496</v>
      </c>
      <c r="B50" s="596" t="s">
        <v>498</v>
      </c>
      <c r="C50" s="597" t="s">
        <v>514</v>
      </c>
      <c r="D50" s="598" t="s">
        <v>515</v>
      </c>
      <c r="E50" s="597" t="s">
        <v>499</v>
      </c>
      <c r="F50" s="598" t="s">
        <v>500</v>
      </c>
      <c r="G50" s="597" t="s">
        <v>518</v>
      </c>
      <c r="H50" s="597" t="s">
        <v>560</v>
      </c>
      <c r="I50" s="597" t="s">
        <v>219</v>
      </c>
      <c r="J50" s="597" t="s">
        <v>561</v>
      </c>
      <c r="K50" s="597" t="s">
        <v>559</v>
      </c>
      <c r="L50" s="599">
        <v>24.037194261613507</v>
      </c>
      <c r="M50" s="599">
        <v>42</v>
      </c>
      <c r="N50" s="600">
        <v>1009.5621589877674</v>
      </c>
    </row>
    <row r="51" spans="1:14" ht="14.4" customHeight="1" x14ac:dyDescent="0.3">
      <c r="A51" s="595" t="s">
        <v>496</v>
      </c>
      <c r="B51" s="596" t="s">
        <v>498</v>
      </c>
      <c r="C51" s="597" t="s">
        <v>514</v>
      </c>
      <c r="D51" s="598" t="s">
        <v>515</v>
      </c>
      <c r="E51" s="597" t="s">
        <v>499</v>
      </c>
      <c r="F51" s="598" t="s">
        <v>500</v>
      </c>
      <c r="G51" s="597" t="s">
        <v>518</v>
      </c>
      <c r="H51" s="597" t="s">
        <v>637</v>
      </c>
      <c r="I51" s="597" t="s">
        <v>638</v>
      </c>
      <c r="J51" s="597" t="s">
        <v>639</v>
      </c>
      <c r="K51" s="597" t="s">
        <v>640</v>
      </c>
      <c r="L51" s="599">
        <v>34.236640394468793</v>
      </c>
      <c r="M51" s="599">
        <v>3</v>
      </c>
      <c r="N51" s="600">
        <v>102.70992118340638</v>
      </c>
    </row>
    <row r="52" spans="1:14" ht="14.4" customHeight="1" x14ac:dyDescent="0.3">
      <c r="A52" s="595" t="s">
        <v>496</v>
      </c>
      <c r="B52" s="596" t="s">
        <v>498</v>
      </c>
      <c r="C52" s="597" t="s">
        <v>514</v>
      </c>
      <c r="D52" s="598" t="s">
        <v>515</v>
      </c>
      <c r="E52" s="597" t="s">
        <v>499</v>
      </c>
      <c r="F52" s="598" t="s">
        <v>500</v>
      </c>
      <c r="G52" s="597" t="s">
        <v>518</v>
      </c>
      <c r="H52" s="597" t="s">
        <v>641</v>
      </c>
      <c r="I52" s="597" t="s">
        <v>642</v>
      </c>
      <c r="J52" s="597" t="s">
        <v>643</v>
      </c>
      <c r="K52" s="597" t="s">
        <v>644</v>
      </c>
      <c r="L52" s="599">
        <v>73.60499999999999</v>
      </c>
      <c r="M52" s="599">
        <v>2</v>
      </c>
      <c r="N52" s="600">
        <v>147.20999999999998</v>
      </c>
    </row>
    <row r="53" spans="1:14" ht="14.4" customHeight="1" x14ac:dyDescent="0.3">
      <c r="A53" s="595" t="s">
        <v>496</v>
      </c>
      <c r="B53" s="596" t="s">
        <v>498</v>
      </c>
      <c r="C53" s="597" t="s">
        <v>514</v>
      </c>
      <c r="D53" s="598" t="s">
        <v>515</v>
      </c>
      <c r="E53" s="597" t="s">
        <v>499</v>
      </c>
      <c r="F53" s="598" t="s">
        <v>500</v>
      </c>
      <c r="G53" s="597" t="s">
        <v>518</v>
      </c>
      <c r="H53" s="597" t="s">
        <v>645</v>
      </c>
      <c r="I53" s="597" t="s">
        <v>646</v>
      </c>
      <c r="J53" s="597" t="s">
        <v>568</v>
      </c>
      <c r="K53" s="597" t="s">
        <v>647</v>
      </c>
      <c r="L53" s="599">
        <v>160.19999999999999</v>
      </c>
      <c r="M53" s="599">
        <v>1</v>
      </c>
      <c r="N53" s="600">
        <v>160.19999999999999</v>
      </c>
    </row>
    <row r="54" spans="1:14" ht="14.4" customHeight="1" x14ac:dyDescent="0.3">
      <c r="A54" s="595" t="s">
        <v>496</v>
      </c>
      <c r="B54" s="596" t="s">
        <v>498</v>
      </c>
      <c r="C54" s="597" t="s">
        <v>514</v>
      </c>
      <c r="D54" s="598" t="s">
        <v>515</v>
      </c>
      <c r="E54" s="597" t="s">
        <v>499</v>
      </c>
      <c r="F54" s="598" t="s">
        <v>500</v>
      </c>
      <c r="G54" s="597" t="s">
        <v>518</v>
      </c>
      <c r="H54" s="597" t="s">
        <v>648</v>
      </c>
      <c r="I54" s="597" t="s">
        <v>649</v>
      </c>
      <c r="J54" s="597" t="s">
        <v>650</v>
      </c>
      <c r="K54" s="597"/>
      <c r="L54" s="599">
        <v>262.70155644300871</v>
      </c>
      <c r="M54" s="599">
        <v>2</v>
      </c>
      <c r="N54" s="600">
        <v>525.40311288601742</v>
      </c>
    </row>
    <row r="55" spans="1:14" ht="14.4" customHeight="1" x14ac:dyDescent="0.3">
      <c r="A55" s="595" t="s">
        <v>496</v>
      </c>
      <c r="B55" s="596" t="s">
        <v>498</v>
      </c>
      <c r="C55" s="597" t="s">
        <v>514</v>
      </c>
      <c r="D55" s="598" t="s">
        <v>515</v>
      </c>
      <c r="E55" s="597" t="s">
        <v>499</v>
      </c>
      <c r="F55" s="598" t="s">
        <v>500</v>
      </c>
      <c r="G55" s="597" t="s">
        <v>518</v>
      </c>
      <c r="H55" s="597" t="s">
        <v>651</v>
      </c>
      <c r="I55" s="597" t="s">
        <v>219</v>
      </c>
      <c r="J55" s="597" t="s">
        <v>652</v>
      </c>
      <c r="K55" s="597"/>
      <c r="L55" s="599">
        <v>225.132021185399</v>
      </c>
      <c r="M55" s="599">
        <v>1</v>
      </c>
      <c r="N55" s="600">
        <v>225.132021185399</v>
      </c>
    </row>
    <row r="56" spans="1:14" ht="14.4" customHeight="1" x14ac:dyDescent="0.3">
      <c r="A56" s="595" t="s">
        <v>496</v>
      </c>
      <c r="B56" s="596" t="s">
        <v>498</v>
      </c>
      <c r="C56" s="597" t="s">
        <v>514</v>
      </c>
      <c r="D56" s="598" t="s">
        <v>515</v>
      </c>
      <c r="E56" s="597" t="s">
        <v>499</v>
      </c>
      <c r="F56" s="598" t="s">
        <v>500</v>
      </c>
      <c r="G56" s="597" t="s">
        <v>518</v>
      </c>
      <c r="H56" s="597" t="s">
        <v>653</v>
      </c>
      <c r="I56" s="597" t="s">
        <v>654</v>
      </c>
      <c r="J56" s="597" t="s">
        <v>655</v>
      </c>
      <c r="K56" s="597" t="s">
        <v>656</v>
      </c>
      <c r="L56" s="599">
        <v>334.40894643937048</v>
      </c>
      <c r="M56" s="599">
        <v>2</v>
      </c>
      <c r="N56" s="600">
        <v>668.81789287874096</v>
      </c>
    </row>
    <row r="57" spans="1:14" ht="14.4" customHeight="1" x14ac:dyDescent="0.3">
      <c r="A57" s="595" t="s">
        <v>496</v>
      </c>
      <c r="B57" s="596" t="s">
        <v>498</v>
      </c>
      <c r="C57" s="597" t="s">
        <v>514</v>
      </c>
      <c r="D57" s="598" t="s">
        <v>515</v>
      </c>
      <c r="E57" s="597" t="s">
        <v>499</v>
      </c>
      <c r="F57" s="598" t="s">
        <v>500</v>
      </c>
      <c r="G57" s="597" t="s">
        <v>518</v>
      </c>
      <c r="H57" s="597" t="s">
        <v>657</v>
      </c>
      <c r="I57" s="597" t="s">
        <v>658</v>
      </c>
      <c r="J57" s="597" t="s">
        <v>659</v>
      </c>
      <c r="K57" s="597" t="s">
        <v>660</v>
      </c>
      <c r="L57" s="599">
        <v>51.04999999999999</v>
      </c>
      <c r="M57" s="599">
        <v>3</v>
      </c>
      <c r="N57" s="600">
        <v>153.14999999999998</v>
      </c>
    </row>
    <row r="58" spans="1:14" ht="14.4" customHeight="1" x14ac:dyDescent="0.3">
      <c r="A58" s="595" t="s">
        <v>496</v>
      </c>
      <c r="B58" s="596" t="s">
        <v>498</v>
      </c>
      <c r="C58" s="597" t="s">
        <v>514</v>
      </c>
      <c r="D58" s="598" t="s">
        <v>515</v>
      </c>
      <c r="E58" s="597" t="s">
        <v>499</v>
      </c>
      <c r="F58" s="598" t="s">
        <v>500</v>
      </c>
      <c r="G58" s="597" t="s">
        <v>518</v>
      </c>
      <c r="H58" s="597" t="s">
        <v>661</v>
      </c>
      <c r="I58" s="597" t="s">
        <v>219</v>
      </c>
      <c r="J58" s="597" t="s">
        <v>662</v>
      </c>
      <c r="K58" s="597"/>
      <c r="L58" s="599">
        <v>49.56027087519729</v>
      </c>
      <c r="M58" s="599">
        <v>20</v>
      </c>
      <c r="N58" s="600">
        <v>991.2054175039458</v>
      </c>
    </row>
    <row r="59" spans="1:14" ht="14.4" customHeight="1" x14ac:dyDescent="0.3">
      <c r="A59" s="595" t="s">
        <v>496</v>
      </c>
      <c r="B59" s="596" t="s">
        <v>498</v>
      </c>
      <c r="C59" s="597" t="s">
        <v>514</v>
      </c>
      <c r="D59" s="598" t="s">
        <v>515</v>
      </c>
      <c r="E59" s="597" t="s">
        <v>499</v>
      </c>
      <c r="F59" s="598" t="s">
        <v>500</v>
      </c>
      <c r="G59" s="597" t="s">
        <v>518</v>
      </c>
      <c r="H59" s="597" t="s">
        <v>572</v>
      </c>
      <c r="I59" s="597" t="s">
        <v>219</v>
      </c>
      <c r="J59" s="597" t="s">
        <v>573</v>
      </c>
      <c r="K59" s="597"/>
      <c r="L59" s="599">
        <v>65.905658243395067</v>
      </c>
      <c r="M59" s="599">
        <v>2</v>
      </c>
      <c r="N59" s="600">
        <v>131.81131648679013</v>
      </c>
    </row>
    <row r="60" spans="1:14" ht="14.4" customHeight="1" x14ac:dyDescent="0.3">
      <c r="A60" s="595" t="s">
        <v>496</v>
      </c>
      <c r="B60" s="596" t="s">
        <v>498</v>
      </c>
      <c r="C60" s="597" t="s">
        <v>514</v>
      </c>
      <c r="D60" s="598" t="s">
        <v>515</v>
      </c>
      <c r="E60" s="597" t="s">
        <v>499</v>
      </c>
      <c r="F60" s="598" t="s">
        <v>500</v>
      </c>
      <c r="G60" s="597" t="s">
        <v>518</v>
      </c>
      <c r="H60" s="597" t="s">
        <v>582</v>
      </c>
      <c r="I60" s="597" t="s">
        <v>219</v>
      </c>
      <c r="J60" s="597" t="s">
        <v>583</v>
      </c>
      <c r="K60" s="597"/>
      <c r="L60" s="599">
        <v>88.569900846320238</v>
      </c>
      <c r="M60" s="599">
        <v>8</v>
      </c>
      <c r="N60" s="600">
        <v>708.5592067705619</v>
      </c>
    </row>
    <row r="61" spans="1:14" ht="14.4" customHeight="1" x14ac:dyDescent="0.3">
      <c r="A61" s="595" t="s">
        <v>496</v>
      </c>
      <c r="B61" s="596" t="s">
        <v>498</v>
      </c>
      <c r="C61" s="597" t="s">
        <v>514</v>
      </c>
      <c r="D61" s="598" t="s">
        <v>515</v>
      </c>
      <c r="E61" s="597" t="s">
        <v>499</v>
      </c>
      <c r="F61" s="598" t="s">
        <v>500</v>
      </c>
      <c r="G61" s="597" t="s">
        <v>518</v>
      </c>
      <c r="H61" s="597" t="s">
        <v>663</v>
      </c>
      <c r="I61" s="597" t="s">
        <v>664</v>
      </c>
      <c r="J61" s="597" t="s">
        <v>665</v>
      </c>
      <c r="K61" s="597" t="s">
        <v>666</v>
      </c>
      <c r="L61" s="599">
        <v>81.650000000000006</v>
      </c>
      <c r="M61" s="599">
        <v>1</v>
      </c>
      <c r="N61" s="600">
        <v>81.650000000000006</v>
      </c>
    </row>
    <row r="62" spans="1:14" ht="14.4" customHeight="1" x14ac:dyDescent="0.3">
      <c r="A62" s="595" t="s">
        <v>496</v>
      </c>
      <c r="B62" s="596" t="s">
        <v>498</v>
      </c>
      <c r="C62" s="597" t="s">
        <v>514</v>
      </c>
      <c r="D62" s="598" t="s">
        <v>515</v>
      </c>
      <c r="E62" s="597" t="s">
        <v>499</v>
      </c>
      <c r="F62" s="598" t="s">
        <v>500</v>
      </c>
      <c r="G62" s="597" t="s">
        <v>518</v>
      </c>
      <c r="H62" s="597" t="s">
        <v>667</v>
      </c>
      <c r="I62" s="597" t="s">
        <v>668</v>
      </c>
      <c r="J62" s="597" t="s">
        <v>669</v>
      </c>
      <c r="K62" s="597" t="s">
        <v>670</v>
      </c>
      <c r="L62" s="599">
        <v>77.3798597189666</v>
      </c>
      <c r="M62" s="599">
        <v>1</v>
      </c>
      <c r="N62" s="600">
        <v>77.3798597189666</v>
      </c>
    </row>
    <row r="63" spans="1:14" ht="14.4" customHeight="1" x14ac:dyDescent="0.3">
      <c r="A63" s="595" t="s">
        <v>496</v>
      </c>
      <c r="B63" s="596" t="s">
        <v>498</v>
      </c>
      <c r="C63" s="597" t="s">
        <v>514</v>
      </c>
      <c r="D63" s="598" t="s">
        <v>515</v>
      </c>
      <c r="E63" s="597" t="s">
        <v>499</v>
      </c>
      <c r="F63" s="598" t="s">
        <v>500</v>
      </c>
      <c r="G63" s="597" t="s">
        <v>518</v>
      </c>
      <c r="H63" s="597" t="s">
        <v>671</v>
      </c>
      <c r="I63" s="597" t="s">
        <v>219</v>
      </c>
      <c r="J63" s="597" t="s">
        <v>672</v>
      </c>
      <c r="K63" s="597"/>
      <c r="L63" s="599">
        <v>336.7799835936591</v>
      </c>
      <c r="M63" s="599">
        <v>1</v>
      </c>
      <c r="N63" s="600">
        <v>336.7799835936591</v>
      </c>
    </row>
    <row r="64" spans="1:14" ht="14.4" customHeight="1" x14ac:dyDescent="0.3">
      <c r="A64" s="595" t="s">
        <v>496</v>
      </c>
      <c r="B64" s="596" t="s">
        <v>498</v>
      </c>
      <c r="C64" s="597" t="s">
        <v>514</v>
      </c>
      <c r="D64" s="598" t="s">
        <v>515</v>
      </c>
      <c r="E64" s="597" t="s">
        <v>499</v>
      </c>
      <c r="F64" s="598" t="s">
        <v>500</v>
      </c>
      <c r="G64" s="597" t="s">
        <v>518</v>
      </c>
      <c r="H64" s="597" t="s">
        <v>673</v>
      </c>
      <c r="I64" s="597" t="s">
        <v>219</v>
      </c>
      <c r="J64" s="597" t="s">
        <v>674</v>
      </c>
      <c r="K64" s="597"/>
      <c r="L64" s="599">
        <v>143.64454545454544</v>
      </c>
      <c r="M64" s="599">
        <v>11</v>
      </c>
      <c r="N64" s="600">
        <v>1580.09</v>
      </c>
    </row>
    <row r="65" spans="1:14" ht="14.4" customHeight="1" x14ac:dyDescent="0.3">
      <c r="A65" s="595" t="s">
        <v>496</v>
      </c>
      <c r="B65" s="596" t="s">
        <v>498</v>
      </c>
      <c r="C65" s="597" t="s">
        <v>514</v>
      </c>
      <c r="D65" s="598" t="s">
        <v>515</v>
      </c>
      <c r="E65" s="597" t="s">
        <v>499</v>
      </c>
      <c r="F65" s="598" t="s">
        <v>500</v>
      </c>
      <c r="G65" s="597" t="s">
        <v>518</v>
      </c>
      <c r="H65" s="597" t="s">
        <v>675</v>
      </c>
      <c r="I65" s="597" t="s">
        <v>219</v>
      </c>
      <c r="J65" s="597" t="s">
        <v>676</v>
      </c>
      <c r="K65" s="597"/>
      <c r="L65" s="599">
        <v>173.23497722777859</v>
      </c>
      <c r="M65" s="599">
        <v>3</v>
      </c>
      <c r="N65" s="600">
        <v>519.70493168333576</v>
      </c>
    </row>
    <row r="66" spans="1:14" ht="14.4" customHeight="1" x14ac:dyDescent="0.3">
      <c r="A66" s="595" t="s">
        <v>496</v>
      </c>
      <c r="B66" s="596" t="s">
        <v>498</v>
      </c>
      <c r="C66" s="597" t="s">
        <v>514</v>
      </c>
      <c r="D66" s="598" t="s">
        <v>515</v>
      </c>
      <c r="E66" s="597" t="s">
        <v>499</v>
      </c>
      <c r="F66" s="598" t="s">
        <v>500</v>
      </c>
      <c r="G66" s="597" t="s">
        <v>518</v>
      </c>
      <c r="H66" s="597" t="s">
        <v>677</v>
      </c>
      <c r="I66" s="597" t="s">
        <v>219</v>
      </c>
      <c r="J66" s="597" t="s">
        <v>678</v>
      </c>
      <c r="K66" s="597"/>
      <c r="L66" s="599">
        <v>150.51871063590772</v>
      </c>
      <c r="M66" s="599">
        <v>4</v>
      </c>
      <c r="N66" s="600">
        <v>602.07484254363089</v>
      </c>
    </row>
    <row r="67" spans="1:14" ht="14.4" customHeight="1" x14ac:dyDescent="0.3">
      <c r="A67" s="595" t="s">
        <v>496</v>
      </c>
      <c r="B67" s="596" t="s">
        <v>498</v>
      </c>
      <c r="C67" s="597" t="s">
        <v>514</v>
      </c>
      <c r="D67" s="598" t="s">
        <v>515</v>
      </c>
      <c r="E67" s="597" t="s">
        <v>499</v>
      </c>
      <c r="F67" s="598" t="s">
        <v>500</v>
      </c>
      <c r="G67" s="597" t="s">
        <v>518</v>
      </c>
      <c r="H67" s="597" t="s">
        <v>679</v>
      </c>
      <c r="I67" s="597" t="s">
        <v>219</v>
      </c>
      <c r="J67" s="597" t="s">
        <v>680</v>
      </c>
      <c r="K67" s="597"/>
      <c r="L67" s="599">
        <v>100.94482286659429</v>
      </c>
      <c r="M67" s="599">
        <v>3</v>
      </c>
      <c r="N67" s="600">
        <v>302.83446859978289</v>
      </c>
    </row>
    <row r="68" spans="1:14" ht="14.4" customHeight="1" x14ac:dyDescent="0.3">
      <c r="A68" s="595" t="s">
        <v>496</v>
      </c>
      <c r="B68" s="596" t="s">
        <v>498</v>
      </c>
      <c r="C68" s="597" t="s">
        <v>514</v>
      </c>
      <c r="D68" s="598" t="s">
        <v>515</v>
      </c>
      <c r="E68" s="597" t="s">
        <v>499</v>
      </c>
      <c r="F68" s="598" t="s">
        <v>500</v>
      </c>
      <c r="G68" s="597" t="s">
        <v>518</v>
      </c>
      <c r="H68" s="597" t="s">
        <v>681</v>
      </c>
      <c r="I68" s="597" t="s">
        <v>682</v>
      </c>
      <c r="J68" s="597" t="s">
        <v>683</v>
      </c>
      <c r="K68" s="597" t="s">
        <v>684</v>
      </c>
      <c r="L68" s="599">
        <v>18.879850418119531</v>
      </c>
      <c r="M68" s="599">
        <v>4</v>
      </c>
      <c r="N68" s="600">
        <v>75.519401672478125</v>
      </c>
    </row>
    <row r="69" spans="1:14" ht="14.4" customHeight="1" x14ac:dyDescent="0.3">
      <c r="A69" s="595" t="s">
        <v>496</v>
      </c>
      <c r="B69" s="596" t="s">
        <v>498</v>
      </c>
      <c r="C69" s="597" t="s">
        <v>514</v>
      </c>
      <c r="D69" s="598" t="s">
        <v>515</v>
      </c>
      <c r="E69" s="597" t="s">
        <v>499</v>
      </c>
      <c r="F69" s="598" t="s">
        <v>500</v>
      </c>
      <c r="G69" s="597" t="s">
        <v>518</v>
      </c>
      <c r="H69" s="597" t="s">
        <v>685</v>
      </c>
      <c r="I69" s="597" t="s">
        <v>219</v>
      </c>
      <c r="J69" s="597" t="s">
        <v>686</v>
      </c>
      <c r="K69" s="597"/>
      <c r="L69" s="599">
        <v>161.81000000000003</v>
      </c>
      <c r="M69" s="599">
        <v>1</v>
      </c>
      <c r="N69" s="600">
        <v>161.81000000000003</v>
      </c>
    </row>
    <row r="70" spans="1:14" ht="14.4" customHeight="1" x14ac:dyDescent="0.3">
      <c r="A70" s="595" t="s">
        <v>496</v>
      </c>
      <c r="B70" s="596" t="s">
        <v>498</v>
      </c>
      <c r="C70" s="597" t="s">
        <v>514</v>
      </c>
      <c r="D70" s="598" t="s">
        <v>515</v>
      </c>
      <c r="E70" s="597" t="s">
        <v>499</v>
      </c>
      <c r="F70" s="598" t="s">
        <v>500</v>
      </c>
      <c r="G70" s="597" t="s">
        <v>518</v>
      </c>
      <c r="H70" s="597" t="s">
        <v>584</v>
      </c>
      <c r="I70" s="597" t="s">
        <v>584</v>
      </c>
      <c r="J70" s="597" t="s">
        <v>532</v>
      </c>
      <c r="K70" s="597" t="s">
        <v>585</v>
      </c>
      <c r="L70" s="599">
        <v>60.178134665842144</v>
      </c>
      <c r="M70" s="599">
        <v>22</v>
      </c>
      <c r="N70" s="600">
        <v>1323.9189626485272</v>
      </c>
    </row>
    <row r="71" spans="1:14" ht="14.4" customHeight="1" x14ac:dyDescent="0.3">
      <c r="A71" s="595" t="s">
        <v>496</v>
      </c>
      <c r="B71" s="596" t="s">
        <v>498</v>
      </c>
      <c r="C71" s="597" t="s">
        <v>514</v>
      </c>
      <c r="D71" s="598" t="s">
        <v>515</v>
      </c>
      <c r="E71" s="597" t="s">
        <v>499</v>
      </c>
      <c r="F71" s="598" t="s">
        <v>500</v>
      </c>
      <c r="G71" s="597" t="s">
        <v>687</v>
      </c>
      <c r="H71" s="597" t="s">
        <v>688</v>
      </c>
      <c r="I71" s="597" t="s">
        <v>689</v>
      </c>
      <c r="J71" s="597" t="s">
        <v>690</v>
      </c>
      <c r="K71" s="597" t="s">
        <v>691</v>
      </c>
      <c r="L71" s="599">
        <v>184.14999999999998</v>
      </c>
      <c r="M71" s="599">
        <v>1</v>
      </c>
      <c r="N71" s="600">
        <v>184.14999999999998</v>
      </c>
    </row>
    <row r="72" spans="1:14" ht="14.4" customHeight="1" x14ac:dyDescent="0.3">
      <c r="A72" s="595" t="s">
        <v>496</v>
      </c>
      <c r="B72" s="596" t="s">
        <v>498</v>
      </c>
      <c r="C72" s="597" t="s">
        <v>514</v>
      </c>
      <c r="D72" s="598" t="s">
        <v>515</v>
      </c>
      <c r="E72" s="597" t="s">
        <v>505</v>
      </c>
      <c r="F72" s="598" t="s">
        <v>506</v>
      </c>
      <c r="G72" s="597" t="s">
        <v>518</v>
      </c>
      <c r="H72" s="597" t="s">
        <v>594</v>
      </c>
      <c r="I72" s="597" t="s">
        <v>595</v>
      </c>
      <c r="J72" s="597" t="s">
        <v>596</v>
      </c>
      <c r="K72" s="597" t="s">
        <v>597</v>
      </c>
      <c r="L72" s="599">
        <v>139.9134326844387</v>
      </c>
      <c r="M72" s="599">
        <v>6.6999999999999993</v>
      </c>
      <c r="N72" s="600">
        <v>937.4199989857392</v>
      </c>
    </row>
    <row r="73" spans="1:14" ht="14.4" customHeight="1" x14ac:dyDescent="0.3">
      <c r="A73" s="595" t="s">
        <v>496</v>
      </c>
      <c r="B73" s="596" t="s">
        <v>498</v>
      </c>
      <c r="C73" s="597" t="s">
        <v>514</v>
      </c>
      <c r="D73" s="598" t="s">
        <v>515</v>
      </c>
      <c r="E73" s="597" t="s">
        <v>505</v>
      </c>
      <c r="F73" s="598" t="s">
        <v>506</v>
      </c>
      <c r="G73" s="597" t="s">
        <v>518</v>
      </c>
      <c r="H73" s="597" t="s">
        <v>598</v>
      </c>
      <c r="I73" s="597" t="s">
        <v>599</v>
      </c>
      <c r="J73" s="597" t="s">
        <v>600</v>
      </c>
      <c r="K73" s="597" t="s">
        <v>601</v>
      </c>
      <c r="L73" s="599">
        <v>63.840010418788239</v>
      </c>
      <c r="M73" s="599">
        <v>3</v>
      </c>
      <c r="N73" s="600">
        <v>191.52003125636472</v>
      </c>
    </row>
    <row r="74" spans="1:14" ht="14.4" customHeight="1" x14ac:dyDescent="0.3">
      <c r="A74" s="595" t="s">
        <v>496</v>
      </c>
      <c r="B74" s="596" t="s">
        <v>498</v>
      </c>
      <c r="C74" s="597" t="s">
        <v>514</v>
      </c>
      <c r="D74" s="598" t="s">
        <v>515</v>
      </c>
      <c r="E74" s="597" t="s">
        <v>505</v>
      </c>
      <c r="F74" s="598" t="s">
        <v>506</v>
      </c>
      <c r="G74" s="597" t="s">
        <v>518</v>
      </c>
      <c r="H74" s="597" t="s">
        <v>610</v>
      </c>
      <c r="I74" s="597" t="s">
        <v>611</v>
      </c>
      <c r="J74" s="597" t="s">
        <v>612</v>
      </c>
      <c r="K74" s="597" t="s">
        <v>613</v>
      </c>
      <c r="L74" s="599">
        <v>51.36999999999999</v>
      </c>
      <c r="M74" s="599">
        <v>5</v>
      </c>
      <c r="N74" s="600">
        <v>256.84999999999997</v>
      </c>
    </row>
    <row r="75" spans="1:14" ht="14.4" customHeight="1" x14ac:dyDescent="0.3">
      <c r="A75" s="595" t="s">
        <v>496</v>
      </c>
      <c r="B75" s="596" t="s">
        <v>498</v>
      </c>
      <c r="C75" s="597" t="s">
        <v>514</v>
      </c>
      <c r="D75" s="598" t="s">
        <v>515</v>
      </c>
      <c r="E75" s="597" t="s">
        <v>505</v>
      </c>
      <c r="F75" s="598" t="s">
        <v>506</v>
      </c>
      <c r="G75" s="597" t="s">
        <v>687</v>
      </c>
      <c r="H75" s="597" t="s">
        <v>692</v>
      </c>
      <c r="I75" s="597" t="s">
        <v>692</v>
      </c>
      <c r="J75" s="597" t="s">
        <v>693</v>
      </c>
      <c r="K75" s="597" t="s">
        <v>694</v>
      </c>
      <c r="L75" s="599">
        <v>46</v>
      </c>
      <c r="M75" s="599">
        <v>2</v>
      </c>
      <c r="N75" s="600">
        <v>92</v>
      </c>
    </row>
    <row r="76" spans="1:14" ht="14.4" customHeight="1" x14ac:dyDescent="0.3">
      <c r="A76" s="595" t="s">
        <v>496</v>
      </c>
      <c r="B76" s="596" t="s">
        <v>498</v>
      </c>
      <c r="C76" s="597" t="s">
        <v>514</v>
      </c>
      <c r="D76" s="598" t="s">
        <v>515</v>
      </c>
      <c r="E76" s="597" t="s">
        <v>507</v>
      </c>
      <c r="F76" s="598" t="s">
        <v>508</v>
      </c>
      <c r="G76" s="597" t="s">
        <v>518</v>
      </c>
      <c r="H76" s="597" t="s">
        <v>618</v>
      </c>
      <c r="I76" s="597" t="s">
        <v>619</v>
      </c>
      <c r="J76" s="597" t="s">
        <v>620</v>
      </c>
      <c r="K76" s="597" t="s">
        <v>621</v>
      </c>
      <c r="L76" s="599">
        <v>88.962247162948444</v>
      </c>
      <c r="M76" s="599">
        <v>4</v>
      </c>
      <c r="N76" s="600">
        <v>355.84898865179377</v>
      </c>
    </row>
    <row r="77" spans="1:14" ht="14.4" customHeight="1" x14ac:dyDescent="0.3">
      <c r="A77" s="595" t="s">
        <v>496</v>
      </c>
      <c r="B77" s="596" t="s">
        <v>498</v>
      </c>
      <c r="C77" s="597" t="s">
        <v>516</v>
      </c>
      <c r="D77" s="598" t="s">
        <v>517</v>
      </c>
      <c r="E77" s="597" t="s">
        <v>499</v>
      </c>
      <c r="F77" s="598" t="s">
        <v>500</v>
      </c>
      <c r="G77" s="597"/>
      <c r="H77" s="597" t="s">
        <v>695</v>
      </c>
      <c r="I77" s="597" t="s">
        <v>696</v>
      </c>
      <c r="J77" s="597" t="s">
        <v>697</v>
      </c>
      <c r="K77" s="597"/>
      <c r="L77" s="599">
        <v>75.83</v>
      </c>
      <c r="M77" s="599">
        <v>6</v>
      </c>
      <c r="N77" s="600">
        <v>454.98</v>
      </c>
    </row>
    <row r="78" spans="1:14" ht="14.4" customHeight="1" x14ac:dyDescent="0.3">
      <c r="A78" s="595" t="s">
        <v>496</v>
      </c>
      <c r="B78" s="596" t="s">
        <v>498</v>
      </c>
      <c r="C78" s="597" t="s">
        <v>516</v>
      </c>
      <c r="D78" s="598" t="s">
        <v>517</v>
      </c>
      <c r="E78" s="597" t="s">
        <v>499</v>
      </c>
      <c r="F78" s="598" t="s">
        <v>500</v>
      </c>
      <c r="G78" s="597" t="s">
        <v>518</v>
      </c>
      <c r="H78" s="597" t="s">
        <v>519</v>
      </c>
      <c r="I78" s="597" t="s">
        <v>519</v>
      </c>
      <c r="J78" s="597" t="s">
        <v>520</v>
      </c>
      <c r="K78" s="597" t="s">
        <v>521</v>
      </c>
      <c r="L78" s="599">
        <v>179.4</v>
      </c>
      <c r="M78" s="599">
        <v>11</v>
      </c>
      <c r="N78" s="600">
        <v>1973.4</v>
      </c>
    </row>
    <row r="79" spans="1:14" ht="14.4" customHeight="1" x14ac:dyDescent="0.3">
      <c r="A79" s="595" t="s">
        <v>496</v>
      </c>
      <c r="B79" s="596" t="s">
        <v>498</v>
      </c>
      <c r="C79" s="597" t="s">
        <v>516</v>
      </c>
      <c r="D79" s="598" t="s">
        <v>517</v>
      </c>
      <c r="E79" s="597" t="s">
        <v>499</v>
      </c>
      <c r="F79" s="598" t="s">
        <v>500</v>
      </c>
      <c r="G79" s="597" t="s">
        <v>518</v>
      </c>
      <c r="H79" s="597" t="s">
        <v>698</v>
      </c>
      <c r="I79" s="597" t="s">
        <v>698</v>
      </c>
      <c r="J79" s="597" t="s">
        <v>699</v>
      </c>
      <c r="K79" s="597" t="s">
        <v>700</v>
      </c>
      <c r="L79" s="599">
        <v>181.59</v>
      </c>
      <c r="M79" s="599">
        <v>1</v>
      </c>
      <c r="N79" s="600">
        <v>181.59</v>
      </c>
    </row>
    <row r="80" spans="1:14" ht="14.4" customHeight="1" x14ac:dyDescent="0.3">
      <c r="A80" s="595" t="s">
        <v>496</v>
      </c>
      <c r="B80" s="596" t="s">
        <v>498</v>
      </c>
      <c r="C80" s="597" t="s">
        <v>516</v>
      </c>
      <c r="D80" s="598" t="s">
        <v>517</v>
      </c>
      <c r="E80" s="597" t="s">
        <v>499</v>
      </c>
      <c r="F80" s="598" t="s">
        <v>500</v>
      </c>
      <c r="G80" s="597" t="s">
        <v>518</v>
      </c>
      <c r="H80" s="597" t="s">
        <v>701</v>
      </c>
      <c r="I80" s="597" t="s">
        <v>701</v>
      </c>
      <c r="J80" s="597" t="s">
        <v>623</v>
      </c>
      <c r="K80" s="597" t="s">
        <v>702</v>
      </c>
      <c r="L80" s="599">
        <v>132.25</v>
      </c>
      <c r="M80" s="599">
        <v>2</v>
      </c>
      <c r="N80" s="600">
        <v>264.5</v>
      </c>
    </row>
    <row r="81" spans="1:14" ht="14.4" customHeight="1" x14ac:dyDescent="0.3">
      <c r="A81" s="595" t="s">
        <v>496</v>
      </c>
      <c r="B81" s="596" t="s">
        <v>498</v>
      </c>
      <c r="C81" s="597" t="s">
        <v>516</v>
      </c>
      <c r="D81" s="598" t="s">
        <v>517</v>
      </c>
      <c r="E81" s="597" t="s">
        <v>499</v>
      </c>
      <c r="F81" s="598" t="s">
        <v>500</v>
      </c>
      <c r="G81" s="597" t="s">
        <v>518</v>
      </c>
      <c r="H81" s="597" t="s">
        <v>622</v>
      </c>
      <c r="I81" s="597" t="s">
        <v>622</v>
      </c>
      <c r="J81" s="597" t="s">
        <v>623</v>
      </c>
      <c r="K81" s="597" t="s">
        <v>624</v>
      </c>
      <c r="L81" s="599">
        <v>232.3</v>
      </c>
      <c r="M81" s="599">
        <v>1</v>
      </c>
      <c r="N81" s="600">
        <v>232.3</v>
      </c>
    </row>
    <row r="82" spans="1:14" ht="14.4" customHeight="1" x14ac:dyDescent="0.3">
      <c r="A82" s="595" t="s">
        <v>496</v>
      </c>
      <c r="B82" s="596" t="s">
        <v>498</v>
      </c>
      <c r="C82" s="597" t="s">
        <v>516</v>
      </c>
      <c r="D82" s="598" t="s">
        <v>517</v>
      </c>
      <c r="E82" s="597" t="s">
        <v>499</v>
      </c>
      <c r="F82" s="598" t="s">
        <v>500</v>
      </c>
      <c r="G82" s="597" t="s">
        <v>518</v>
      </c>
      <c r="H82" s="597" t="s">
        <v>703</v>
      </c>
      <c r="I82" s="597" t="s">
        <v>703</v>
      </c>
      <c r="J82" s="597" t="s">
        <v>520</v>
      </c>
      <c r="K82" s="597" t="s">
        <v>704</v>
      </c>
      <c r="L82" s="599">
        <v>97.179999999999993</v>
      </c>
      <c r="M82" s="599">
        <v>6</v>
      </c>
      <c r="N82" s="600">
        <v>583.07999999999993</v>
      </c>
    </row>
    <row r="83" spans="1:14" ht="14.4" customHeight="1" x14ac:dyDescent="0.3">
      <c r="A83" s="595" t="s">
        <v>496</v>
      </c>
      <c r="B83" s="596" t="s">
        <v>498</v>
      </c>
      <c r="C83" s="597" t="s">
        <v>516</v>
      </c>
      <c r="D83" s="598" t="s">
        <v>517</v>
      </c>
      <c r="E83" s="597" t="s">
        <v>499</v>
      </c>
      <c r="F83" s="598" t="s">
        <v>500</v>
      </c>
      <c r="G83" s="597" t="s">
        <v>518</v>
      </c>
      <c r="H83" s="597" t="s">
        <v>522</v>
      </c>
      <c r="I83" s="597" t="s">
        <v>523</v>
      </c>
      <c r="J83" s="597" t="s">
        <v>524</v>
      </c>
      <c r="K83" s="597" t="s">
        <v>525</v>
      </c>
      <c r="L83" s="599">
        <v>84.57</v>
      </c>
      <c r="M83" s="599">
        <v>2</v>
      </c>
      <c r="N83" s="600">
        <v>169.14</v>
      </c>
    </row>
    <row r="84" spans="1:14" ht="14.4" customHeight="1" x14ac:dyDescent="0.3">
      <c r="A84" s="595" t="s">
        <v>496</v>
      </c>
      <c r="B84" s="596" t="s">
        <v>498</v>
      </c>
      <c r="C84" s="597" t="s">
        <v>516</v>
      </c>
      <c r="D84" s="598" t="s">
        <v>517</v>
      </c>
      <c r="E84" s="597" t="s">
        <v>499</v>
      </c>
      <c r="F84" s="598" t="s">
        <v>500</v>
      </c>
      <c r="G84" s="597" t="s">
        <v>518</v>
      </c>
      <c r="H84" s="597" t="s">
        <v>705</v>
      </c>
      <c r="I84" s="597" t="s">
        <v>706</v>
      </c>
      <c r="J84" s="597" t="s">
        <v>707</v>
      </c>
      <c r="K84" s="597" t="s">
        <v>708</v>
      </c>
      <c r="L84" s="599">
        <v>97.202117071258272</v>
      </c>
      <c r="M84" s="599">
        <v>19</v>
      </c>
      <c r="N84" s="600">
        <v>1846.8402243539072</v>
      </c>
    </row>
    <row r="85" spans="1:14" ht="14.4" customHeight="1" x14ac:dyDescent="0.3">
      <c r="A85" s="595" t="s">
        <v>496</v>
      </c>
      <c r="B85" s="596" t="s">
        <v>498</v>
      </c>
      <c r="C85" s="597" t="s">
        <v>516</v>
      </c>
      <c r="D85" s="598" t="s">
        <v>517</v>
      </c>
      <c r="E85" s="597" t="s">
        <v>499</v>
      </c>
      <c r="F85" s="598" t="s">
        <v>500</v>
      </c>
      <c r="G85" s="597" t="s">
        <v>518</v>
      </c>
      <c r="H85" s="597" t="s">
        <v>526</v>
      </c>
      <c r="I85" s="597" t="s">
        <v>527</v>
      </c>
      <c r="J85" s="597" t="s">
        <v>528</v>
      </c>
      <c r="K85" s="597" t="s">
        <v>529</v>
      </c>
      <c r="L85" s="599">
        <v>77.300091199816066</v>
      </c>
      <c r="M85" s="599">
        <v>3</v>
      </c>
      <c r="N85" s="600">
        <v>231.90027359944821</v>
      </c>
    </row>
    <row r="86" spans="1:14" ht="14.4" customHeight="1" x14ac:dyDescent="0.3">
      <c r="A86" s="595" t="s">
        <v>496</v>
      </c>
      <c r="B86" s="596" t="s">
        <v>498</v>
      </c>
      <c r="C86" s="597" t="s">
        <v>516</v>
      </c>
      <c r="D86" s="598" t="s">
        <v>517</v>
      </c>
      <c r="E86" s="597" t="s">
        <v>499</v>
      </c>
      <c r="F86" s="598" t="s">
        <v>500</v>
      </c>
      <c r="G86" s="597" t="s">
        <v>518</v>
      </c>
      <c r="H86" s="597" t="s">
        <v>530</v>
      </c>
      <c r="I86" s="597" t="s">
        <v>531</v>
      </c>
      <c r="J86" s="597" t="s">
        <v>532</v>
      </c>
      <c r="K86" s="597" t="s">
        <v>533</v>
      </c>
      <c r="L86" s="599">
        <v>60.057142857142857</v>
      </c>
      <c r="M86" s="599">
        <v>7</v>
      </c>
      <c r="N86" s="600">
        <v>420.4</v>
      </c>
    </row>
    <row r="87" spans="1:14" ht="14.4" customHeight="1" x14ac:dyDescent="0.3">
      <c r="A87" s="595" t="s">
        <v>496</v>
      </c>
      <c r="B87" s="596" t="s">
        <v>498</v>
      </c>
      <c r="C87" s="597" t="s">
        <v>516</v>
      </c>
      <c r="D87" s="598" t="s">
        <v>517</v>
      </c>
      <c r="E87" s="597" t="s">
        <v>499</v>
      </c>
      <c r="F87" s="598" t="s">
        <v>500</v>
      </c>
      <c r="G87" s="597" t="s">
        <v>518</v>
      </c>
      <c r="H87" s="597" t="s">
        <v>709</v>
      </c>
      <c r="I87" s="597" t="s">
        <v>710</v>
      </c>
      <c r="J87" s="597" t="s">
        <v>711</v>
      </c>
      <c r="K87" s="597" t="s">
        <v>537</v>
      </c>
      <c r="L87" s="599">
        <v>30.900000000000002</v>
      </c>
      <c r="M87" s="599">
        <v>3</v>
      </c>
      <c r="N87" s="600">
        <v>92.7</v>
      </c>
    </row>
    <row r="88" spans="1:14" ht="14.4" customHeight="1" x14ac:dyDescent="0.3">
      <c r="A88" s="595" t="s">
        <v>496</v>
      </c>
      <c r="B88" s="596" t="s">
        <v>498</v>
      </c>
      <c r="C88" s="597" t="s">
        <v>516</v>
      </c>
      <c r="D88" s="598" t="s">
        <v>517</v>
      </c>
      <c r="E88" s="597" t="s">
        <v>499</v>
      </c>
      <c r="F88" s="598" t="s">
        <v>500</v>
      </c>
      <c r="G88" s="597" t="s">
        <v>518</v>
      </c>
      <c r="H88" s="597" t="s">
        <v>712</v>
      </c>
      <c r="I88" s="597" t="s">
        <v>713</v>
      </c>
      <c r="J88" s="597" t="s">
        <v>714</v>
      </c>
      <c r="K88" s="597" t="s">
        <v>715</v>
      </c>
      <c r="L88" s="599">
        <v>27.419825977025265</v>
      </c>
      <c r="M88" s="599">
        <v>12</v>
      </c>
      <c r="N88" s="600">
        <v>329.03791172430317</v>
      </c>
    </row>
    <row r="89" spans="1:14" ht="14.4" customHeight="1" x14ac:dyDescent="0.3">
      <c r="A89" s="595" t="s">
        <v>496</v>
      </c>
      <c r="B89" s="596" t="s">
        <v>498</v>
      </c>
      <c r="C89" s="597" t="s">
        <v>516</v>
      </c>
      <c r="D89" s="598" t="s">
        <v>517</v>
      </c>
      <c r="E89" s="597" t="s">
        <v>499</v>
      </c>
      <c r="F89" s="598" t="s">
        <v>500</v>
      </c>
      <c r="G89" s="597" t="s">
        <v>518</v>
      </c>
      <c r="H89" s="597" t="s">
        <v>716</v>
      </c>
      <c r="I89" s="597" t="s">
        <v>717</v>
      </c>
      <c r="J89" s="597" t="s">
        <v>718</v>
      </c>
      <c r="K89" s="597" t="s">
        <v>719</v>
      </c>
      <c r="L89" s="599">
        <v>121.26999999999998</v>
      </c>
      <c r="M89" s="599">
        <v>4</v>
      </c>
      <c r="N89" s="600">
        <v>485.07999999999993</v>
      </c>
    </row>
    <row r="90" spans="1:14" ht="14.4" customHeight="1" x14ac:dyDescent="0.3">
      <c r="A90" s="595" t="s">
        <v>496</v>
      </c>
      <c r="B90" s="596" t="s">
        <v>498</v>
      </c>
      <c r="C90" s="597" t="s">
        <v>516</v>
      </c>
      <c r="D90" s="598" t="s">
        <v>517</v>
      </c>
      <c r="E90" s="597" t="s">
        <v>499</v>
      </c>
      <c r="F90" s="598" t="s">
        <v>500</v>
      </c>
      <c r="G90" s="597" t="s">
        <v>518</v>
      </c>
      <c r="H90" s="597" t="s">
        <v>625</v>
      </c>
      <c r="I90" s="597" t="s">
        <v>626</v>
      </c>
      <c r="J90" s="597" t="s">
        <v>627</v>
      </c>
      <c r="K90" s="597" t="s">
        <v>537</v>
      </c>
      <c r="L90" s="599">
        <v>67.470079602219798</v>
      </c>
      <c r="M90" s="599">
        <v>1</v>
      </c>
      <c r="N90" s="600">
        <v>67.470079602219798</v>
      </c>
    </row>
    <row r="91" spans="1:14" ht="14.4" customHeight="1" x14ac:dyDescent="0.3">
      <c r="A91" s="595" t="s">
        <v>496</v>
      </c>
      <c r="B91" s="596" t="s">
        <v>498</v>
      </c>
      <c r="C91" s="597" t="s">
        <v>516</v>
      </c>
      <c r="D91" s="598" t="s">
        <v>517</v>
      </c>
      <c r="E91" s="597" t="s">
        <v>499</v>
      </c>
      <c r="F91" s="598" t="s">
        <v>500</v>
      </c>
      <c r="G91" s="597" t="s">
        <v>518</v>
      </c>
      <c r="H91" s="597" t="s">
        <v>720</v>
      </c>
      <c r="I91" s="597" t="s">
        <v>720</v>
      </c>
      <c r="J91" s="597" t="s">
        <v>721</v>
      </c>
      <c r="K91" s="597" t="s">
        <v>722</v>
      </c>
      <c r="L91" s="599">
        <v>38.226301238223158</v>
      </c>
      <c r="M91" s="599">
        <v>22</v>
      </c>
      <c r="N91" s="600">
        <v>840.97862724090942</v>
      </c>
    </row>
    <row r="92" spans="1:14" ht="14.4" customHeight="1" x14ac:dyDescent="0.3">
      <c r="A92" s="595" t="s">
        <v>496</v>
      </c>
      <c r="B92" s="596" t="s">
        <v>498</v>
      </c>
      <c r="C92" s="597" t="s">
        <v>516</v>
      </c>
      <c r="D92" s="598" t="s">
        <v>517</v>
      </c>
      <c r="E92" s="597" t="s">
        <v>499</v>
      </c>
      <c r="F92" s="598" t="s">
        <v>500</v>
      </c>
      <c r="G92" s="597" t="s">
        <v>518</v>
      </c>
      <c r="H92" s="597" t="s">
        <v>723</v>
      </c>
      <c r="I92" s="597" t="s">
        <v>724</v>
      </c>
      <c r="J92" s="597" t="s">
        <v>725</v>
      </c>
      <c r="K92" s="597" t="s">
        <v>726</v>
      </c>
      <c r="L92" s="599">
        <v>340.29</v>
      </c>
      <c r="M92" s="599">
        <v>1</v>
      </c>
      <c r="N92" s="600">
        <v>340.29</v>
      </c>
    </row>
    <row r="93" spans="1:14" ht="14.4" customHeight="1" x14ac:dyDescent="0.3">
      <c r="A93" s="595" t="s">
        <v>496</v>
      </c>
      <c r="B93" s="596" t="s">
        <v>498</v>
      </c>
      <c r="C93" s="597" t="s">
        <v>516</v>
      </c>
      <c r="D93" s="598" t="s">
        <v>517</v>
      </c>
      <c r="E93" s="597" t="s">
        <v>499</v>
      </c>
      <c r="F93" s="598" t="s">
        <v>500</v>
      </c>
      <c r="G93" s="597" t="s">
        <v>518</v>
      </c>
      <c r="H93" s="597" t="s">
        <v>727</v>
      </c>
      <c r="I93" s="597" t="s">
        <v>728</v>
      </c>
      <c r="J93" s="597" t="s">
        <v>729</v>
      </c>
      <c r="K93" s="597" t="s">
        <v>730</v>
      </c>
      <c r="L93" s="599">
        <v>331.02790015361006</v>
      </c>
      <c r="M93" s="599">
        <v>4</v>
      </c>
      <c r="N93" s="600">
        <v>1324.1116006144402</v>
      </c>
    </row>
    <row r="94" spans="1:14" ht="14.4" customHeight="1" x14ac:dyDescent="0.3">
      <c r="A94" s="595" t="s">
        <v>496</v>
      </c>
      <c r="B94" s="596" t="s">
        <v>498</v>
      </c>
      <c r="C94" s="597" t="s">
        <v>516</v>
      </c>
      <c r="D94" s="598" t="s">
        <v>517</v>
      </c>
      <c r="E94" s="597" t="s">
        <v>499</v>
      </c>
      <c r="F94" s="598" t="s">
        <v>500</v>
      </c>
      <c r="G94" s="597" t="s">
        <v>518</v>
      </c>
      <c r="H94" s="597" t="s">
        <v>538</v>
      </c>
      <c r="I94" s="597" t="s">
        <v>539</v>
      </c>
      <c r="J94" s="597" t="s">
        <v>540</v>
      </c>
      <c r="K94" s="597" t="s">
        <v>541</v>
      </c>
      <c r="L94" s="599">
        <v>38.359785611837502</v>
      </c>
      <c r="M94" s="599">
        <v>2</v>
      </c>
      <c r="N94" s="600">
        <v>76.719571223675004</v>
      </c>
    </row>
    <row r="95" spans="1:14" ht="14.4" customHeight="1" x14ac:dyDescent="0.3">
      <c r="A95" s="595" t="s">
        <v>496</v>
      </c>
      <c r="B95" s="596" t="s">
        <v>498</v>
      </c>
      <c r="C95" s="597" t="s">
        <v>516</v>
      </c>
      <c r="D95" s="598" t="s">
        <v>517</v>
      </c>
      <c r="E95" s="597" t="s">
        <v>499</v>
      </c>
      <c r="F95" s="598" t="s">
        <v>500</v>
      </c>
      <c r="G95" s="597" t="s">
        <v>518</v>
      </c>
      <c r="H95" s="597" t="s">
        <v>731</v>
      </c>
      <c r="I95" s="597" t="s">
        <v>732</v>
      </c>
      <c r="J95" s="597" t="s">
        <v>733</v>
      </c>
      <c r="K95" s="597" t="s">
        <v>734</v>
      </c>
      <c r="L95" s="599">
        <v>392.89046353810784</v>
      </c>
      <c r="M95" s="599">
        <v>1</v>
      </c>
      <c r="N95" s="600">
        <v>392.89046353810784</v>
      </c>
    </row>
    <row r="96" spans="1:14" ht="14.4" customHeight="1" x14ac:dyDescent="0.3">
      <c r="A96" s="595" t="s">
        <v>496</v>
      </c>
      <c r="B96" s="596" t="s">
        <v>498</v>
      </c>
      <c r="C96" s="597" t="s">
        <v>516</v>
      </c>
      <c r="D96" s="598" t="s">
        <v>517</v>
      </c>
      <c r="E96" s="597" t="s">
        <v>499</v>
      </c>
      <c r="F96" s="598" t="s">
        <v>500</v>
      </c>
      <c r="G96" s="597" t="s">
        <v>518</v>
      </c>
      <c r="H96" s="597" t="s">
        <v>542</v>
      </c>
      <c r="I96" s="597" t="s">
        <v>219</v>
      </c>
      <c r="J96" s="597" t="s">
        <v>543</v>
      </c>
      <c r="K96" s="597"/>
      <c r="L96" s="599">
        <v>97.320297825783214</v>
      </c>
      <c r="M96" s="599">
        <v>12</v>
      </c>
      <c r="N96" s="600">
        <v>1167.8435739093986</v>
      </c>
    </row>
    <row r="97" spans="1:14" ht="14.4" customHeight="1" x14ac:dyDescent="0.3">
      <c r="A97" s="595" t="s">
        <v>496</v>
      </c>
      <c r="B97" s="596" t="s">
        <v>498</v>
      </c>
      <c r="C97" s="597" t="s">
        <v>516</v>
      </c>
      <c r="D97" s="598" t="s">
        <v>517</v>
      </c>
      <c r="E97" s="597" t="s">
        <v>499</v>
      </c>
      <c r="F97" s="598" t="s">
        <v>500</v>
      </c>
      <c r="G97" s="597" t="s">
        <v>518</v>
      </c>
      <c r="H97" s="597" t="s">
        <v>735</v>
      </c>
      <c r="I97" s="597" t="s">
        <v>736</v>
      </c>
      <c r="J97" s="597" t="s">
        <v>737</v>
      </c>
      <c r="K97" s="597"/>
      <c r="L97" s="599">
        <v>140.20002255706149</v>
      </c>
      <c r="M97" s="599">
        <v>15</v>
      </c>
      <c r="N97" s="600">
        <v>2103.0003383559224</v>
      </c>
    </row>
    <row r="98" spans="1:14" ht="14.4" customHeight="1" x14ac:dyDescent="0.3">
      <c r="A98" s="595" t="s">
        <v>496</v>
      </c>
      <c r="B98" s="596" t="s">
        <v>498</v>
      </c>
      <c r="C98" s="597" t="s">
        <v>516</v>
      </c>
      <c r="D98" s="598" t="s">
        <v>517</v>
      </c>
      <c r="E98" s="597" t="s">
        <v>499</v>
      </c>
      <c r="F98" s="598" t="s">
        <v>500</v>
      </c>
      <c r="G98" s="597" t="s">
        <v>518</v>
      </c>
      <c r="H98" s="597" t="s">
        <v>738</v>
      </c>
      <c r="I98" s="597" t="s">
        <v>739</v>
      </c>
      <c r="J98" s="597" t="s">
        <v>546</v>
      </c>
      <c r="K98" s="597" t="s">
        <v>740</v>
      </c>
      <c r="L98" s="599">
        <v>59.21</v>
      </c>
      <c r="M98" s="599">
        <v>1</v>
      </c>
      <c r="N98" s="600">
        <v>59.21</v>
      </c>
    </row>
    <row r="99" spans="1:14" ht="14.4" customHeight="1" x14ac:dyDescent="0.3">
      <c r="A99" s="595" t="s">
        <v>496</v>
      </c>
      <c r="B99" s="596" t="s">
        <v>498</v>
      </c>
      <c r="C99" s="597" t="s">
        <v>516</v>
      </c>
      <c r="D99" s="598" t="s">
        <v>517</v>
      </c>
      <c r="E99" s="597" t="s">
        <v>499</v>
      </c>
      <c r="F99" s="598" t="s">
        <v>500</v>
      </c>
      <c r="G99" s="597" t="s">
        <v>518</v>
      </c>
      <c r="H99" s="597" t="s">
        <v>741</v>
      </c>
      <c r="I99" s="597" t="s">
        <v>742</v>
      </c>
      <c r="J99" s="597" t="s">
        <v>743</v>
      </c>
      <c r="K99" s="597" t="s">
        <v>744</v>
      </c>
      <c r="L99" s="599">
        <v>218.17791259172901</v>
      </c>
      <c r="M99" s="599">
        <v>2</v>
      </c>
      <c r="N99" s="600">
        <v>436.35582518345802</v>
      </c>
    </row>
    <row r="100" spans="1:14" ht="14.4" customHeight="1" x14ac:dyDescent="0.3">
      <c r="A100" s="595" t="s">
        <v>496</v>
      </c>
      <c r="B100" s="596" t="s">
        <v>498</v>
      </c>
      <c r="C100" s="597" t="s">
        <v>516</v>
      </c>
      <c r="D100" s="598" t="s">
        <v>517</v>
      </c>
      <c r="E100" s="597" t="s">
        <v>499</v>
      </c>
      <c r="F100" s="598" t="s">
        <v>500</v>
      </c>
      <c r="G100" s="597" t="s">
        <v>518</v>
      </c>
      <c r="H100" s="597" t="s">
        <v>548</v>
      </c>
      <c r="I100" s="597" t="s">
        <v>219</v>
      </c>
      <c r="J100" s="597" t="s">
        <v>549</v>
      </c>
      <c r="K100" s="597"/>
      <c r="L100" s="599">
        <v>35.651915308226641</v>
      </c>
      <c r="M100" s="599">
        <v>504</v>
      </c>
      <c r="N100" s="600">
        <v>17968.565315346226</v>
      </c>
    </row>
    <row r="101" spans="1:14" ht="14.4" customHeight="1" x14ac:dyDescent="0.3">
      <c r="A101" s="595" t="s">
        <v>496</v>
      </c>
      <c r="B101" s="596" t="s">
        <v>498</v>
      </c>
      <c r="C101" s="597" t="s">
        <v>516</v>
      </c>
      <c r="D101" s="598" t="s">
        <v>517</v>
      </c>
      <c r="E101" s="597" t="s">
        <v>499</v>
      </c>
      <c r="F101" s="598" t="s">
        <v>500</v>
      </c>
      <c r="G101" s="597" t="s">
        <v>518</v>
      </c>
      <c r="H101" s="597" t="s">
        <v>550</v>
      </c>
      <c r="I101" s="597" t="s">
        <v>551</v>
      </c>
      <c r="J101" s="597" t="s">
        <v>528</v>
      </c>
      <c r="K101" s="597" t="s">
        <v>552</v>
      </c>
      <c r="L101" s="599">
        <v>43.076666666666661</v>
      </c>
      <c r="M101" s="599">
        <v>3</v>
      </c>
      <c r="N101" s="600">
        <v>129.22999999999999</v>
      </c>
    </row>
    <row r="102" spans="1:14" ht="14.4" customHeight="1" x14ac:dyDescent="0.3">
      <c r="A102" s="595" t="s">
        <v>496</v>
      </c>
      <c r="B102" s="596" t="s">
        <v>498</v>
      </c>
      <c r="C102" s="597" t="s">
        <v>516</v>
      </c>
      <c r="D102" s="598" t="s">
        <v>517</v>
      </c>
      <c r="E102" s="597" t="s">
        <v>499</v>
      </c>
      <c r="F102" s="598" t="s">
        <v>500</v>
      </c>
      <c r="G102" s="597" t="s">
        <v>518</v>
      </c>
      <c r="H102" s="597" t="s">
        <v>745</v>
      </c>
      <c r="I102" s="597" t="s">
        <v>746</v>
      </c>
      <c r="J102" s="597" t="s">
        <v>747</v>
      </c>
      <c r="K102" s="597" t="s">
        <v>525</v>
      </c>
      <c r="L102" s="599">
        <v>121.96999999999998</v>
      </c>
      <c r="M102" s="599">
        <v>3</v>
      </c>
      <c r="N102" s="600">
        <v>365.90999999999997</v>
      </c>
    </row>
    <row r="103" spans="1:14" ht="14.4" customHeight="1" x14ac:dyDescent="0.3">
      <c r="A103" s="595" t="s">
        <v>496</v>
      </c>
      <c r="B103" s="596" t="s">
        <v>498</v>
      </c>
      <c r="C103" s="597" t="s">
        <v>516</v>
      </c>
      <c r="D103" s="598" t="s">
        <v>517</v>
      </c>
      <c r="E103" s="597" t="s">
        <v>499</v>
      </c>
      <c r="F103" s="598" t="s">
        <v>500</v>
      </c>
      <c r="G103" s="597" t="s">
        <v>518</v>
      </c>
      <c r="H103" s="597" t="s">
        <v>748</v>
      </c>
      <c r="I103" s="597" t="s">
        <v>749</v>
      </c>
      <c r="J103" s="597" t="s">
        <v>750</v>
      </c>
      <c r="K103" s="597" t="s">
        <v>751</v>
      </c>
      <c r="L103" s="599">
        <v>375.72</v>
      </c>
      <c r="M103" s="599">
        <v>4</v>
      </c>
      <c r="N103" s="600">
        <v>1502.88</v>
      </c>
    </row>
    <row r="104" spans="1:14" ht="14.4" customHeight="1" x14ac:dyDescent="0.3">
      <c r="A104" s="595" t="s">
        <v>496</v>
      </c>
      <c r="B104" s="596" t="s">
        <v>498</v>
      </c>
      <c r="C104" s="597" t="s">
        <v>516</v>
      </c>
      <c r="D104" s="598" t="s">
        <v>517</v>
      </c>
      <c r="E104" s="597" t="s">
        <v>499</v>
      </c>
      <c r="F104" s="598" t="s">
        <v>500</v>
      </c>
      <c r="G104" s="597" t="s">
        <v>518</v>
      </c>
      <c r="H104" s="597" t="s">
        <v>628</v>
      </c>
      <c r="I104" s="597" t="s">
        <v>629</v>
      </c>
      <c r="J104" s="597" t="s">
        <v>630</v>
      </c>
      <c r="K104" s="597" t="s">
        <v>631</v>
      </c>
      <c r="L104" s="599">
        <v>49.519802061961201</v>
      </c>
      <c r="M104" s="599">
        <v>1</v>
      </c>
      <c r="N104" s="600">
        <v>49.519802061961201</v>
      </c>
    </row>
    <row r="105" spans="1:14" ht="14.4" customHeight="1" x14ac:dyDescent="0.3">
      <c r="A105" s="595" t="s">
        <v>496</v>
      </c>
      <c r="B105" s="596" t="s">
        <v>498</v>
      </c>
      <c r="C105" s="597" t="s">
        <v>516</v>
      </c>
      <c r="D105" s="598" t="s">
        <v>517</v>
      </c>
      <c r="E105" s="597" t="s">
        <v>499</v>
      </c>
      <c r="F105" s="598" t="s">
        <v>500</v>
      </c>
      <c r="G105" s="597" t="s">
        <v>518</v>
      </c>
      <c r="H105" s="597" t="s">
        <v>752</v>
      </c>
      <c r="I105" s="597" t="s">
        <v>753</v>
      </c>
      <c r="J105" s="597" t="s">
        <v>754</v>
      </c>
      <c r="K105" s="597" t="s">
        <v>755</v>
      </c>
      <c r="L105" s="599">
        <v>41.61</v>
      </c>
      <c r="M105" s="599">
        <v>1</v>
      </c>
      <c r="N105" s="600">
        <v>41.61</v>
      </c>
    </row>
    <row r="106" spans="1:14" ht="14.4" customHeight="1" x14ac:dyDescent="0.3">
      <c r="A106" s="595" t="s">
        <v>496</v>
      </c>
      <c r="B106" s="596" t="s">
        <v>498</v>
      </c>
      <c r="C106" s="597" t="s">
        <v>516</v>
      </c>
      <c r="D106" s="598" t="s">
        <v>517</v>
      </c>
      <c r="E106" s="597" t="s">
        <v>499</v>
      </c>
      <c r="F106" s="598" t="s">
        <v>500</v>
      </c>
      <c r="G106" s="597" t="s">
        <v>518</v>
      </c>
      <c r="H106" s="597" t="s">
        <v>756</v>
      </c>
      <c r="I106" s="597" t="s">
        <v>757</v>
      </c>
      <c r="J106" s="597" t="s">
        <v>758</v>
      </c>
      <c r="K106" s="597" t="s">
        <v>759</v>
      </c>
      <c r="L106" s="599">
        <v>270.24</v>
      </c>
      <c r="M106" s="599">
        <v>1</v>
      </c>
      <c r="N106" s="600">
        <v>270.24</v>
      </c>
    </row>
    <row r="107" spans="1:14" ht="14.4" customHeight="1" x14ac:dyDescent="0.3">
      <c r="A107" s="595" t="s">
        <v>496</v>
      </c>
      <c r="B107" s="596" t="s">
        <v>498</v>
      </c>
      <c r="C107" s="597" t="s">
        <v>516</v>
      </c>
      <c r="D107" s="598" t="s">
        <v>517</v>
      </c>
      <c r="E107" s="597" t="s">
        <v>499</v>
      </c>
      <c r="F107" s="598" t="s">
        <v>500</v>
      </c>
      <c r="G107" s="597" t="s">
        <v>518</v>
      </c>
      <c r="H107" s="597" t="s">
        <v>760</v>
      </c>
      <c r="I107" s="597" t="s">
        <v>761</v>
      </c>
      <c r="J107" s="597" t="s">
        <v>762</v>
      </c>
      <c r="K107" s="597" t="s">
        <v>763</v>
      </c>
      <c r="L107" s="599">
        <v>1100.7299999999998</v>
      </c>
      <c r="M107" s="599">
        <v>3</v>
      </c>
      <c r="N107" s="600">
        <v>3302.1899999999996</v>
      </c>
    </row>
    <row r="108" spans="1:14" ht="14.4" customHeight="1" x14ac:dyDescent="0.3">
      <c r="A108" s="595" t="s">
        <v>496</v>
      </c>
      <c r="B108" s="596" t="s">
        <v>498</v>
      </c>
      <c r="C108" s="597" t="s">
        <v>516</v>
      </c>
      <c r="D108" s="598" t="s">
        <v>517</v>
      </c>
      <c r="E108" s="597" t="s">
        <v>499</v>
      </c>
      <c r="F108" s="598" t="s">
        <v>500</v>
      </c>
      <c r="G108" s="597" t="s">
        <v>518</v>
      </c>
      <c r="H108" s="597" t="s">
        <v>764</v>
      </c>
      <c r="I108" s="597" t="s">
        <v>765</v>
      </c>
      <c r="J108" s="597" t="s">
        <v>766</v>
      </c>
      <c r="K108" s="597" t="s">
        <v>767</v>
      </c>
      <c r="L108" s="599">
        <v>52.410000000000004</v>
      </c>
      <c r="M108" s="599">
        <v>1</v>
      </c>
      <c r="N108" s="600">
        <v>52.410000000000004</v>
      </c>
    </row>
    <row r="109" spans="1:14" ht="14.4" customHeight="1" x14ac:dyDescent="0.3">
      <c r="A109" s="595" t="s">
        <v>496</v>
      </c>
      <c r="B109" s="596" t="s">
        <v>498</v>
      </c>
      <c r="C109" s="597" t="s">
        <v>516</v>
      </c>
      <c r="D109" s="598" t="s">
        <v>517</v>
      </c>
      <c r="E109" s="597" t="s">
        <v>499</v>
      </c>
      <c r="F109" s="598" t="s">
        <v>500</v>
      </c>
      <c r="G109" s="597" t="s">
        <v>518</v>
      </c>
      <c r="H109" s="597" t="s">
        <v>768</v>
      </c>
      <c r="I109" s="597" t="s">
        <v>769</v>
      </c>
      <c r="J109" s="597" t="s">
        <v>770</v>
      </c>
      <c r="K109" s="597" t="s">
        <v>771</v>
      </c>
      <c r="L109" s="599">
        <v>59.580048092456522</v>
      </c>
      <c r="M109" s="599">
        <v>5</v>
      </c>
      <c r="N109" s="600">
        <v>297.90024046228262</v>
      </c>
    </row>
    <row r="110" spans="1:14" ht="14.4" customHeight="1" x14ac:dyDescent="0.3">
      <c r="A110" s="595" t="s">
        <v>496</v>
      </c>
      <c r="B110" s="596" t="s">
        <v>498</v>
      </c>
      <c r="C110" s="597" t="s">
        <v>516</v>
      </c>
      <c r="D110" s="598" t="s">
        <v>517</v>
      </c>
      <c r="E110" s="597" t="s">
        <v>499</v>
      </c>
      <c r="F110" s="598" t="s">
        <v>500</v>
      </c>
      <c r="G110" s="597" t="s">
        <v>518</v>
      </c>
      <c r="H110" s="597" t="s">
        <v>634</v>
      </c>
      <c r="I110" s="597" t="s">
        <v>634</v>
      </c>
      <c r="J110" s="597" t="s">
        <v>635</v>
      </c>
      <c r="K110" s="597" t="s">
        <v>636</v>
      </c>
      <c r="L110" s="599">
        <v>75.793333333333351</v>
      </c>
      <c r="M110" s="599">
        <v>3</v>
      </c>
      <c r="N110" s="600">
        <v>227.38000000000005</v>
      </c>
    </row>
    <row r="111" spans="1:14" ht="14.4" customHeight="1" x14ac:dyDescent="0.3">
      <c r="A111" s="595" t="s">
        <v>496</v>
      </c>
      <c r="B111" s="596" t="s">
        <v>498</v>
      </c>
      <c r="C111" s="597" t="s">
        <v>516</v>
      </c>
      <c r="D111" s="598" t="s">
        <v>517</v>
      </c>
      <c r="E111" s="597" t="s">
        <v>499</v>
      </c>
      <c r="F111" s="598" t="s">
        <v>500</v>
      </c>
      <c r="G111" s="597" t="s">
        <v>518</v>
      </c>
      <c r="H111" s="597" t="s">
        <v>553</v>
      </c>
      <c r="I111" s="597" t="s">
        <v>554</v>
      </c>
      <c r="J111" s="597" t="s">
        <v>555</v>
      </c>
      <c r="K111" s="597" t="s">
        <v>556</v>
      </c>
      <c r="L111" s="599">
        <v>53.520001937554397</v>
      </c>
      <c r="M111" s="599">
        <v>23</v>
      </c>
      <c r="N111" s="600">
        <v>1230.9600445637511</v>
      </c>
    </row>
    <row r="112" spans="1:14" ht="14.4" customHeight="1" x14ac:dyDescent="0.3">
      <c r="A112" s="595" t="s">
        <v>496</v>
      </c>
      <c r="B112" s="596" t="s">
        <v>498</v>
      </c>
      <c r="C112" s="597" t="s">
        <v>516</v>
      </c>
      <c r="D112" s="598" t="s">
        <v>517</v>
      </c>
      <c r="E112" s="597" t="s">
        <v>499</v>
      </c>
      <c r="F112" s="598" t="s">
        <v>500</v>
      </c>
      <c r="G112" s="597" t="s">
        <v>518</v>
      </c>
      <c r="H112" s="597" t="s">
        <v>557</v>
      </c>
      <c r="I112" s="597" t="s">
        <v>219</v>
      </c>
      <c r="J112" s="597" t="s">
        <v>558</v>
      </c>
      <c r="K112" s="597" t="s">
        <v>559</v>
      </c>
      <c r="L112" s="599">
        <v>23.7</v>
      </c>
      <c r="M112" s="599">
        <v>90</v>
      </c>
      <c r="N112" s="600">
        <v>2133</v>
      </c>
    </row>
    <row r="113" spans="1:14" ht="14.4" customHeight="1" x14ac:dyDescent="0.3">
      <c r="A113" s="595" t="s">
        <v>496</v>
      </c>
      <c r="B113" s="596" t="s">
        <v>498</v>
      </c>
      <c r="C113" s="597" t="s">
        <v>516</v>
      </c>
      <c r="D113" s="598" t="s">
        <v>517</v>
      </c>
      <c r="E113" s="597" t="s">
        <v>499</v>
      </c>
      <c r="F113" s="598" t="s">
        <v>500</v>
      </c>
      <c r="G113" s="597" t="s">
        <v>518</v>
      </c>
      <c r="H113" s="597" t="s">
        <v>560</v>
      </c>
      <c r="I113" s="597" t="s">
        <v>219</v>
      </c>
      <c r="J113" s="597" t="s">
        <v>561</v>
      </c>
      <c r="K113" s="597" t="s">
        <v>559</v>
      </c>
      <c r="L113" s="599">
        <v>24.037194261613507</v>
      </c>
      <c r="M113" s="599">
        <v>54</v>
      </c>
      <c r="N113" s="600">
        <v>1298.0084901271293</v>
      </c>
    </row>
    <row r="114" spans="1:14" ht="14.4" customHeight="1" x14ac:dyDescent="0.3">
      <c r="A114" s="595" t="s">
        <v>496</v>
      </c>
      <c r="B114" s="596" t="s">
        <v>498</v>
      </c>
      <c r="C114" s="597" t="s">
        <v>516</v>
      </c>
      <c r="D114" s="598" t="s">
        <v>517</v>
      </c>
      <c r="E114" s="597" t="s">
        <v>499</v>
      </c>
      <c r="F114" s="598" t="s">
        <v>500</v>
      </c>
      <c r="G114" s="597" t="s">
        <v>518</v>
      </c>
      <c r="H114" s="597" t="s">
        <v>772</v>
      </c>
      <c r="I114" s="597" t="s">
        <v>773</v>
      </c>
      <c r="J114" s="597" t="s">
        <v>774</v>
      </c>
      <c r="K114" s="597" t="s">
        <v>775</v>
      </c>
      <c r="L114" s="599">
        <v>22.13</v>
      </c>
      <c r="M114" s="599">
        <v>15</v>
      </c>
      <c r="N114" s="600">
        <v>331.95</v>
      </c>
    </row>
    <row r="115" spans="1:14" ht="14.4" customHeight="1" x14ac:dyDescent="0.3">
      <c r="A115" s="595" t="s">
        <v>496</v>
      </c>
      <c r="B115" s="596" t="s">
        <v>498</v>
      </c>
      <c r="C115" s="597" t="s">
        <v>516</v>
      </c>
      <c r="D115" s="598" t="s">
        <v>517</v>
      </c>
      <c r="E115" s="597" t="s">
        <v>499</v>
      </c>
      <c r="F115" s="598" t="s">
        <v>500</v>
      </c>
      <c r="G115" s="597" t="s">
        <v>518</v>
      </c>
      <c r="H115" s="597" t="s">
        <v>637</v>
      </c>
      <c r="I115" s="597" t="s">
        <v>638</v>
      </c>
      <c r="J115" s="597" t="s">
        <v>639</v>
      </c>
      <c r="K115" s="597" t="s">
        <v>640</v>
      </c>
      <c r="L115" s="599">
        <v>34.189999999999976</v>
      </c>
      <c r="M115" s="599">
        <v>1</v>
      </c>
      <c r="N115" s="600">
        <v>34.189999999999976</v>
      </c>
    </row>
    <row r="116" spans="1:14" ht="14.4" customHeight="1" x14ac:dyDescent="0.3">
      <c r="A116" s="595" t="s">
        <v>496</v>
      </c>
      <c r="B116" s="596" t="s">
        <v>498</v>
      </c>
      <c r="C116" s="597" t="s">
        <v>516</v>
      </c>
      <c r="D116" s="598" t="s">
        <v>517</v>
      </c>
      <c r="E116" s="597" t="s">
        <v>499</v>
      </c>
      <c r="F116" s="598" t="s">
        <v>500</v>
      </c>
      <c r="G116" s="597" t="s">
        <v>518</v>
      </c>
      <c r="H116" s="597" t="s">
        <v>641</v>
      </c>
      <c r="I116" s="597" t="s">
        <v>642</v>
      </c>
      <c r="J116" s="597" t="s">
        <v>643</v>
      </c>
      <c r="K116" s="597" t="s">
        <v>644</v>
      </c>
      <c r="L116" s="599">
        <v>73.912499999999994</v>
      </c>
      <c r="M116" s="599">
        <v>4</v>
      </c>
      <c r="N116" s="600">
        <v>295.64999999999998</v>
      </c>
    </row>
    <row r="117" spans="1:14" ht="14.4" customHeight="1" x14ac:dyDescent="0.3">
      <c r="A117" s="595" t="s">
        <v>496</v>
      </c>
      <c r="B117" s="596" t="s">
        <v>498</v>
      </c>
      <c r="C117" s="597" t="s">
        <v>516</v>
      </c>
      <c r="D117" s="598" t="s">
        <v>517</v>
      </c>
      <c r="E117" s="597" t="s">
        <v>499</v>
      </c>
      <c r="F117" s="598" t="s">
        <v>500</v>
      </c>
      <c r="G117" s="597" t="s">
        <v>518</v>
      </c>
      <c r="H117" s="597" t="s">
        <v>648</v>
      </c>
      <c r="I117" s="597" t="s">
        <v>649</v>
      </c>
      <c r="J117" s="597" t="s">
        <v>650</v>
      </c>
      <c r="K117" s="597"/>
      <c r="L117" s="599">
        <v>346.36610497714747</v>
      </c>
      <c r="M117" s="599">
        <v>4</v>
      </c>
      <c r="N117" s="600">
        <v>1385.4644199085899</v>
      </c>
    </row>
    <row r="118" spans="1:14" ht="14.4" customHeight="1" x14ac:dyDescent="0.3">
      <c r="A118" s="595" t="s">
        <v>496</v>
      </c>
      <c r="B118" s="596" t="s">
        <v>498</v>
      </c>
      <c r="C118" s="597" t="s">
        <v>516</v>
      </c>
      <c r="D118" s="598" t="s">
        <v>517</v>
      </c>
      <c r="E118" s="597" t="s">
        <v>499</v>
      </c>
      <c r="F118" s="598" t="s">
        <v>500</v>
      </c>
      <c r="G118" s="597" t="s">
        <v>518</v>
      </c>
      <c r="H118" s="597" t="s">
        <v>651</v>
      </c>
      <c r="I118" s="597" t="s">
        <v>219</v>
      </c>
      <c r="J118" s="597" t="s">
        <v>652</v>
      </c>
      <c r="K118" s="597"/>
      <c r="L118" s="599">
        <v>225.13202118539891</v>
      </c>
      <c r="M118" s="599">
        <v>3</v>
      </c>
      <c r="N118" s="600">
        <v>675.39606355619674</v>
      </c>
    </row>
    <row r="119" spans="1:14" ht="14.4" customHeight="1" x14ac:dyDescent="0.3">
      <c r="A119" s="595" t="s">
        <v>496</v>
      </c>
      <c r="B119" s="596" t="s">
        <v>498</v>
      </c>
      <c r="C119" s="597" t="s">
        <v>516</v>
      </c>
      <c r="D119" s="598" t="s">
        <v>517</v>
      </c>
      <c r="E119" s="597" t="s">
        <v>499</v>
      </c>
      <c r="F119" s="598" t="s">
        <v>500</v>
      </c>
      <c r="G119" s="597" t="s">
        <v>518</v>
      </c>
      <c r="H119" s="597" t="s">
        <v>776</v>
      </c>
      <c r="I119" s="597" t="s">
        <v>777</v>
      </c>
      <c r="J119" s="597" t="s">
        <v>778</v>
      </c>
      <c r="K119" s="597" t="s">
        <v>779</v>
      </c>
      <c r="L119" s="599">
        <v>35.19</v>
      </c>
      <c r="M119" s="599">
        <v>20</v>
      </c>
      <c r="N119" s="600">
        <v>703.8</v>
      </c>
    </row>
    <row r="120" spans="1:14" ht="14.4" customHeight="1" x14ac:dyDescent="0.3">
      <c r="A120" s="595" t="s">
        <v>496</v>
      </c>
      <c r="B120" s="596" t="s">
        <v>498</v>
      </c>
      <c r="C120" s="597" t="s">
        <v>516</v>
      </c>
      <c r="D120" s="598" t="s">
        <v>517</v>
      </c>
      <c r="E120" s="597" t="s">
        <v>499</v>
      </c>
      <c r="F120" s="598" t="s">
        <v>500</v>
      </c>
      <c r="G120" s="597" t="s">
        <v>518</v>
      </c>
      <c r="H120" s="597" t="s">
        <v>780</v>
      </c>
      <c r="I120" s="597" t="s">
        <v>781</v>
      </c>
      <c r="J120" s="597" t="s">
        <v>782</v>
      </c>
      <c r="K120" s="597" t="s">
        <v>644</v>
      </c>
      <c r="L120" s="599">
        <v>31.031972869504422</v>
      </c>
      <c r="M120" s="599">
        <v>5</v>
      </c>
      <c r="N120" s="600">
        <v>155.1598643475221</v>
      </c>
    </row>
    <row r="121" spans="1:14" ht="14.4" customHeight="1" x14ac:dyDescent="0.3">
      <c r="A121" s="595" t="s">
        <v>496</v>
      </c>
      <c r="B121" s="596" t="s">
        <v>498</v>
      </c>
      <c r="C121" s="597" t="s">
        <v>516</v>
      </c>
      <c r="D121" s="598" t="s">
        <v>517</v>
      </c>
      <c r="E121" s="597" t="s">
        <v>499</v>
      </c>
      <c r="F121" s="598" t="s">
        <v>500</v>
      </c>
      <c r="G121" s="597" t="s">
        <v>518</v>
      </c>
      <c r="H121" s="597" t="s">
        <v>783</v>
      </c>
      <c r="I121" s="597" t="s">
        <v>784</v>
      </c>
      <c r="J121" s="597" t="s">
        <v>785</v>
      </c>
      <c r="K121" s="597" t="s">
        <v>786</v>
      </c>
      <c r="L121" s="599">
        <v>20.11</v>
      </c>
      <c r="M121" s="599">
        <v>40</v>
      </c>
      <c r="N121" s="600">
        <v>804.4</v>
      </c>
    </row>
    <row r="122" spans="1:14" ht="14.4" customHeight="1" x14ac:dyDescent="0.3">
      <c r="A122" s="595" t="s">
        <v>496</v>
      </c>
      <c r="B122" s="596" t="s">
        <v>498</v>
      </c>
      <c r="C122" s="597" t="s">
        <v>516</v>
      </c>
      <c r="D122" s="598" t="s">
        <v>517</v>
      </c>
      <c r="E122" s="597" t="s">
        <v>499</v>
      </c>
      <c r="F122" s="598" t="s">
        <v>500</v>
      </c>
      <c r="G122" s="597" t="s">
        <v>518</v>
      </c>
      <c r="H122" s="597" t="s">
        <v>657</v>
      </c>
      <c r="I122" s="597" t="s">
        <v>658</v>
      </c>
      <c r="J122" s="597" t="s">
        <v>659</v>
      </c>
      <c r="K122" s="597" t="s">
        <v>660</v>
      </c>
      <c r="L122" s="599">
        <v>51.05</v>
      </c>
      <c r="M122" s="599">
        <v>1</v>
      </c>
      <c r="N122" s="600">
        <v>51.05</v>
      </c>
    </row>
    <row r="123" spans="1:14" ht="14.4" customHeight="1" x14ac:dyDescent="0.3">
      <c r="A123" s="595" t="s">
        <v>496</v>
      </c>
      <c r="B123" s="596" t="s">
        <v>498</v>
      </c>
      <c r="C123" s="597" t="s">
        <v>516</v>
      </c>
      <c r="D123" s="598" t="s">
        <v>517</v>
      </c>
      <c r="E123" s="597" t="s">
        <v>499</v>
      </c>
      <c r="F123" s="598" t="s">
        <v>500</v>
      </c>
      <c r="G123" s="597" t="s">
        <v>518</v>
      </c>
      <c r="H123" s="597" t="s">
        <v>661</v>
      </c>
      <c r="I123" s="597" t="s">
        <v>219</v>
      </c>
      <c r="J123" s="597" t="s">
        <v>662</v>
      </c>
      <c r="K123" s="597"/>
      <c r="L123" s="599">
        <v>51.516138417061278</v>
      </c>
      <c r="M123" s="599">
        <v>10</v>
      </c>
      <c r="N123" s="600">
        <v>515.16138417061279</v>
      </c>
    </row>
    <row r="124" spans="1:14" ht="14.4" customHeight="1" x14ac:dyDescent="0.3">
      <c r="A124" s="595" t="s">
        <v>496</v>
      </c>
      <c r="B124" s="596" t="s">
        <v>498</v>
      </c>
      <c r="C124" s="597" t="s">
        <v>516</v>
      </c>
      <c r="D124" s="598" t="s">
        <v>517</v>
      </c>
      <c r="E124" s="597" t="s">
        <v>499</v>
      </c>
      <c r="F124" s="598" t="s">
        <v>500</v>
      </c>
      <c r="G124" s="597" t="s">
        <v>518</v>
      </c>
      <c r="H124" s="597" t="s">
        <v>572</v>
      </c>
      <c r="I124" s="597" t="s">
        <v>219</v>
      </c>
      <c r="J124" s="597" t="s">
        <v>573</v>
      </c>
      <c r="K124" s="597"/>
      <c r="L124" s="599">
        <v>68.281300943205764</v>
      </c>
      <c r="M124" s="599">
        <v>45</v>
      </c>
      <c r="N124" s="600">
        <v>3072.6585424442592</v>
      </c>
    </row>
    <row r="125" spans="1:14" ht="14.4" customHeight="1" x14ac:dyDescent="0.3">
      <c r="A125" s="595" t="s">
        <v>496</v>
      </c>
      <c r="B125" s="596" t="s">
        <v>498</v>
      </c>
      <c r="C125" s="597" t="s">
        <v>516</v>
      </c>
      <c r="D125" s="598" t="s">
        <v>517</v>
      </c>
      <c r="E125" s="597" t="s">
        <v>499</v>
      </c>
      <c r="F125" s="598" t="s">
        <v>500</v>
      </c>
      <c r="G125" s="597" t="s">
        <v>518</v>
      </c>
      <c r="H125" s="597" t="s">
        <v>582</v>
      </c>
      <c r="I125" s="597" t="s">
        <v>219</v>
      </c>
      <c r="J125" s="597" t="s">
        <v>583</v>
      </c>
      <c r="K125" s="597"/>
      <c r="L125" s="599">
        <v>88.569900846320238</v>
      </c>
      <c r="M125" s="599">
        <v>8</v>
      </c>
      <c r="N125" s="600">
        <v>708.5592067705619</v>
      </c>
    </row>
    <row r="126" spans="1:14" ht="14.4" customHeight="1" x14ac:dyDescent="0.3">
      <c r="A126" s="595" t="s">
        <v>496</v>
      </c>
      <c r="B126" s="596" t="s">
        <v>498</v>
      </c>
      <c r="C126" s="597" t="s">
        <v>516</v>
      </c>
      <c r="D126" s="598" t="s">
        <v>517</v>
      </c>
      <c r="E126" s="597" t="s">
        <v>499</v>
      </c>
      <c r="F126" s="598" t="s">
        <v>500</v>
      </c>
      <c r="G126" s="597" t="s">
        <v>518</v>
      </c>
      <c r="H126" s="597" t="s">
        <v>663</v>
      </c>
      <c r="I126" s="597" t="s">
        <v>664</v>
      </c>
      <c r="J126" s="597" t="s">
        <v>665</v>
      </c>
      <c r="K126" s="597" t="s">
        <v>666</v>
      </c>
      <c r="L126" s="599">
        <v>81.650000000000006</v>
      </c>
      <c r="M126" s="599">
        <v>1</v>
      </c>
      <c r="N126" s="600">
        <v>81.650000000000006</v>
      </c>
    </row>
    <row r="127" spans="1:14" ht="14.4" customHeight="1" x14ac:dyDescent="0.3">
      <c r="A127" s="595" t="s">
        <v>496</v>
      </c>
      <c r="B127" s="596" t="s">
        <v>498</v>
      </c>
      <c r="C127" s="597" t="s">
        <v>516</v>
      </c>
      <c r="D127" s="598" t="s">
        <v>517</v>
      </c>
      <c r="E127" s="597" t="s">
        <v>499</v>
      </c>
      <c r="F127" s="598" t="s">
        <v>500</v>
      </c>
      <c r="G127" s="597" t="s">
        <v>518</v>
      </c>
      <c r="H127" s="597" t="s">
        <v>671</v>
      </c>
      <c r="I127" s="597" t="s">
        <v>219</v>
      </c>
      <c r="J127" s="597" t="s">
        <v>672</v>
      </c>
      <c r="K127" s="597"/>
      <c r="L127" s="599">
        <v>400.5199131001944</v>
      </c>
      <c r="M127" s="599">
        <v>7</v>
      </c>
      <c r="N127" s="600">
        <v>2803.6393917013606</v>
      </c>
    </row>
    <row r="128" spans="1:14" ht="14.4" customHeight="1" x14ac:dyDescent="0.3">
      <c r="A128" s="595" t="s">
        <v>496</v>
      </c>
      <c r="B128" s="596" t="s">
        <v>498</v>
      </c>
      <c r="C128" s="597" t="s">
        <v>516</v>
      </c>
      <c r="D128" s="598" t="s">
        <v>517</v>
      </c>
      <c r="E128" s="597" t="s">
        <v>499</v>
      </c>
      <c r="F128" s="598" t="s">
        <v>500</v>
      </c>
      <c r="G128" s="597" t="s">
        <v>518</v>
      </c>
      <c r="H128" s="597" t="s">
        <v>673</v>
      </c>
      <c r="I128" s="597" t="s">
        <v>219</v>
      </c>
      <c r="J128" s="597" t="s">
        <v>674</v>
      </c>
      <c r="K128" s="597"/>
      <c r="L128" s="599">
        <v>144.166</v>
      </c>
      <c r="M128" s="599">
        <v>10</v>
      </c>
      <c r="N128" s="600">
        <v>1441.6599999999999</v>
      </c>
    </row>
    <row r="129" spans="1:14" ht="14.4" customHeight="1" x14ac:dyDescent="0.3">
      <c r="A129" s="595" t="s">
        <v>496</v>
      </c>
      <c r="B129" s="596" t="s">
        <v>498</v>
      </c>
      <c r="C129" s="597" t="s">
        <v>516</v>
      </c>
      <c r="D129" s="598" t="s">
        <v>517</v>
      </c>
      <c r="E129" s="597" t="s">
        <v>499</v>
      </c>
      <c r="F129" s="598" t="s">
        <v>500</v>
      </c>
      <c r="G129" s="597" t="s">
        <v>518</v>
      </c>
      <c r="H129" s="597" t="s">
        <v>675</v>
      </c>
      <c r="I129" s="597" t="s">
        <v>219</v>
      </c>
      <c r="J129" s="597" t="s">
        <v>676</v>
      </c>
      <c r="K129" s="597"/>
      <c r="L129" s="599">
        <v>160.55103134574028</v>
      </c>
      <c r="M129" s="599">
        <v>5</v>
      </c>
      <c r="N129" s="600">
        <v>802.75515672870142</v>
      </c>
    </row>
    <row r="130" spans="1:14" ht="14.4" customHeight="1" x14ac:dyDescent="0.3">
      <c r="A130" s="595" t="s">
        <v>496</v>
      </c>
      <c r="B130" s="596" t="s">
        <v>498</v>
      </c>
      <c r="C130" s="597" t="s">
        <v>516</v>
      </c>
      <c r="D130" s="598" t="s">
        <v>517</v>
      </c>
      <c r="E130" s="597" t="s">
        <v>499</v>
      </c>
      <c r="F130" s="598" t="s">
        <v>500</v>
      </c>
      <c r="G130" s="597" t="s">
        <v>518</v>
      </c>
      <c r="H130" s="597" t="s">
        <v>679</v>
      </c>
      <c r="I130" s="597" t="s">
        <v>219</v>
      </c>
      <c r="J130" s="597" t="s">
        <v>680</v>
      </c>
      <c r="K130" s="597"/>
      <c r="L130" s="599">
        <v>116.70935185607114</v>
      </c>
      <c r="M130" s="599">
        <v>10</v>
      </c>
      <c r="N130" s="600">
        <v>1167.0935185607113</v>
      </c>
    </row>
    <row r="131" spans="1:14" ht="14.4" customHeight="1" x14ac:dyDescent="0.3">
      <c r="A131" s="595" t="s">
        <v>496</v>
      </c>
      <c r="B131" s="596" t="s">
        <v>498</v>
      </c>
      <c r="C131" s="597" t="s">
        <v>516</v>
      </c>
      <c r="D131" s="598" t="s">
        <v>517</v>
      </c>
      <c r="E131" s="597" t="s">
        <v>499</v>
      </c>
      <c r="F131" s="598" t="s">
        <v>500</v>
      </c>
      <c r="G131" s="597" t="s">
        <v>518</v>
      </c>
      <c r="H131" s="597" t="s">
        <v>787</v>
      </c>
      <c r="I131" s="597" t="s">
        <v>219</v>
      </c>
      <c r="J131" s="597" t="s">
        <v>788</v>
      </c>
      <c r="K131" s="597"/>
      <c r="L131" s="599">
        <v>495.87054741698847</v>
      </c>
      <c r="M131" s="599">
        <v>2</v>
      </c>
      <c r="N131" s="600">
        <v>991.74109483397694</v>
      </c>
    </row>
    <row r="132" spans="1:14" ht="14.4" customHeight="1" x14ac:dyDescent="0.3">
      <c r="A132" s="595" t="s">
        <v>496</v>
      </c>
      <c r="B132" s="596" t="s">
        <v>498</v>
      </c>
      <c r="C132" s="597" t="s">
        <v>516</v>
      </c>
      <c r="D132" s="598" t="s">
        <v>517</v>
      </c>
      <c r="E132" s="597" t="s">
        <v>499</v>
      </c>
      <c r="F132" s="598" t="s">
        <v>500</v>
      </c>
      <c r="G132" s="597" t="s">
        <v>518</v>
      </c>
      <c r="H132" s="597" t="s">
        <v>789</v>
      </c>
      <c r="I132" s="597" t="s">
        <v>219</v>
      </c>
      <c r="J132" s="597" t="s">
        <v>790</v>
      </c>
      <c r="K132" s="597" t="s">
        <v>791</v>
      </c>
      <c r="L132" s="599">
        <v>85.873632568194211</v>
      </c>
      <c r="M132" s="599">
        <v>1</v>
      </c>
      <c r="N132" s="600">
        <v>85.873632568194211</v>
      </c>
    </row>
    <row r="133" spans="1:14" ht="14.4" customHeight="1" x14ac:dyDescent="0.3">
      <c r="A133" s="595" t="s">
        <v>496</v>
      </c>
      <c r="B133" s="596" t="s">
        <v>498</v>
      </c>
      <c r="C133" s="597" t="s">
        <v>516</v>
      </c>
      <c r="D133" s="598" t="s">
        <v>517</v>
      </c>
      <c r="E133" s="597" t="s">
        <v>499</v>
      </c>
      <c r="F133" s="598" t="s">
        <v>500</v>
      </c>
      <c r="G133" s="597" t="s">
        <v>518</v>
      </c>
      <c r="H133" s="597" t="s">
        <v>792</v>
      </c>
      <c r="I133" s="597" t="s">
        <v>793</v>
      </c>
      <c r="J133" s="597" t="s">
        <v>794</v>
      </c>
      <c r="K133" s="597" t="s">
        <v>795</v>
      </c>
      <c r="L133" s="599">
        <v>429.56999999999994</v>
      </c>
      <c r="M133" s="599">
        <v>8</v>
      </c>
      <c r="N133" s="600">
        <v>3436.5599999999995</v>
      </c>
    </row>
    <row r="134" spans="1:14" ht="14.4" customHeight="1" x14ac:dyDescent="0.3">
      <c r="A134" s="595" t="s">
        <v>496</v>
      </c>
      <c r="B134" s="596" t="s">
        <v>498</v>
      </c>
      <c r="C134" s="597" t="s">
        <v>516</v>
      </c>
      <c r="D134" s="598" t="s">
        <v>517</v>
      </c>
      <c r="E134" s="597" t="s">
        <v>499</v>
      </c>
      <c r="F134" s="598" t="s">
        <v>500</v>
      </c>
      <c r="G134" s="597" t="s">
        <v>518</v>
      </c>
      <c r="H134" s="597" t="s">
        <v>796</v>
      </c>
      <c r="I134" s="597" t="s">
        <v>797</v>
      </c>
      <c r="J134" s="597" t="s">
        <v>798</v>
      </c>
      <c r="K134" s="597" t="s">
        <v>799</v>
      </c>
      <c r="L134" s="599">
        <v>942.17028008142699</v>
      </c>
      <c r="M134" s="599">
        <v>2</v>
      </c>
      <c r="N134" s="600">
        <v>1884.340560162854</v>
      </c>
    </row>
    <row r="135" spans="1:14" ht="14.4" customHeight="1" x14ac:dyDescent="0.3">
      <c r="A135" s="595" t="s">
        <v>496</v>
      </c>
      <c r="B135" s="596" t="s">
        <v>498</v>
      </c>
      <c r="C135" s="597" t="s">
        <v>516</v>
      </c>
      <c r="D135" s="598" t="s">
        <v>517</v>
      </c>
      <c r="E135" s="597" t="s">
        <v>499</v>
      </c>
      <c r="F135" s="598" t="s">
        <v>500</v>
      </c>
      <c r="G135" s="597" t="s">
        <v>518</v>
      </c>
      <c r="H135" s="597" t="s">
        <v>800</v>
      </c>
      <c r="I135" s="597" t="s">
        <v>800</v>
      </c>
      <c r="J135" s="597" t="s">
        <v>801</v>
      </c>
      <c r="K135" s="597" t="s">
        <v>802</v>
      </c>
      <c r="L135" s="599">
        <v>7581.8698733675974</v>
      </c>
      <c r="M135" s="599">
        <v>5</v>
      </c>
      <c r="N135" s="600">
        <v>37909.349366837989</v>
      </c>
    </row>
    <row r="136" spans="1:14" ht="14.4" customHeight="1" x14ac:dyDescent="0.3">
      <c r="A136" s="595" t="s">
        <v>496</v>
      </c>
      <c r="B136" s="596" t="s">
        <v>498</v>
      </c>
      <c r="C136" s="597" t="s">
        <v>516</v>
      </c>
      <c r="D136" s="598" t="s">
        <v>517</v>
      </c>
      <c r="E136" s="597" t="s">
        <v>499</v>
      </c>
      <c r="F136" s="598" t="s">
        <v>500</v>
      </c>
      <c r="G136" s="597" t="s">
        <v>518</v>
      </c>
      <c r="H136" s="597" t="s">
        <v>803</v>
      </c>
      <c r="I136" s="597" t="s">
        <v>804</v>
      </c>
      <c r="J136" s="597" t="s">
        <v>785</v>
      </c>
      <c r="K136" s="597" t="s">
        <v>775</v>
      </c>
      <c r="L136" s="599">
        <v>19.016926123306394</v>
      </c>
      <c r="M136" s="599">
        <v>100</v>
      </c>
      <c r="N136" s="600">
        <v>1901.6926123306393</v>
      </c>
    </row>
    <row r="137" spans="1:14" ht="14.4" customHeight="1" x14ac:dyDescent="0.3">
      <c r="A137" s="595" t="s">
        <v>496</v>
      </c>
      <c r="B137" s="596" t="s">
        <v>498</v>
      </c>
      <c r="C137" s="597" t="s">
        <v>516</v>
      </c>
      <c r="D137" s="598" t="s">
        <v>517</v>
      </c>
      <c r="E137" s="597" t="s">
        <v>499</v>
      </c>
      <c r="F137" s="598" t="s">
        <v>500</v>
      </c>
      <c r="G137" s="597" t="s">
        <v>518</v>
      </c>
      <c r="H137" s="597" t="s">
        <v>805</v>
      </c>
      <c r="I137" s="597" t="s">
        <v>806</v>
      </c>
      <c r="J137" s="597" t="s">
        <v>778</v>
      </c>
      <c r="K137" s="597" t="s">
        <v>807</v>
      </c>
      <c r="L137" s="599">
        <v>33.299999999999997</v>
      </c>
      <c r="M137" s="599">
        <v>40</v>
      </c>
      <c r="N137" s="600">
        <v>1332</v>
      </c>
    </row>
    <row r="138" spans="1:14" ht="14.4" customHeight="1" x14ac:dyDescent="0.3">
      <c r="A138" s="595" t="s">
        <v>496</v>
      </c>
      <c r="B138" s="596" t="s">
        <v>498</v>
      </c>
      <c r="C138" s="597" t="s">
        <v>516</v>
      </c>
      <c r="D138" s="598" t="s">
        <v>517</v>
      </c>
      <c r="E138" s="597" t="s">
        <v>499</v>
      </c>
      <c r="F138" s="598" t="s">
        <v>500</v>
      </c>
      <c r="G138" s="597" t="s">
        <v>518</v>
      </c>
      <c r="H138" s="597" t="s">
        <v>808</v>
      </c>
      <c r="I138" s="597" t="s">
        <v>809</v>
      </c>
      <c r="J138" s="597" t="s">
        <v>810</v>
      </c>
      <c r="K138" s="597" t="s">
        <v>811</v>
      </c>
      <c r="L138" s="599">
        <v>18186.260000000002</v>
      </c>
      <c r="M138" s="599">
        <v>4</v>
      </c>
      <c r="N138" s="600">
        <v>72745.040000000008</v>
      </c>
    </row>
    <row r="139" spans="1:14" ht="14.4" customHeight="1" x14ac:dyDescent="0.3">
      <c r="A139" s="595" t="s">
        <v>496</v>
      </c>
      <c r="B139" s="596" t="s">
        <v>498</v>
      </c>
      <c r="C139" s="597" t="s">
        <v>516</v>
      </c>
      <c r="D139" s="598" t="s">
        <v>517</v>
      </c>
      <c r="E139" s="597" t="s">
        <v>499</v>
      </c>
      <c r="F139" s="598" t="s">
        <v>500</v>
      </c>
      <c r="G139" s="597" t="s">
        <v>518</v>
      </c>
      <c r="H139" s="597" t="s">
        <v>812</v>
      </c>
      <c r="I139" s="597" t="s">
        <v>813</v>
      </c>
      <c r="J139" s="597" t="s">
        <v>814</v>
      </c>
      <c r="K139" s="597" t="s">
        <v>815</v>
      </c>
      <c r="L139" s="599">
        <v>1508.7699999999998</v>
      </c>
      <c r="M139" s="599">
        <v>3</v>
      </c>
      <c r="N139" s="600">
        <v>4526.3099999999995</v>
      </c>
    </row>
    <row r="140" spans="1:14" ht="14.4" customHeight="1" x14ac:dyDescent="0.3">
      <c r="A140" s="595" t="s">
        <v>496</v>
      </c>
      <c r="B140" s="596" t="s">
        <v>498</v>
      </c>
      <c r="C140" s="597" t="s">
        <v>516</v>
      </c>
      <c r="D140" s="598" t="s">
        <v>517</v>
      </c>
      <c r="E140" s="597" t="s">
        <v>499</v>
      </c>
      <c r="F140" s="598" t="s">
        <v>500</v>
      </c>
      <c r="G140" s="597" t="s">
        <v>518</v>
      </c>
      <c r="H140" s="597" t="s">
        <v>816</v>
      </c>
      <c r="I140" s="597" t="s">
        <v>817</v>
      </c>
      <c r="J140" s="597" t="s">
        <v>818</v>
      </c>
      <c r="K140" s="597" t="s">
        <v>819</v>
      </c>
      <c r="L140" s="599">
        <v>286.91000000000003</v>
      </c>
      <c r="M140" s="599">
        <v>7</v>
      </c>
      <c r="N140" s="600">
        <v>2008.3700000000003</v>
      </c>
    </row>
    <row r="141" spans="1:14" ht="14.4" customHeight="1" x14ac:dyDescent="0.3">
      <c r="A141" s="595" t="s">
        <v>496</v>
      </c>
      <c r="B141" s="596" t="s">
        <v>498</v>
      </c>
      <c r="C141" s="597" t="s">
        <v>516</v>
      </c>
      <c r="D141" s="598" t="s">
        <v>517</v>
      </c>
      <c r="E141" s="597" t="s">
        <v>499</v>
      </c>
      <c r="F141" s="598" t="s">
        <v>500</v>
      </c>
      <c r="G141" s="597" t="s">
        <v>518</v>
      </c>
      <c r="H141" s="597" t="s">
        <v>820</v>
      </c>
      <c r="I141" s="597" t="s">
        <v>219</v>
      </c>
      <c r="J141" s="597" t="s">
        <v>821</v>
      </c>
      <c r="K141" s="597" t="s">
        <v>822</v>
      </c>
      <c r="L141" s="599">
        <v>134.627823644242</v>
      </c>
      <c r="M141" s="599">
        <v>1</v>
      </c>
      <c r="N141" s="600">
        <v>134.627823644242</v>
      </c>
    </row>
    <row r="142" spans="1:14" ht="14.4" customHeight="1" x14ac:dyDescent="0.3">
      <c r="A142" s="595" t="s">
        <v>496</v>
      </c>
      <c r="B142" s="596" t="s">
        <v>498</v>
      </c>
      <c r="C142" s="597" t="s">
        <v>516</v>
      </c>
      <c r="D142" s="598" t="s">
        <v>517</v>
      </c>
      <c r="E142" s="597" t="s">
        <v>499</v>
      </c>
      <c r="F142" s="598" t="s">
        <v>500</v>
      </c>
      <c r="G142" s="597" t="s">
        <v>518</v>
      </c>
      <c r="H142" s="597" t="s">
        <v>823</v>
      </c>
      <c r="I142" s="597" t="s">
        <v>824</v>
      </c>
      <c r="J142" s="597" t="s">
        <v>825</v>
      </c>
      <c r="K142" s="597" t="s">
        <v>826</v>
      </c>
      <c r="L142" s="599">
        <v>2908.3600000000006</v>
      </c>
      <c r="M142" s="599">
        <v>3</v>
      </c>
      <c r="N142" s="600">
        <v>8725.0800000000017</v>
      </c>
    </row>
    <row r="143" spans="1:14" ht="14.4" customHeight="1" x14ac:dyDescent="0.3">
      <c r="A143" s="595" t="s">
        <v>496</v>
      </c>
      <c r="B143" s="596" t="s">
        <v>498</v>
      </c>
      <c r="C143" s="597" t="s">
        <v>516</v>
      </c>
      <c r="D143" s="598" t="s">
        <v>517</v>
      </c>
      <c r="E143" s="597" t="s">
        <v>499</v>
      </c>
      <c r="F143" s="598" t="s">
        <v>500</v>
      </c>
      <c r="G143" s="597" t="s">
        <v>518</v>
      </c>
      <c r="H143" s="597" t="s">
        <v>827</v>
      </c>
      <c r="I143" s="597" t="s">
        <v>219</v>
      </c>
      <c r="J143" s="597" t="s">
        <v>828</v>
      </c>
      <c r="K143" s="597"/>
      <c r="L143" s="599">
        <v>175.86107975443215</v>
      </c>
      <c r="M143" s="599">
        <v>5</v>
      </c>
      <c r="N143" s="600">
        <v>879.30539877216074</v>
      </c>
    </row>
    <row r="144" spans="1:14" ht="14.4" customHeight="1" x14ac:dyDescent="0.3">
      <c r="A144" s="595" t="s">
        <v>496</v>
      </c>
      <c r="B144" s="596" t="s">
        <v>498</v>
      </c>
      <c r="C144" s="597" t="s">
        <v>516</v>
      </c>
      <c r="D144" s="598" t="s">
        <v>517</v>
      </c>
      <c r="E144" s="597" t="s">
        <v>499</v>
      </c>
      <c r="F144" s="598" t="s">
        <v>500</v>
      </c>
      <c r="G144" s="597" t="s">
        <v>518</v>
      </c>
      <c r="H144" s="597" t="s">
        <v>829</v>
      </c>
      <c r="I144" s="597" t="s">
        <v>219</v>
      </c>
      <c r="J144" s="597" t="s">
        <v>830</v>
      </c>
      <c r="K144" s="597"/>
      <c r="L144" s="599">
        <v>252.65591584848517</v>
      </c>
      <c r="M144" s="599">
        <v>3</v>
      </c>
      <c r="N144" s="600">
        <v>757.9677475454555</v>
      </c>
    </row>
    <row r="145" spans="1:14" ht="14.4" customHeight="1" x14ac:dyDescent="0.3">
      <c r="A145" s="595" t="s">
        <v>496</v>
      </c>
      <c r="B145" s="596" t="s">
        <v>498</v>
      </c>
      <c r="C145" s="597" t="s">
        <v>516</v>
      </c>
      <c r="D145" s="598" t="s">
        <v>517</v>
      </c>
      <c r="E145" s="597" t="s">
        <v>499</v>
      </c>
      <c r="F145" s="598" t="s">
        <v>500</v>
      </c>
      <c r="G145" s="597" t="s">
        <v>518</v>
      </c>
      <c r="H145" s="597" t="s">
        <v>831</v>
      </c>
      <c r="I145" s="597" t="s">
        <v>219</v>
      </c>
      <c r="J145" s="597" t="s">
        <v>832</v>
      </c>
      <c r="K145" s="597"/>
      <c r="L145" s="599">
        <v>515.05060521286509</v>
      </c>
      <c r="M145" s="599">
        <v>1</v>
      </c>
      <c r="N145" s="600">
        <v>515.05060521286509</v>
      </c>
    </row>
    <row r="146" spans="1:14" ht="14.4" customHeight="1" x14ac:dyDescent="0.3">
      <c r="A146" s="595" t="s">
        <v>496</v>
      </c>
      <c r="B146" s="596" t="s">
        <v>498</v>
      </c>
      <c r="C146" s="597" t="s">
        <v>516</v>
      </c>
      <c r="D146" s="598" t="s">
        <v>517</v>
      </c>
      <c r="E146" s="597" t="s">
        <v>499</v>
      </c>
      <c r="F146" s="598" t="s">
        <v>500</v>
      </c>
      <c r="G146" s="597" t="s">
        <v>518</v>
      </c>
      <c r="H146" s="597" t="s">
        <v>833</v>
      </c>
      <c r="I146" s="597" t="s">
        <v>219</v>
      </c>
      <c r="J146" s="597" t="s">
        <v>834</v>
      </c>
      <c r="K146" s="597"/>
      <c r="L146" s="599">
        <v>153.25801300330926</v>
      </c>
      <c r="M146" s="599">
        <v>8</v>
      </c>
      <c r="N146" s="600">
        <v>1226.0641040264741</v>
      </c>
    </row>
    <row r="147" spans="1:14" ht="14.4" customHeight="1" x14ac:dyDescent="0.3">
      <c r="A147" s="595" t="s">
        <v>496</v>
      </c>
      <c r="B147" s="596" t="s">
        <v>498</v>
      </c>
      <c r="C147" s="597" t="s">
        <v>516</v>
      </c>
      <c r="D147" s="598" t="s">
        <v>517</v>
      </c>
      <c r="E147" s="597" t="s">
        <v>499</v>
      </c>
      <c r="F147" s="598" t="s">
        <v>500</v>
      </c>
      <c r="G147" s="597" t="s">
        <v>518</v>
      </c>
      <c r="H147" s="597" t="s">
        <v>835</v>
      </c>
      <c r="I147" s="597" t="s">
        <v>835</v>
      </c>
      <c r="J147" s="597" t="s">
        <v>836</v>
      </c>
      <c r="K147" s="597" t="s">
        <v>837</v>
      </c>
      <c r="L147" s="599">
        <v>258.75000000000006</v>
      </c>
      <c r="M147" s="599">
        <v>1</v>
      </c>
      <c r="N147" s="600">
        <v>258.75000000000006</v>
      </c>
    </row>
    <row r="148" spans="1:14" ht="14.4" customHeight="1" x14ac:dyDescent="0.3">
      <c r="A148" s="595" t="s">
        <v>496</v>
      </c>
      <c r="B148" s="596" t="s">
        <v>498</v>
      </c>
      <c r="C148" s="597" t="s">
        <v>516</v>
      </c>
      <c r="D148" s="598" t="s">
        <v>517</v>
      </c>
      <c r="E148" s="597" t="s">
        <v>499</v>
      </c>
      <c r="F148" s="598" t="s">
        <v>500</v>
      </c>
      <c r="G148" s="597" t="s">
        <v>518</v>
      </c>
      <c r="H148" s="597" t="s">
        <v>838</v>
      </c>
      <c r="I148" s="597" t="s">
        <v>219</v>
      </c>
      <c r="J148" s="597" t="s">
        <v>839</v>
      </c>
      <c r="K148" s="597"/>
      <c r="L148" s="599">
        <v>347.03999999999996</v>
      </c>
      <c r="M148" s="599">
        <v>2</v>
      </c>
      <c r="N148" s="600">
        <v>694.07999999999993</v>
      </c>
    </row>
    <row r="149" spans="1:14" ht="14.4" customHeight="1" x14ac:dyDescent="0.3">
      <c r="A149" s="595" t="s">
        <v>496</v>
      </c>
      <c r="B149" s="596" t="s">
        <v>498</v>
      </c>
      <c r="C149" s="597" t="s">
        <v>516</v>
      </c>
      <c r="D149" s="598" t="s">
        <v>517</v>
      </c>
      <c r="E149" s="597" t="s">
        <v>499</v>
      </c>
      <c r="F149" s="598" t="s">
        <v>500</v>
      </c>
      <c r="G149" s="597" t="s">
        <v>518</v>
      </c>
      <c r="H149" s="597" t="s">
        <v>840</v>
      </c>
      <c r="I149" s="597" t="s">
        <v>840</v>
      </c>
      <c r="J149" s="597" t="s">
        <v>841</v>
      </c>
      <c r="K149" s="597" t="s">
        <v>842</v>
      </c>
      <c r="L149" s="599">
        <v>285.01679999999999</v>
      </c>
      <c r="M149" s="599">
        <v>2</v>
      </c>
      <c r="N149" s="600">
        <v>570.03359999999998</v>
      </c>
    </row>
    <row r="150" spans="1:14" ht="14.4" customHeight="1" x14ac:dyDescent="0.3">
      <c r="A150" s="595" t="s">
        <v>496</v>
      </c>
      <c r="B150" s="596" t="s">
        <v>498</v>
      </c>
      <c r="C150" s="597" t="s">
        <v>516</v>
      </c>
      <c r="D150" s="598" t="s">
        <v>517</v>
      </c>
      <c r="E150" s="597" t="s">
        <v>499</v>
      </c>
      <c r="F150" s="598" t="s">
        <v>500</v>
      </c>
      <c r="G150" s="597" t="s">
        <v>518</v>
      </c>
      <c r="H150" s="597" t="s">
        <v>843</v>
      </c>
      <c r="I150" s="597" t="s">
        <v>219</v>
      </c>
      <c r="J150" s="597" t="s">
        <v>844</v>
      </c>
      <c r="K150" s="597"/>
      <c r="L150" s="599">
        <v>392.71674342502138</v>
      </c>
      <c r="M150" s="599">
        <v>6</v>
      </c>
      <c r="N150" s="600">
        <v>2356.3004605501283</v>
      </c>
    </row>
    <row r="151" spans="1:14" ht="14.4" customHeight="1" x14ac:dyDescent="0.3">
      <c r="A151" s="595" t="s">
        <v>496</v>
      </c>
      <c r="B151" s="596" t="s">
        <v>498</v>
      </c>
      <c r="C151" s="597" t="s">
        <v>516</v>
      </c>
      <c r="D151" s="598" t="s">
        <v>517</v>
      </c>
      <c r="E151" s="597" t="s">
        <v>499</v>
      </c>
      <c r="F151" s="598" t="s">
        <v>500</v>
      </c>
      <c r="G151" s="597" t="s">
        <v>518</v>
      </c>
      <c r="H151" s="597" t="s">
        <v>584</v>
      </c>
      <c r="I151" s="597" t="s">
        <v>584</v>
      </c>
      <c r="J151" s="597" t="s">
        <v>532</v>
      </c>
      <c r="K151" s="597" t="s">
        <v>585</v>
      </c>
      <c r="L151" s="599">
        <v>60.169948132426356</v>
      </c>
      <c r="M151" s="599">
        <v>8</v>
      </c>
      <c r="N151" s="600">
        <v>481.35958505941085</v>
      </c>
    </row>
    <row r="152" spans="1:14" ht="14.4" customHeight="1" x14ac:dyDescent="0.3">
      <c r="A152" s="595" t="s">
        <v>496</v>
      </c>
      <c r="B152" s="596" t="s">
        <v>498</v>
      </c>
      <c r="C152" s="597" t="s">
        <v>516</v>
      </c>
      <c r="D152" s="598" t="s">
        <v>517</v>
      </c>
      <c r="E152" s="597" t="s">
        <v>499</v>
      </c>
      <c r="F152" s="598" t="s">
        <v>500</v>
      </c>
      <c r="G152" s="597" t="s">
        <v>687</v>
      </c>
      <c r="H152" s="597" t="s">
        <v>845</v>
      </c>
      <c r="I152" s="597" t="s">
        <v>846</v>
      </c>
      <c r="J152" s="597" t="s">
        <v>847</v>
      </c>
      <c r="K152" s="597" t="s">
        <v>848</v>
      </c>
      <c r="L152" s="599">
        <v>144.53</v>
      </c>
      <c r="M152" s="599">
        <v>15</v>
      </c>
      <c r="N152" s="600">
        <v>2167.9499999999998</v>
      </c>
    </row>
    <row r="153" spans="1:14" ht="14.4" customHeight="1" x14ac:dyDescent="0.3">
      <c r="A153" s="595" t="s">
        <v>496</v>
      </c>
      <c r="B153" s="596" t="s">
        <v>498</v>
      </c>
      <c r="C153" s="597" t="s">
        <v>516</v>
      </c>
      <c r="D153" s="598" t="s">
        <v>517</v>
      </c>
      <c r="E153" s="597" t="s">
        <v>499</v>
      </c>
      <c r="F153" s="598" t="s">
        <v>500</v>
      </c>
      <c r="G153" s="597" t="s">
        <v>687</v>
      </c>
      <c r="H153" s="597" t="s">
        <v>849</v>
      </c>
      <c r="I153" s="597" t="s">
        <v>850</v>
      </c>
      <c r="J153" s="597" t="s">
        <v>851</v>
      </c>
      <c r="K153" s="597" t="s">
        <v>852</v>
      </c>
      <c r="L153" s="599">
        <v>83.879325587928548</v>
      </c>
      <c r="M153" s="599">
        <v>20</v>
      </c>
      <c r="N153" s="600">
        <v>1677.5865117585711</v>
      </c>
    </row>
    <row r="154" spans="1:14" ht="14.4" customHeight="1" x14ac:dyDescent="0.3">
      <c r="A154" s="595" t="s">
        <v>496</v>
      </c>
      <c r="B154" s="596" t="s">
        <v>498</v>
      </c>
      <c r="C154" s="597" t="s">
        <v>516</v>
      </c>
      <c r="D154" s="598" t="s">
        <v>517</v>
      </c>
      <c r="E154" s="597" t="s">
        <v>499</v>
      </c>
      <c r="F154" s="598" t="s">
        <v>500</v>
      </c>
      <c r="G154" s="597" t="s">
        <v>687</v>
      </c>
      <c r="H154" s="597" t="s">
        <v>688</v>
      </c>
      <c r="I154" s="597" t="s">
        <v>689</v>
      </c>
      <c r="J154" s="597" t="s">
        <v>690</v>
      </c>
      <c r="K154" s="597" t="s">
        <v>691</v>
      </c>
      <c r="L154" s="599">
        <v>183.96999999999997</v>
      </c>
      <c r="M154" s="599">
        <v>2</v>
      </c>
      <c r="N154" s="600">
        <v>367.93999999999994</v>
      </c>
    </row>
    <row r="155" spans="1:14" ht="14.4" customHeight="1" x14ac:dyDescent="0.3">
      <c r="A155" s="595" t="s">
        <v>496</v>
      </c>
      <c r="B155" s="596" t="s">
        <v>498</v>
      </c>
      <c r="C155" s="597" t="s">
        <v>516</v>
      </c>
      <c r="D155" s="598" t="s">
        <v>517</v>
      </c>
      <c r="E155" s="597" t="s">
        <v>501</v>
      </c>
      <c r="F155" s="598" t="s">
        <v>502</v>
      </c>
      <c r="G155" s="597" t="s">
        <v>518</v>
      </c>
      <c r="H155" s="597" t="s">
        <v>853</v>
      </c>
      <c r="I155" s="597" t="s">
        <v>854</v>
      </c>
      <c r="J155" s="597" t="s">
        <v>855</v>
      </c>
      <c r="K155" s="597" t="s">
        <v>856</v>
      </c>
      <c r="L155" s="599">
        <v>1735.0700000000002</v>
      </c>
      <c r="M155" s="599">
        <v>5</v>
      </c>
      <c r="N155" s="600">
        <v>8675.35</v>
      </c>
    </row>
    <row r="156" spans="1:14" ht="14.4" customHeight="1" x14ac:dyDescent="0.3">
      <c r="A156" s="595" t="s">
        <v>496</v>
      </c>
      <c r="B156" s="596" t="s">
        <v>498</v>
      </c>
      <c r="C156" s="597" t="s">
        <v>516</v>
      </c>
      <c r="D156" s="598" t="s">
        <v>517</v>
      </c>
      <c r="E156" s="597" t="s">
        <v>501</v>
      </c>
      <c r="F156" s="598" t="s">
        <v>502</v>
      </c>
      <c r="G156" s="597" t="s">
        <v>518</v>
      </c>
      <c r="H156" s="597" t="s">
        <v>857</v>
      </c>
      <c r="I156" s="597" t="s">
        <v>219</v>
      </c>
      <c r="J156" s="597" t="s">
        <v>858</v>
      </c>
      <c r="K156" s="597"/>
      <c r="L156" s="599">
        <v>314.86</v>
      </c>
      <c r="M156" s="599">
        <v>7</v>
      </c>
      <c r="N156" s="600">
        <v>2204.02</v>
      </c>
    </row>
    <row r="157" spans="1:14" ht="14.4" customHeight="1" x14ac:dyDescent="0.3">
      <c r="A157" s="595" t="s">
        <v>496</v>
      </c>
      <c r="B157" s="596" t="s">
        <v>498</v>
      </c>
      <c r="C157" s="597" t="s">
        <v>516</v>
      </c>
      <c r="D157" s="598" t="s">
        <v>517</v>
      </c>
      <c r="E157" s="597" t="s">
        <v>501</v>
      </c>
      <c r="F157" s="598" t="s">
        <v>502</v>
      </c>
      <c r="G157" s="597" t="s">
        <v>518</v>
      </c>
      <c r="H157" s="597" t="s">
        <v>859</v>
      </c>
      <c r="I157" s="597" t="s">
        <v>219</v>
      </c>
      <c r="J157" s="597" t="s">
        <v>860</v>
      </c>
      <c r="K157" s="597"/>
      <c r="L157" s="599">
        <v>243.01999900005899</v>
      </c>
      <c r="M157" s="599">
        <v>2</v>
      </c>
      <c r="N157" s="600">
        <v>486.03999800011798</v>
      </c>
    </row>
    <row r="158" spans="1:14" ht="14.4" customHeight="1" x14ac:dyDescent="0.3">
      <c r="A158" s="595" t="s">
        <v>496</v>
      </c>
      <c r="B158" s="596" t="s">
        <v>498</v>
      </c>
      <c r="C158" s="597" t="s">
        <v>516</v>
      </c>
      <c r="D158" s="598" t="s">
        <v>517</v>
      </c>
      <c r="E158" s="597" t="s">
        <v>501</v>
      </c>
      <c r="F158" s="598" t="s">
        <v>502</v>
      </c>
      <c r="G158" s="597" t="s">
        <v>518</v>
      </c>
      <c r="H158" s="597" t="s">
        <v>861</v>
      </c>
      <c r="I158" s="597" t="s">
        <v>219</v>
      </c>
      <c r="J158" s="597" t="s">
        <v>862</v>
      </c>
      <c r="K158" s="597"/>
      <c r="L158" s="599">
        <v>431.39</v>
      </c>
      <c r="M158" s="599">
        <v>8</v>
      </c>
      <c r="N158" s="600">
        <v>3451.12</v>
      </c>
    </row>
    <row r="159" spans="1:14" ht="14.4" customHeight="1" x14ac:dyDescent="0.3">
      <c r="A159" s="595" t="s">
        <v>496</v>
      </c>
      <c r="B159" s="596" t="s">
        <v>498</v>
      </c>
      <c r="C159" s="597" t="s">
        <v>516</v>
      </c>
      <c r="D159" s="598" t="s">
        <v>517</v>
      </c>
      <c r="E159" s="597" t="s">
        <v>501</v>
      </c>
      <c r="F159" s="598" t="s">
        <v>502</v>
      </c>
      <c r="G159" s="597" t="s">
        <v>518</v>
      </c>
      <c r="H159" s="597" t="s">
        <v>863</v>
      </c>
      <c r="I159" s="597" t="s">
        <v>219</v>
      </c>
      <c r="J159" s="597" t="s">
        <v>864</v>
      </c>
      <c r="K159" s="597" t="s">
        <v>865</v>
      </c>
      <c r="L159" s="599">
        <v>636.31999999999982</v>
      </c>
      <c r="M159" s="599">
        <v>4</v>
      </c>
      <c r="N159" s="600">
        <v>2545.2799999999993</v>
      </c>
    </row>
    <row r="160" spans="1:14" ht="14.4" customHeight="1" x14ac:dyDescent="0.3">
      <c r="A160" s="595" t="s">
        <v>496</v>
      </c>
      <c r="B160" s="596" t="s">
        <v>498</v>
      </c>
      <c r="C160" s="597" t="s">
        <v>516</v>
      </c>
      <c r="D160" s="598" t="s">
        <v>517</v>
      </c>
      <c r="E160" s="597" t="s">
        <v>501</v>
      </c>
      <c r="F160" s="598" t="s">
        <v>502</v>
      </c>
      <c r="G160" s="597" t="s">
        <v>518</v>
      </c>
      <c r="H160" s="597" t="s">
        <v>866</v>
      </c>
      <c r="I160" s="597" t="s">
        <v>219</v>
      </c>
      <c r="J160" s="597" t="s">
        <v>867</v>
      </c>
      <c r="K160" s="597" t="s">
        <v>868</v>
      </c>
      <c r="L160" s="599">
        <v>431.39</v>
      </c>
      <c r="M160" s="599">
        <v>8</v>
      </c>
      <c r="N160" s="600">
        <v>3451.12</v>
      </c>
    </row>
    <row r="161" spans="1:14" ht="14.4" customHeight="1" x14ac:dyDescent="0.3">
      <c r="A161" s="595" t="s">
        <v>496</v>
      </c>
      <c r="B161" s="596" t="s">
        <v>498</v>
      </c>
      <c r="C161" s="597" t="s">
        <v>516</v>
      </c>
      <c r="D161" s="598" t="s">
        <v>517</v>
      </c>
      <c r="E161" s="597" t="s">
        <v>501</v>
      </c>
      <c r="F161" s="598" t="s">
        <v>502</v>
      </c>
      <c r="G161" s="597" t="s">
        <v>518</v>
      </c>
      <c r="H161" s="597" t="s">
        <v>869</v>
      </c>
      <c r="I161" s="597" t="s">
        <v>219</v>
      </c>
      <c r="J161" s="597" t="s">
        <v>870</v>
      </c>
      <c r="K161" s="597"/>
      <c r="L161" s="599">
        <v>285.08999999999992</v>
      </c>
      <c r="M161" s="599">
        <v>23</v>
      </c>
      <c r="N161" s="600">
        <v>6557.0699999999979</v>
      </c>
    </row>
    <row r="162" spans="1:14" ht="14.4" customHeight="1" x14ac:dyDescent="0.3">
      <c r="A162" s="595" t="s">
        <v>496</v>
      </c>
      <c r="B162" s="596" t="s">
        <v>498</v>
      </c>
      <c r="C162" s="597" t="s">
        <v>516</v>
      </c>
      <c r="D162" s="598" t="s">
        <v>517</v>
      </c>
      <c r="E162" s="597" t="s">
        <v>501</v>
      </c>
      <c r="F162" s="598" t="s">
        <v>502</v>
      </c>
      <c r="G162" s="597" t="s">
        <v>518</v>
      </c>
      <c r="H162" s="597" t="s">
        <v>871</v>
      </c>
      <c r="I162" s="597" t="s">
        <v>219</v>
      </c>
      <c r="J162" s="597" t="s">
        <v>872</v>
      </c>
      <c r="K162" s="597"/>
      <c r="L162" s="599">
        <v>502.59999999999997</v>
      </c>
      <c r="M162" s="599">
        <v>28</v>
      </c>
      <c r="N162" s="600">
        <v>14072.8</v>
      </c>
    </row>
    <row r="163" spans="1:14" ht="14.4" customHeight="1" x14ac:dyDescent="0.3">
      <c r="A163" s="595" t="s">
        <v>496</v>
      </c>
      <c r="B163" s="596" t="s">
        <v>498</v>
      </c>
      <c r="C163" s="597" t="s">
        <v>516</v>
      </c>
      <c r="D163" s="598" t="s">
        <v>517</v>
      </c>
      <c r="E163" s="597" t="s">
        <v>501</v>
      </c>
      <c r="F163" s="598" t="s">
        <v>502</v>
      </c>
      <c r="G163" s="597" t="s">
        <v>518</v>
      </c>
      <c r="H163" s="597" t="s">
        <v>873</v>
      </c>
      <c r="I163" s="597" t="s">
        <v>874</v>
      </c>
      <c r="J163" s="597" t="s">
        <v>825</v>
      </c>
      <c r="K163" s="597" t="s">
        <v>875</v>
      </c>
      <c r="L163" s="599">
        <v>2864.47</v>
      </c>
      <c r="M163" s="599">
        <v>2</v>
      </c>
      <c r="N163" s="600">
        <v>5728.94</v>
      </c>
    </row>
    <row r="164" spans="1:14" ht="14.4" customHeight="1" x14ac:dyDescent="0.3">
      <c r="A164" s="595" t="s">
        <v>496</v>
      </c>
      <c r="B164" s="596" t="s">
        <v>498</v>
      </c>
      <c r="C164" s="597" t="s">
        <v>516</v>
      </c>
      <c r="D164" s="598" t="s">
        <v>517</v>
      </c>
      <c r="E164" s="597" t="s">
        <v>505</v>
      </c>
      <c r="F164" s="598" t="s">
        <v>506</v>
      </c>
      <c r="G164" s="597" t="s">
        <v>518</v>
      </c>
      <c r="H164" s="597" t="s">
        <v>876</v>
      </c>
      <c r="I164" s="597" t="s">
        <v>877</v>
      </c>
      <c r="J164" s="597" t="s">
        <v>878</v>
      </c>
      <c r="K164" s="597" t="s">
        <v>879</v>
      </c>
      <c r="L164" s="599">
        <v>34.927999999999997</v>
      </c>
      <c r="M164" s="599">
        <v>10</v>
      </c>
      <c r="N164" s="600">
        <v>349.28</v>
      </c>
    </row>
    <row r="165" spans="1:14" ht="14.4" customHeight="1" x14ac:dyDescent="0.3">
      <c r="A165" s="595" t="s">
        <v>496</v>
      </c>
      <c r="B165" s="596" t="s">
        <v>498</v>
      </c>
      <c r="C165" s="597" t="s">
        <v>516</v>
      </c>
      <c r="D165" s="598" t="s">
        <v>517</v>
      </c>
      <c r="E165" s="597" t="s">
        <v>505</v>
      </c>
      <c r="F165" s="598" t="s">
        <v>506</v>
      </c>
      <c r="G165" s="597" t="s">
        <v>518</v>
      </c>
      <c r="H165" s="597" t="s">
        <v>880</v>
      </c>
      <c r="I165" s="597" t="s">
        <v>881</v>
      </c>
      <c r="J165" s="597" t="s">
        <v>882</v>
      </c>
      <c r="K165" s="597" t="s">
        <v>883</v>
      </c>
      <c r="L165" s="599">
        <v>428.73097683474703</v>
      </c>
      <c r="M165" s="599">
        <v>1</v>
      </c>
      <c r="N165" s="600">
        <v>428.73097683474703</v>
      </c>
    </row>
    <row r="166" spans="1:14" ht="14.4" customHeight="1" x14ac:dyDescent="0.3">
      <c r="A166" s="595" t="s">
        <v>496</v>
      </c>
      <c r="B166" s="596" t="s">
        <v>498</v>
      </c>
      <c r="C166" s="597" t="s">
        <v>516</v>
      </c>
      <c r="D166" s="598" t="s">
        <v>517</v>
      </c>
      <c r="E166" s="597" t="s">
        <v>505</v>
      </c>
      <c r="F166" s="598" t="s">
        <v>506</v>
      </c>
      <c r="G166" s="597" t="s">
        <v>518</v>
      </c>
      <c r="H166" s="597" t="s">
        <v>594</v>
      </c>
      <c r="I166" s="597" t="s">
        <v>595</v>
      </c>
      <c r="J166" s="597" t="s">
        <v>596</v>
      </c>
      <c r="K166" s="597" t="s">
        <v>597</v>
      </c>
      <c r="L166" s="599">
        <v>147.44000000000003</v>
      </c>
      <c r="M166" s="599">
        <v>3</v>
      </c>
      <c r="N166" s="600">
        <v>442.32000000000005</v>
      </c>
    </row>
    <row r="167" spans="1:14" ht="14.4" customHeight="1" x14ac:dyDescent="0.3">
      <c r="A167" s="595" t="s">
        <v>496</v>
      </c>
      <c r="B167" s="596" t="s">
        <v>498</v>
      </c>
      <c r="C167" s="597" t="s">
        <v>516</v>
      </c>
      <c r="D167" s="598" t="s">
        <v>517</v>
      </c>
      <c r="E167" s="597" t="s">
        <v>505</v>
      </c>
      <c r="F167" s="598" t="s">
        <v>506</v>
      </c>
      <c r="G167" s="597" t="s">
        <v>518</v>
      </c>
      <c r="H167" s="597" t="s">
        <v>598</v>
      </c>
      <c r="I167" s="597" t="s">
        <v>599</v>
      </c>
      <c r="J167" s="597" t="s">
        <v>600</v>
      </c>
      <c r="K167" s="597" t="s">
        <v>601</v>
      </c>
      <c r="L167" s="599">
        <v>63.840076895646057</v>
      </c>
      <c r="M167" s="599">
        <v>9</v>
      </c>
      <c r="N167" s="600">
        <v>574.56069206081452</v>
      </c>
    </row>
    <row r="168" spans="1:14" ht="14.4" customHeight="1" x14ac:dyDescent="0.3">
      <c r="A168" s="595" t="s">
        <v>496</v>
      </c>
      <c r="B168" s="596" t="s">
        <v>498</v>
      </c>
      <c r="C168" s="597" t="s">
        <v>516</v>
      </c>
      <c r="D168" s="598" t="s">
        <v>517</v>
      </c>
      <c r="E168" s="597" t="s">
        <v>505</v>
      </c>
      <c r="F168" s="598" t="s">
        <v>506</v>
      </c>
      <c r="G168" s="597" t="s">
        <v>518</v>
      </c>
      <c r="H168" s="597" t="s">
        <v>610</v>
      </c>
      <c r="I168" s="597" t="s">
        <v>611</v>
      </c>
      <c r="J168" s="597" t="s">
        <v>612</v>
      </c>
      <c r="K168" s="597" t="s">
        <v>613</v>
      </c>
      <c r="L168" s="599">
        <v>51.36999999999999</v>
      </c>
      <c r="M168" s="599">
        <v>7</v>
      </c>
      <c r="N168" s="600">
        <v>359.58999999999992</v>
      </c>
    </row>
    <row r="169" spans="1:14" ht="14.4" customHeight="1" x14ac:dyDescent="0.3">
      <c r="A169" s="595" t="s">
        <v>496</v>
      </c>
      <c r="B169" s="596" t="s">
        <v>498</v>
      </c>
      <c r="C169" s="597" t="s">
        <v>516</v>
      </c>
      <c r="D169" s="598" t="s">
        <v>517</v>
      </c>
      <c r="E169" s="597" t="s">
        <v>505</v>
      </c>
      <c r="F169" s="598" t="s">
        <v>506</v>
      </c>
      <c r="G169" s="597" t="s">
        <v>518</v>
      </c>
      <c r="H169" s="597" t="s">
        <v>884</v>
      </c>
      <c r="I169" s="597" t="s">
        <v>884</v>
      </c>
      <c r="J169" s="597" t="s">
        <v>885</v>
      </c>
      <c r="K169" s="597" t="s">
        <v>886</v>
      </c>
      <c r="L169" s="599">
        <v>920.00000000000011</v>
      </c>
      <c r="M169" s="599">
        <v>2.2000000000000002</v>
      </c>
      <c r="N169" s="600">
        <v>2024.0000000000005</v>
      </c>
    </row>
    <row r="170" spans="1:14" ht="14.4" customHeight="1" x14ac:dyDescent="0.3">
      <c r="A170" s="595" t="s">
        <v>496</v>
      </c>
      <c r="B170" s="596" t="s">
        <v>498</v>
      </c>
      <c r="C170" s="597" t="s">
        <v>516</v>
      </c>
      <c r="D170" s="598" t="s">
        <v>517</v>
      </c>
      <c r="E170" s="597" t="s">
        <v>505</v>
      </c>
      <c r="F170" s="598" t="s">
        <v>506</v>
      </c>
      <c r="G170" s="597" t="s">
        <v>687</v>
      </c>
      <c r="H170" s="597" t="s">
        <v>887</v>
      </c>
      <c r="I170" s="597" t="s">
        <v>887</v>
      </c>
      <c r="J170" s="597" t="s">
        <v>888</v>
      </c>
      <c r="K170" s="597" t="s">
        <v>889</v>
      </c>
      <c r="L170" s="599">
        <v>1704.3799999999999</v>
      </c>
      <c r="M170" s="599">
        <v>6</v>
      </c>
      <c r="N170" s="600">
        <v>10226.279999999999</v>
      </c>
    </row>
    <row r="171" spans="1:14" ht="14.4" customHeight="1" x14ac:dyDescent="0.3">
      <c r="A171" s="595" t="s">
        <v>496</v>
      </c>
      <c r="B171" s="596" t="s">
        <v>498</v>
      </c>
      <c r="C171" s="597" t="s">
        <v>516</v>
      </c>
      <c r="D171" s="598" t="s">
        <v>517</v>
      </c>
      <c r="E171" s="597" t="s">
        <v>505</v>
      </c>
      <c r="F171" s="598" t="s">
        <v>506</v>
      </c>
      <c r="G171" s="597" t="s">
        <v>687</v>
      </c>
      <c r="H171" s="597" t="s">
        <v>890</v>
      </c>
      <c r="I171" s="597" t="s">
        <v>891</v>
      </c>
      <c r="J171" s="597" t="s">
        <v>892</v>
      </c>
      <c r="K171" s="597" t="s">
        <v>893</v>
      </c>
      <c r="L171" s="599">
        <v>46.20632696697794</v>
      </c>
      <c r="M171" s="599">
        <v>25</v>
      </c>
      <c r="N171" s="600">
        <v>1155.1581741744485</v>
      </c>
    </row>
    <row r="172" spans="1:14" ht="14.4" customHeight="1" x14ac:dyDescent="0.3">
      <c r="A172" s="595" t="s">
        <v>496</v>
      </c>
      <c r="B172" s="596" t="s">
        <v>498</v>
      </c>
      <c r="C172" s="597" t="s">
        <v>516</v>
      </c>
      <c r="D172" s="598" t="s">
        <v>517</v>
      </c>
      <c r="E172" s="597" t="s">
        <v>505</v>
      </c>
      <c r="F172" s="598" t="s">
        <v>506</v>
      </c>
      <c r="G172" s="597" t="s">
        <v>687</v>
      </c>
      <c r="H172" s="597" t="s">
        <v>692</v>
      </c>
      <c r="I172" s="597" t="s">
        <v>692</v>
      </c>
      <c r="J172" s="597" t="s">
        <v>693</v>
      </c>
      <c r="K172" s="597" t="s">
        <v>694</v>
      </c>
      <c r="L172" s="599">
        <v>46</v>
      </c>
      <c r="M172" s="599">
        <v>4</v>
      </c>
      <c r="N172" s="600">
        <v>184</v>
      </c>
    </row>
    <row r="173" spans="1:14" ht="14.4" customHeight="1" x14ac:dyDescent="0.3">
      <c r="A173" s="595" t="s">
        <v>496</v>
      </c>
      <c r="B173" s="596" t="s">
        <v>498</v>
      </c>
      <c r="C173" s="597" t="s">
        <v>516</v>
      </c>
      <c r="D173" s="598" t="s">
        <v>517</v>
      </c>
      <c r="E173" s="597" t="s">
        <v>505</v>
      </c>
      <c r="F173" s="598" t="s">
        <v>506</v>
      </c>
      <c r="G173" s="597" t="s">
        <v>687</v>
      </c>
      <c r="H173" s="597" t="s">
        <v>894</v>
      </c>
      <c r="I173" s="597" t="s">
        <v>895</v>
      </c>
      <c r="J173" s="597" t="s">
        <v>896</v>
      </c>
      <c r="K173" s="597" t="s">
        <v>897</v>
      </c>
      <c r="L173" s="599">
        <v>448.89651096922273</v>
      </c>
      <c r="M173" s="599">
        <v>40</v>
      </c>
      <c r="N173" s="600">
        <v>17955.860438768908</v>
      </c>
    </row>
    <row r="174" spans="1:14" ht="14.4" customHeight="1" x14ac:dyDescent="0.3">
      <c r="A174" s="595" t="s">
        <v>496</v>
      </c>
      <c r="B174" s="596" t="s">
        <v>498</v>
      </c>
      <c r="C174" s="597" t="s">
        <v>516</v>
      </c>
      <c r="D174" s="598" t="s">
        <v>517</v>
      </c>
      <c r="E174" s="597" t="s">
        <v>505</v>
      </c>
      <c r="F174" s="598" t="s">
        <v>506</v>
      </c>
      <c r="G174" s="597" t="s">
        <v>687</v>
      </c>
      <c r="H174" s="597" t="s">
        <v>898</v>
      </c>
      <c r="I174" s="597" t="s">
        <v>899</v>
      </c>
      <c r="J174" s="597" t="s">
        <v>900</v>
      </c>
      <c r="K174" s="597" t="s">
        <v>901</v>
      </c>
      <c r="L174" s="599">
        <v>106.77</v>
      </c>
      <c r="M174" s="599">
        <v>1</v>
      </c>
      <c r="N174" s="600">
        <v>106.77</v>
      </c>
    </row>
    <row r="175" spans="1:14" ht="14.4" customHeight="1" x14ac:dyDescent="0.3">
      <c r="A175" s="595" t="s">
        <v>496</v>
      </c>
      <c r="B175" s="596" t="s">
        <v>498</v>
      </c>
      <c r="C175" s="597" t="s">
        <v>516</v>
      </c>
      <c r="D175" s="598" t="s">
        <v>517</v>
      </c>
      <c r="E175" s="597" t="s">
        <v>507</v>
      </c>
      <c r="F175" s="598" t="s">
        <v>508</v>
      </c>
      <c r="G175" s="597" t="s">
        <v>518</v>
      </c>
      <c r="H175" s="597" t="s">
        <v>902</v>
      </c>
      <c r="I175" s="597" t="s">
        <v>903</v>
      </c>
      <c r="J175" s="597" t="s">
        <v>904</v>
      </c>
      <c r="K175" s="597" t="s">
        <v>905</v>
      </c>
      <c r="L175" s="599">
        <v>89.03</v>
      </c>
      <c r="M175" s="599">
        <v>1</v>
      </c>
      <c r="N175" s="600">
        <v>89.03</v>
      </c>
    </row>
    <row r="176" spans="1:14" ht="14.4" customHeight="1" x14ac:dyDescent="0.3">
      <c r="A176" s="595" t="s">
        <v>496</v>
      </c>
      <c r="B176" s="596" t="s">
        <v>498</v>
      </c>
      <c r="C176" s="597" t="s">
        <v>516</v>
      </c>
      <c r="D176" s="598" t="s">
        <v>517</v>
      </c>
      <c r="E176" s="597" t="s">
        <v>507</v>
      </c>
      <c r="F176" s="598" t="s">
        <v>508</v>
      </c>
      <c r="G176" s="597" t="s">
        <v>518</v>
      </c>
      <c r="H176" s="597" t="s">
        <v>618</v>
      </c>
      <c r="I176" s="597" t="s">
        <v>619</v>
      </c>
      <c r="J176" s="597" t="s">
        <v>620</v>
      </c>
      <c r="K176" s="597" t="s">
        <v>621</v>
      </c>
      <c r="L176" s="599">
        <v>90.413162075607531</v>
      </c>
      <c r="M176" s="599">
        <v>3</v>
      </c>
      <c r="N176" s="600">
        <v>271.23948622682258</v>
      </c>
    </row>
    <row r="177" spans="1:14" ht="14.4" customHeight="1" x14ac:dyDescent="0.3">
      <c r="A177" s="595" t="s">
        <v>496</v>
      </c>
      <c r="B177" s="596" t="s">
        <v>498</v>
      </c>
      <c r="C177" s="597" t="s">
        <v>516</v>
      </c>
      <c r="D177" s="598" t="s">
        <v>517</v>
      </c>
      <c r="E177" s="597" t="s">
        <v>503</v>
      </c>
      <c r="F177" s="598" t="s">
        <v>504</v>
      </c>
      <c r="G177" s="597"/>
      <c r="H177" s="597"/>
      <c r="I177" s="597" t="s">
        <v>906</v>
      </c>
      <c r="J177" s="597" t="s">
        <v>907</v>
      </c>
      <c r="K177" s="597"/>
      <c r="L177" s="599">
        <v>2907</v>
      </c>
      <c r="M177" s="599">
        <v>2</v>
      </c>
      <c r="N177" s="600">
        <v>5814</v>
      </c>
    </row>
    <row r="178" spans="1:14" ht="14.4" customHeight="1" x14ac:dyDescent="0.3">
      <c r="A178" s="595" t="s">
        <v>496</v>
      </c>
      <c r="B178" s="596" t="s">
        <v>498</v>
      </c>
      <c r="C178" s="597" t="s">
        <v>516</v>
      </c>
      <c r="D178" s="598" t="s">
        <v>517</v>
      </c>
      <c r="E178" s="597" t="s">
        <v>503</v>
      </c>
      <c r="F178" s="598" t="s">
        <v>504</v>
      </c>
      <c r="G178" s="597"/>
      <c r="H178" s="597"/>
      <c r="I178" s="597" t="s">
        <v>908</v>
      </c>
      <c r="J178" s="597" t="s">
        <v>909</v>
      </c>
      <c r="K178" s="597"/>
      <c r="L178" s="599">
        <v>1242</v>
      </c>
      <c r="M178" s="599">
        <v>1</v>
      </c>
      <c r="N178" s="600">
        <v>1242</v>
      </c>
    </row>
    <row r="179" spans="1:14" ht="14.4" customHeight="1" thickBot="1" x14ac:dyDescent="0.35">
      <c r="A179" s="601" t="s">
        <v>496</v>
      </c>
      <c r="B179" s="602" t="s">
        <v>498</v>
      </c>
      <c r="C179" s="603" t="s">
        <v>516</v>
      </c>
      <c r="D179" s="604" t="s">
        <v>517</v>
      </c>
      <c r="E179" s="603" t="s">
        <v>503</v>
      </c>
      <c r="F179" s="604" t="s">
        <v>504</v>
      </c>
      <c r="G179" s="603"/>
      <c r="H179" s="603"/>
      <c r="I179" s="603" t="s">
        <v>910</v>
      </c>
      <c r="J179" s="603" t="s">
        <v>911</v>
      </c>
      <c r="K179" s="603"/>
      <c r="L179" s="605">
        <v>143.64000000000001</v>
      </c>
      <c r="M179" s="605">
        <v>10</v>
      </c>
      <c r="N179" s="606">
        <v>1436.4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6" customWidth="1"/>
    <col min="2" max="2" width="10" style="327" customWidth="1"/>
    <col min="3" max="3" width="5.5546875" style="330" customWidth="1"/>
    <col min="4" max="4" width="10" style="327" customWidth="1"/>
    <col min="5" max="5" width="5.5546875" style="330" customWidth="1"/>
    <col min="6" max="6" width="10" style="327" customWidth="1"/>
    <col min="7" max="16384" width="8.88671875" style="246"/>
  </cols>
  <sheetData>
    <row r="1" spans="1:6" ht="37.200000000000003" customHeight="1" thickBot="1" x14ac:dyDescent="0.4">
      <c r="A1" s="476" t="s">
        <v>188</v>
      </c>
      <c r="B1" s="477"/>
      <c r="C1" s="477"/>
      <c r="D1" s="477"/>
      <c r="E1" s="477"/>
      <c r="F1" s="477"/>
    </row>
    <row r="2" spans="1:6" ht="14.4" customHeight="1" thickBot="1" x14ac:dyDescent="0.35">
      <c r="A2" s="369" t="s">
        <v>271</v>
      </c>
      <c r="B2" s="67"/>
      <c r="C2" s="68"/>
      <c r="D2" s="69"/>
      <c r="E2" s="68"/>
      <c r="F2" s="69"/>
    </row>
    <row r="3" spans="1:6" ht="14.4" customHeight="1" thickBot="1" x14ac:dyDescent="0.35">
      <c r="A3" s="202"/>
      <c r="B3" s="478" t="s">
        <v>147</v>
      </c>
      <c r="C3" s="479"/>
      <c r="D3" s="480" t="s">
        <v>146</v>
      </c>
      <c r="E3" s="479"/>
      <c r="F3" s="96" t="s">
        <v>6</v>
      </c>
    </row>
    <row r="4" spans="1:6" ht="14.4" customHeight="1" thickBot="1" x14ac:dyDescent="0.35">
      <c r="A4" s="607" t="s">
        <v>170</v>
      </c>
      <c r="B4" s="608" t="s">
        <v>17</v>
      </c>
      <c r="C4" s="609" t="s">
        <v>5</v>
      </c>
      <c r="D4" s="608" t="s">
        <v>17</v>
      </c>
      <c r="E4" s="609" t="s">
        <v>5</v>
      </c>
      <c r="F4" s="610" t="s">
        <v>17</v>
      </c>
    </row>
    <row r="5" spans="1:6" ht="14.4" customHeight="1" x14ac:dyDescent="0.3">
      <c r="A5" s="622" t="s">
        <v>912</v>
      </c>
      <c r="B5" s="593">
        <v>804.26</v>
      </c>
      <c r="C5" s="611">
        <v>2.3213777168843302E-2</v>
      </c>
      <c r="D5" s="593">
        <v>33841.54512470193</v>
      </c>
      <c r="E5" s="611">
        <v>0.97678622283115668</v>
      </c>
      <c r="F5" s="594">
        <v>34645.805124701932</v>
      </c>
    </row>
    <row r="6" spans="1:6" ht="14.4" customHeight="1" thickBot="1" x14ac:dyDescent="0.35">
      <c r="A6" s="623" t="s">
        <v>913</v>
      </c>
      <c r="B6" s="614"/>
      <c r="C6" s="615">
        <v>0</v>
      </c>
      <c r="D6" s="614">
        <v>276.14999999999998</v>
      </c>
      <c r="E6" s="615">
        <v>1</v>
      </c>
      <c r="F6" s="616">
        <v>276.14999999999998</v>
      </c>
    </row>
    <row r="7" spans="1:6" ht="14.4" customHeight="1" thickBot="1" x14ac:dyDescent="0.35">
      <c r="A7" s="618" t="s">
        <v>6</v>
      </c>
      <c r="B7" s="619">
        <v>804.26</v>
      </c>
      <c r="C7" s="620">
        <v>2.3030211141618163E-2</v>
      </c>
      <c r="D7" s="619">
        <v>34117.695124701931</v>
      </c>
      <c r="E7" s="620">
        <v>0.97696978885838182</v>
      </c>
      <c r="F7" s="621">
        <v>34921.955124701934</v>
      </c>
    </row>
    <row r="8" spans="1:6" ht="14.4" customHeight="1" thickBot="1" x14ac:dyDescent="0.35"/>
    <row r="9" spans="1:6" ht="14.4" customHeight="1" x14ac:dyDescent="0.3">
      <c r="A9" s="622" t="s">
        <v>914</v>
      </c>
      <c r="B9" s="593">
        <v>454.98</v>
      </c>
      <c r="C9" s="611">
        <v>1</v>
      </c>
      <c r="D9" s="593"/>
      <c r="E9" s="611">
        <v>0</v>
      </c>
      <c r="F9" s="594">
        <v>454.98</v>
      </c>
    </row>
    <row r="10" spans="1:6" ht="14.4" customHeight="1" x14ac:dyDescent="0.3">
      <c r="A10" s="625" t="s">
        <v>915</v>
      </c>
      <c r="B10" s="599">
        <v>349.28</v>
      </c>
      <c r="C10" s="612">
        <v>1</v>
      </c>
      <c r="D10" s="599"/>
      <c r="E10" s="612">
        <v>0</v>
      </c>
      <c r="F10" s="600">
        <v>349.28</v>
      </c>
    </row>
    <row r="11" spans="1:6" ht="14.4" customHeight="1" x14ac:dyDescent="0.3">
      <c r="A11" s="625" t="s">
        <v>916</v>
      </c>
      <c r="B11" s="599"/>
      <c r="C11" s="612">
        <v>0</v>
      </c>
      <c r="D11" s="599">
        <v>17955.860438768908</v>
      </c>
      <c r="E11" s="612">
        <v>1</v>
      </c>
      <c r="F11" s="600">
        <v>17955.860438768908</v>
      </c>
    </row>
    <row r="12" spans="1:6" ht="14.4" customHeight="1" x14ac:dyDescent="0.3">
      <c r="A12" s="625" t="s">
        <v>917</v>
      </c>
      <c r="B12" s="599"/>
      <c r="C12" s="612">
        <v>0</v>
      </c>
      <c r="D12" s="599">
        <v>2167.9499999999998</v>
      </c>
      <c r="E12" s="612">
        <v>1</v>
      </c>
      <c r="F12" s="600">
        <v>2167.9499999999998</v>
      </c>
    </row>
    <row r="13" spans="1:6" ht="14.4" customHeight="1" x14ac:dyDescent="0.3">
      <c r="A13" s="625" t="s">
        <v>918</v>
      </c>
      <c r="B13" s="599"/>
      <c r="C13" s="612">
        <v>0</v>
      </c>
      <c r="D13" s="599">
        <v>1677.5865117585711</v>
      </c>
      <c r="E13" s="612">
        <v>1</v>
      </c>
      <c r="F13" s="600">
        <v>1677.5865117585711</v>
      </c>
    </row>
    <row r="14" spans="1:6" ht="14.4" customHeight="1" x14ac:dyDescent="0.3">
      <c r="A14" s="625" t="s">
        <v>919</v>
      </c>
      <c r="B14" s="599"/>
      <c r="C14" s="612">
        <v>0</v>
      </c>
      <c r="D14" s="599">
        <v>552.08999999999992</v>
      </c>
      <c r="E14" s="612">
        <v>1</v>
      </c>
      <c r="F14" s="600">
        <v>552.08999999999992</v>
      </c>
    </row>
    <row r="15" spans="1:6" ht="14.4" customHeight="1" x14ac:dyDescent="0.3">
      <c r="A15" s="625" t="s">
        <v>920</v>
      </c>
      <c r="B15" s="599"/>
      <c r="C15" s="612">
        <v>0</v>
      </c>
      <c r="D15" s="599">
        <v>1261.9281741744485</v>
      </c>
      <c r="E15" s="612">
        <v>1</v>
      </c>
      <c r="F15" s="600">
        <v>1261.9281741744485</v>
      </c>
    </row>
    <row r="16" spans="1:6" ht="14.4" customHeight="1" x14ac:dyDescent="0.3">
      <c r="A16" s="625" t="s">
        <v>921</v>
      </c>
      <c r="B16" s="599"/>
      <c r="C16" s="612">
        <v>0</v>
      </c>
      <c r="D16" s="599">
        <v>276</v>
      </c>
      <c r="E16" s="612">
        <v>1</v>
      </c>
      <c r="F16" s="600">
        <v>276</v>
      </c>
    </row>
    <row r="17" spans="1:6" ht="14.4" customHeight="1" thickBot="1" x14ac:dyDescent="0.35">
      <c r="A17" s="623" t="s">
        <v>922</v>
      </c>
      <c r="B17" s="614"/>
      <c r="C17" s="615">
        <v>0</v>
      </c>
      <c r="D17" s="614">
        <v>10226.279999999999</v>
      </c>
      <c r="E17" s="615">
        <v>1</v>
      </c>
      <c r="F17" s="616">
        <v>10226.279999999999</v>
      </c>
    </row>
    <row r="18" spans="1:6" ht="14.4" customHeight="1" thickBot="1" x14ac:dyDescent="0.35">
      <c r="A18" s="618" t="s">
        <v>6</v>
      </c>
      <c r="B18" s="619">
        <v>804.26</v>
      </c>
      <c r="C18" s="620">
        <v>2.3030211141618174E-2</v>
      </c>
      <c r="D18" s="619">
        <v>34117.695124701924</v>
      </c>
      <c r="E18" s="620">
        <v>0.97696978885838193</v>
      </c>
      <c r="F18" s="621">
        <v>34921.955124701919</v>
      </c>
    </row>
  </sheetData>
  <mergeCells count="3">
    <mergeCell ref="A1:F1"/>
    <mergeCell ref="B3:C3"/>
    <mergeCell ref="D3:E3"/>
  </mergeCells>
  <conditionalFormatting sqref="C5:C1048576">
    <cfRule type="cellIs" dxfId="3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2014-03-27T10:19:05Z</dcterms:modified>
</cp:coreProperties>
</file>