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36" i="371" l="1"/>
  <c r="U36" i="371"/>
  <c r="T36" i="371"/>
  <c r="S36" i="371"/>
  <c r="R36" i="371"/>
  <c r="Q36" i="371"/>
  <c r="V35" i="371"/>
  <c r="U35" i="371"/>
  <c r="T35" i="371"/>
  <c r="S35" i="371"/>
  <c r="R35" i="371"/>
  <c r="Q35" i="371"/>
  <c r="T34" i="371"/>
  <c r="S34" i="371"/>
  <c r="V34" i="371" s="1"/>
  <c r="R34" i="371"/>
  <c r="Q34" i="371"/>
  <c r="U33" i="371"/>
  <c r="T33" i="371"/>
  <c r="V33" i="371" s="1"/>
  <c r="S33" i="371"/>
  <c r="R33" i="371"/>
  <c r="Q33" i="371"/>
  <c r="T32" i="371"/>
  <c r="S32" i="371"/>
  <c r="V32" i="371" s="1"/>
  <c r="R32" i="371"/>
  <c r="Q32" i="371"/>
  <c r="U31" i="371"/>
  <c r="T31" i="371"/>
  <c r="V31" i="371" s="1"/>
  <c r="S31" i="371"/>
  <c r="R31" i="371"/>
  <c r="Q31" i="371"/>
  <c r="T30" i="371"/>
  <c r="S30" i="371"/>
  <c r="V30" i="371" s="1"/>
  <c r="R30" i="371"/>
  <c r="Q30" i="371"/>
  <c r="U29" i="371"/>
  <c r="T29" i="371"/>
  <c r="V29" i="371" s="1"/>
  <c r="S29" i="371"/>
  <c r="R29" i="371"/>
  <c r="Q29" i="371"/>
  <c r="T28" i="371"/>
  <c r="S28" i="371"/>
  <c r="V28" i="371" s="1"/>
  <c r="R28" i="371"/>
  <c r="Q28" i="371"/>
  <c r="V27" i="371"/>
  <c r="U27" i="371"/>
  <c r="T27" i="371"/>
  <c r="S27" i="371"/>
  <c r="R27" i="371"/>
  <c r="Q27" i="371"/>
  <c r="T26" i="371"/>
  <c r="S26" i="371"/>
  <c r="V26" i="371" s="1"/>
  <c r="R26" i="371"/>
  <c r="Q26" i="371"/>
  <c r="V25" i="371"/>
  <c r="U25" i="371"/>
  <c r="T25" i="371"/>
  <c r="S25" i="371"/>
  <c r="R25" i="371"/>
  <c r="Q25" i="371"/>
  <c r="T24" i="371"/>
  <c r="S24" i="371"/>
  <c r="V24" i="371" s="1"/>
  <c r="R24" i="371"/>
  <c r="Q24" i="371"/>
  <c r="U23" i="371"/>
  <c r="T23" i="371"/>
  <c r="V23" i="371" s="1"/>
  <c r="S23" i="371"/>
  <c r="R23" i="371"/>
  <c r="Q23" i="371"/>
  <c r="T22" i="371"/>
  <c r="S22" i="371"/>
  <c r="V22" i="371" s="1"/>
  <c r="R22" i="371"/>
  <c r="Q22" i="371"/>
  <c r="V21" i="371"/>
  <c r="U21" i="371"/>
  <c r="T21" i="371"/>
  <c r="S21" i="371"/>
  <c r="R21" i="371"/>
  <c r="Q21" i="371"/>
  <c r="T20" i="371"/>
  <c r="S20" i="371"/>
  <c r="V20" i="371" s="1"/>
  <c r="R20" i="371"/>
  <c r="Q20" i="371"/>
  <c r="U19" i="371"/>
  <c r="T19" i="371"/>
  <c r="V19" i="371" s="1"/>
  <c r="S19" i="371"/>
  <c r="R19" i="371"/>
  <c r="Q19" i="371"/>
  <c r="T18" i="371"/>
  <c r="S18" i="371"/>
  <c r="V18" i="371" s="1"/>
  <c r="R18" i="371"/>
  <c r="Q18" i="371"/>
  <c r="U17" i="371"/>
  <c r="T17" i="371"/>
  <c r="V17" i="371" s="1"/>
  <c r="S17" i="371"/>
  <c r="R17" i="371"/>
  <c r="Q17" i="371"/>
  <c r="T16" i="371"/>
  <c r="S16" i="371"/>
  <c r="V16" i="371" s="1"/>
  <c r="R16" i="371"/>
  <c r="Q16" i="371"/>
  <c r="U15" i="371"/>
  <c r="T15" i="371"/>
  <c r="V15" i="371" s="1"/>
  <c r="S15" i="371"/>
  <c r="R15" i="371"/>
  <c r="Q15" i="371"/>
  <c r="T14" i="371"/>
  <c r="S14" i="371"/>
  <c r="V14" i="371" s="1"/>
  <c r="R14" i="371"/>
  <c r="Q14" i="371"/>
  <c r="U13" i="371"/>
  <c r="T13" i="371"/>
  <c r="V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T10" i="371"/>
  <c r="S10" i="371"/>
  <c r="V10" i="371" s="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T6" i="371"/>
  <c r="S6" i="371"/>
  <c r="V6" i="371" s="1"/>
  <c r="R6" i="371"/>
  <c r="Q6" i="371"/>
  <c r="U5" i="371"/>
  <c r="T5" i="371"/>
  <c r="V5" i="371" s="1"/>
  <c r="S5" i="371"/>
  <c r="R5" i="371"/>
  <c r="Q5" i="371"/>
  <c r="U6" i="371" l="1"/>
  <c r="U10" i="371"/>
  <c r="U14" i="371"/>
  <c r="U16" i="371"/>
  <c r="U18" i="371"/>
  <c r="U20" i="371"/>
  <c r="U22" i="371"/>
  <c r="U24" i="371"/>
  <c r="U26" i="371"/>
  <c r="U28" i="371"/>
  <c r="U30" i="371"/>
  <c r="U32" i="371"/>
  <c r="U34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D4" i="414"/>
  <c r="D17" i="414"/>
  <c r="D14" i="414"/>
  <c r="C17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2" i="340" l="1"/>
  <c r="B13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<sst xmlns="http://schemas.openxmlformats.org/spreadsheetml/2006/main" count="6241" uniqueCount="1868">
  <si>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</si>
  <si>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</si>
  <si>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</si>
  <si>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</si>
  <si>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</si>
  <si>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</si>
  <si>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</si>
  <si>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</si>
  <si>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</si>
  <si>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</si>
  <si>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</si>
  <si>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</si>
  <si>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</si>
  <si>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</si>
  <si>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</si>
  <si>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</si>
  <si>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</si>
  <si>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</si>
  <si>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</si>
  <si>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</si>
  <si>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</si>
  <si>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</si>
  <si>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</si>
  <si>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</si>
  <si>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</si>
  <si>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</si>
  <si>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</si>
  <si>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</si>
  <si>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</si>
  <si>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</si>
  <si>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</si>
  <si>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</si>
  <si>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</si>
  <si>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</si>
  <si>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</si>
  <si>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</si>
  <si>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</si>
  <si>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</si>
  <si>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</si>
  <si>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</si>
  <si>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</si>
  <si>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</si>
  <si>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</si>
  <si>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</si>
  <si>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</si>
  <si>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</si>
  <si>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</si>
  <si>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</si>
  <si>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</si>
  <si>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</si>
  <si>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</si>
  <si>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</si>
  <si>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</si>
  <si>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</si>
  <si>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</si>
  <si>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</si>
  <si>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</si>
  <si>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</si>
  <si>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</si>
  <si>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</si>
  <si>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</si>
  <si>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</si>
  <si>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</si>
  <si>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</si>
  <si>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</si>
  <si>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</si>
  <si>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</si>
  <si>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</si>
  <si>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</si>
  <si>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</si>
  <si>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</si>
  <si>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</si>
  <si>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</si>
  <si>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</si>
  <si>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</si>
  <si>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</si>
  <si>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</si>
  <si>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</si>
  <si>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</si>
  <si>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</si>
  <si>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</si>
  <si>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</si>
  <si>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</si>
  <si>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</si>
  <si>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</si>
  <si>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</si>
  <si>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</si>
  <si>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</si>
  <si>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</si>
  <si>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</si>
  <si>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</si>
  <si>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</si>
  <si>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</si>
  <si>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</si>
  <si>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</si>
  <si>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</si>
  <si>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</si>
  <si>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</si>
  <si>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</si>
  <si>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</si>
  <si>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</si>
  <si>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</si>
  <si>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</si>
  <si>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</si>
  <si>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</si>
  <si>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</si>
  <si>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</si>
  <si>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</si>
  <si>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</si>
  <si>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</si>
  <si>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</si>
  <si>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</si>
  <si>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</si>
  <si>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</si>
  <si>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</si>
  <si>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</si>
  <si>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</si>
  <si>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</si>
  <si>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</si>
  <si>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</si>
  <si>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</si>
  <si>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</si>
  <si>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</si>
  <si>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</si>
  <si>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</si>
  <si>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</si>
  <si>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</si>
  <si>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</si>
  <si>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</si>
  <si>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</si>
  <si>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</si>
  <si>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</si>
  <si>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</si>
  <si>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</si>
  <si>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</si>
  <si>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</si>
  <si>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</si>
  <si>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</si>
  <si>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</si>
  <si>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</si>
  <si>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</si>
  <si>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</si>
  <si>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</si>
  <si>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</si>
  <si>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</si>
  <si>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</si>
  <si>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</si>
  <si>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</si>
  <si>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</si>
  <si>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</si>
  <si>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</si>
  <si>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</si>
  <si>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</si>
  <si>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</si>
  <si>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</si>
  <si>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</si>
  <si>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</si>
  <si>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</si>
  <si>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</si>
  <si>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</si>
  <si>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</si>
  <si>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</si>
  <si>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</si>
  <si>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</si>
  <si>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</si>
  <si>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</si>
  <si>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</si>
  <si>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</si>
  <si>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</si>
  <si>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</si>
  <si>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</si>
  <si>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</si>
  <si>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</si>
  <si>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</si>
  <si>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</si>
  <si>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</si>
  <si>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</si>
  <si>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</si>
  <si>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</si>
  <si>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</si>
  <si>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</si>
  <si>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</si>
  <si>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</si>
  <si>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</si>
  <si>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</si>
  <si>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</si>
  <si>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</si>
  <si>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</si>
  <si>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</si>
  <si>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</si>
  <si>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</si>
  <si>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</si>
  <si>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</si>
  <si>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</si>
  <si>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</si>
  <si>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</si>
  <si>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</si>
  <si>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</si>
  <si>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</si>
  <si>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</si>
  <si>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</si>
  <si>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</si>
  <si>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</si>
  <si>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</si>
  <si>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</si>
  <si>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</si>
  <si>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</si>
  <si>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</si>
  <si>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</si>
  <si>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</si>
  <si>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</si>
  <si>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</si>
  <si>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</si>
  <si>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</si>
  <si>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</si>
  <si>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</si>
  <si>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</si>
  <si>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</si>
  <si>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</si>
  <si>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</si>
  <si>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</si>
  <si>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</si>
  <si>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</si>
  <si>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</si>
  <si>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</si>
  <si>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</si>
  <si>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</si>
  <si>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</si>
  <si>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</si>
  <si>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</si>
  <si>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</si>
  <si>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</si>
  <si>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</si>
  <si>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</si>
  <si>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</si>
  <si>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</si>
  <si>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</si>
  <si>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</si>
  <si>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</si>
  <si>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</si>
  <si>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</si>
  <si>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</si>
  <si>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</si>
  <si>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</si>
  <si>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</si>
  <si>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</si>
  <si>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</si>
  <si>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</si>
  <si>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</si>
  <si>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</si>
  <si>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</si>
  <si>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</si>
  <si>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</si>
  <si>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</si>
  <si>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</si>
  <si>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</si>
  <si>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</si>
  <si>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</si>
  <si>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</si>
  <si>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</si>
  <si>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</si>
  <si>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</si>
  <si>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</si>
  <si>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</si>
  <si>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</si>
  <si>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</si>
  <si>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</si>
  <si>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</si>
  <si>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</si>
  <si>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</si>
  <si>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</si>
  <si>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</si>
  <si>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</si>
  <si>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</si>
  <si>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</si>
  <si>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</si>
  <si>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</si>
  <si>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</si>
  <si>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</si>
  <si>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</si>
  <si>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</si>
  <si>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</si>
  <si>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</si>
  <si>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</si>
  <si>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</si>
  <si>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</si>
  <si>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</si>
  <si>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</si>
  <si>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</si>
  <si>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</si>
  <si>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</si>
  <si>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</si>
  <si>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</si>
  <si>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</si>
  <si>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</si>
  <si>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</si>
  <si>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</si>
  <si>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</si>
  <si>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</si>
  <si>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</si>
  <si>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</si>
  <si>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</si>
  <si>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</si>
  <si>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</si>
  <si>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</si>
  <si>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</si>
  <si>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</si>
  <si>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</si>
  <si>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</si>
  <si>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</si>
  <si>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</si>
  <si>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</si>
  <si>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</si>
  <si>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</si>
  <si>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</si>
  <si>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</si>
  <si>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</si>
  <si>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</si>
  <si>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</si>
  <si>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</si>
  <si>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</si>
  <si>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</si>
  <si>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</si>
  <si>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</si>
  <si>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</si>
  <si>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--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</si>
  <si>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</si>
  <si>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</si>
  <si>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</si>
  <si>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</si>
  <si>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</si>
  <si>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</si>
  <si>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</si>
  <si>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</si>
  <si>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</si>
  <si>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</si>
  <si>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50116     Potraviny</t>
  </si>
  <si>
    <t>50116001     lůžk. pacienti</t>
  </si>
  <si>
    <t>50116002     lůžk. pacienti nad normu</t>
  </si>
  <si>
    <t>50116004     výživa kojenců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</si>
  <si>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</si>
  <si>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</si>
  <si>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</si>
  <si>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</si>
  <si>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</si>
  <si>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</si>
  <si>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</si>
  <si>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</si>
  <si>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</si>
  <si>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</si>
  <si>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</si>
  <si>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</si>
  <si>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50117201     obaly ostatní - LEK (sk.Z519)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</si>
  <si>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</si>
  <si>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</si>
  <si>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</si>
  <si>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</si>
  <si>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</si>
  <si>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</si>
  <si>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</si>
  <si>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</si>
  <si>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</si>
  <si>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</si>
  <si>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</si>
  <si>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</si>
  <si>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</si>
  <si>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</si>
  <si>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</si>
  <si>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</si>
  <si>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</si>
  <si>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</si>
  <si>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</si>
  <si>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</si>
  <si>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</si>
  <si>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</si>
  <si>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</si>
  <si>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</si>
  <si>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</si>
  <si>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</si>
  <si>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</si>
  <si>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</si>
  <si>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</si>
  <si>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</si>
  <si>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</si>
  <si>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</si>
  <si>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</si>
  <si>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</si>
  <si>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</si>
  <si>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</si>
  <si>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</si>
  <si>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</si>
  <si>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</si>
  <si>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</si>
  <si>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</si>
  <si>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</si>
  <si>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</si>
  <si>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</si>
  <si>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</si>
  <si>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</si>
  <si>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</si>
  <si>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</si>
  <si>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</si>
  <si>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</si>
  <si>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</si>
  <si>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</si>
  <si>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</si>
  <si>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</si>
  <si>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</si>
  <si>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</si>
  <si>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</si>
  <si>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</si>
  <si>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</si>
  <si>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</si>
  <si>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</si>
  <si>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</si>
  <si>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</si>
  <si>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</si>
  <si>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</si>
  <si>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</si>
  <si>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</si>
  <si>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</si>
  <si>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</si>
  <si>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</si>
  <si>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</si>
  <si>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</si>
  <si>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</si>
  <si>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</si>
  <si>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</si>
  <si>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</si>
  <si>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</si>
  <si>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</si>
  <si>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</si>
  <si>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</si>
  <si>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</si>
  <si>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</si>
  <si>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</si>
  <si>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</si>
  <si>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</si>
  <si>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</si>
  <si>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</si>
  <si>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</si>
  <si>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</si>
  <si>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</si>
  <si>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</si>
  <si>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</si>
  <si>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</si>
  <si>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</si>
  <si>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</si>
  <si>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</si>
  <si>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55801081     DDHM - zdravotnický a laboratorní (finanční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</si>
  <si>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</si>
  <si>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</si>
  <si>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</si>
  <si>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</si>
  <si>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</si>
  <si>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</si>
  <si>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</si>
  <si>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</si>
  <si>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</si>
  <si>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</si>
  <si>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</si>
  <si>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</si>
  <si>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</si>
  <si>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</si>
  <si>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</si>
  <si>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</si>
  <si>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</si>
  <si>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</si>
  <si>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</si>
  <si>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</si>
  <si>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</si>
  <si>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</si>
  <si>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</si>
  <si>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</si>
  <si>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</si>
  <si>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</si>
  <si>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</si>
  <si>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</si>
  <si>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</si>
  <si>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</si>
  <si>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</si>
  <si>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</si>
  <si>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</si>
  <si>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</si>
  <si>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</si>
  <si>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</si>
  <si>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</si>
  <si>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</si>
  <si>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</si>
  <si>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</si>
  <si>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</si>
  <si>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</si>
  <si>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</si>
  <si>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</si>
  <si>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</si>
  <si>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</si>
  <si>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</si>
  <si>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</si>
  <si>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</si>
  <si>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</si>
  <si>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</si>
  <si>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</si>
  <si>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</si>
  <si>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</si>
  <si>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</si>
  <si>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</si>
  <si>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</si>
  <si>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</si>
  <si>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</si>
  <si>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</si>
  <si>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</si>
  <si>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</si>
  <si>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</si>
  <si>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</si>
  <si>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</si>
  <si>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</si>
  <si>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</si>
  <si>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</si>
  <si>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</si>
  <si>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</si>
  <si>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</si>
  <si>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</si>
  <si>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</si>
  <si>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</si>
  <si>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</si>
  <si>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</si>
  <si>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</si>
  <si>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09</t>
  </si>
  <si>
    <t>Novorozenecké oddělení</t>
  </si>
  <si>
    <t/>
  </si>
  <si>
    <t>50113016     léky - spotřeba v centrech (LEK)</t>
  </si>
  <si>
    <t>Novorozenecké oddělení Celkem</t>
  </si>
  <si>
    <t>SumaKL</t>
  </si>
  <si>
    <t>0911</t>
  </si>
  <si>
    <t xml:space="preserve">lůžkové oddělení 16C </t>
  </si>
  <si>
    <t>lůžkové oddělení 16C  Celkem</t>
  </si>
  <si>
    <t>SumaNS</t>
  </si>
  <si>
    <t>mezeraNS</t>
  </si>
  <si>
    <t>0912</t>
  </si>
  <si>
    <t>lůžkové oddělení 16B + 16D</t>
  </si>
  <si>
    <t>lůžkové oddělení 16B + 16D Celkem</t>
  </si>
  <si>
    <t>0931</t>
  </si>
  <si>
    <t>JIP 16A</t>
  </si>
  <si>
    <t>JIP 16A Celkem</t>
  </si>
  <si>
    <t>0994</t>
  </si>
  <si>
    <t>centrum - novorozenecké</t>
  </si>
  <si>
    <t>centrum - novorozenecké Celkem</t>
  </si>
  <si>
    <t>50113001</t>
  </si>
  <si>
    <t>O</t>
  </si>
  <si>
    <t>51366</t>
  </si>
  <si>
    <t>CHLORID SODNÝ 0,9% BRAUN</t>
  </si>
  <si>
    <t>INF SOL 20X100MLPELAH</t>
  </si>
  <si>
    <t>100720</t>
  </si>
  <si>
    <t>720</t>
  </si>
  <si>
    <t>KANAVIT</t>
  </si>
  <si>
    <t>GTT 1X5ML 20MG/ML</t>
  </si>
  <si>
    <t>152266</t>
  </si>
  <si>
    <t>52266</t>
  </si>
  <si>
    <t>INFADOLAN</t>
  </si>
  <si>
    <t>DRM UNG 1X30GM</t>
  </si>
  <si>
    <t>395997</t>
  </si>
  <si>
    <t>DZ SOFTASEPT N BEZBARVÝ 250 ml</t>
  </si>
  <si>
    <t>847974</t>
  </si>
  <si>
    <t>125525</t>
  </si>
  <si>
    <t>APO-IBUPROFEN 400 MG</t>
  </si>
  <si>
    <t>POR TBL FLM 30X400MG</t>
  </si>
  <si>
    <t>905097</t>
  </si>
  <si>
    <t>158767</t>
  </si>
  <si>
    <t>DZ OCTENISEPT 250 ml</t>
  </si>
  <si>
    <t>sprej</t>
  </si>
  <si>
    <t>930444</t>
  </si>
  <si>
    <t>KL AQUA PURIF. KUL., FAG. 1 kg</t>
  </si>
  <si>
    <t>102684</t>
  </si>
  <si>
    <t>2684</t>
  </si>
  <si>
    <t>MESOCAIN</t>
  </si>
  <si>
    <t>GEL 1X20GM</t>
  </si>
  <si>
    <t>100392</t>
  </si>
  <si>
    <t>392</t>
  </si>
  <si>
    <t>ATROPIN BIOTIKA 0.5MG</t>
  </si>
  <si>
    <t>INJ 10X1ML/0.5MG</t>
  </si>
  <si>
    <t>900321</t>
  </si>
  <si>
    <t>KL PRIPRAVEK</t>
  </si>
  <si>
    <t>122629</t>
  </si>
  <si>
    <t>SAB SIMPLEX</t>
  </si>
  <si>
    <t>POR SUS 1X30ML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</si>
  <si>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</si>
  <si>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</si>
  <si>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</si>
  <si>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</si>
  <si>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</si>
  <si>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</si>
  <si>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</si>
  <si>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840987</t>
  </si>
  <si>
    <t>IR  AQUA STERILE OPLACH.6x1000 ml</t>
  </si>
  <si>
    <t>IR OPLACH-FR</t>
  </si>
  <si>
    <t>394072</t>
  </si>
  <si>
    <t>1000</t>
  </si>
  <si>
    <t>KL KAPSLE</t>
  </si>
  <si>
    <t>394627</t>
  </si>
  <si>
    <t>KL BARVA NA  DETI 20 g</t>
  </si>
  <si>
    <t>844879</t>
  </si>
  <si>
    <t>KL HELIANTHI OLEUM 45g</t>
  </si>
  <si>
    <t>920352</t>
  </si>
  <si>
    <t>KL HELIANTHI OLEUM 180G</t>
  </si>
  <si>
    <t>921412</t>
  </si>
  <si>
    <t>KL UNG.LENIENS, 30G</t>
  </si>
  <si>
    <t>930332</t>
  </si>
  <si>
    <t>KL BENZINUM 20g</t>
  </si>
  <si>
    <t>930676</t>
  </si>
  <si>
    <t>KL SACCHAROSUM  24 %  65 g</t>
  </si>
  <si>
    <t>200863</t>
  </si>
  <si>
    <t>OPHTHALMO-SEPTONEX</t>
  </si>
  <si>
    <t>OPH GTT SOL 1X10ML PLAST</t>
  </si>
  <si>
    <t>395712</t>
  </si>
  <si>
    <t>HBF Calcium panthotenát mast 30g</t>
  </si>
  <si>
    <t>500968</t>
  </si>
  <si>
    <t>KL SACCHAROSUM 24%  120g</t>
  </si>
  <si>
    <t>119686</t>
  </si>
  <si>
    <t>NASIVIN 0,01%</t>
  </si>
  <si>
    <t>NAS GTT SOL 1X5ML</t>
  </si>
  <si>
    <t>50113013</t>
  </si>
  <si>
    <t>101066</t>
  </si>
  <si>
    <t>1066</t>
  </si>
  <si>
    <t>FRAMYKOIN</t>
  </si>
  <si>
    <t>UNG 1X10GM</t>
  </si>
  <si>
    <t>190778</t>
  </si>
  <si>
    <t>90778</t>
  </si>
  <si>
    <t>BACTROBAN</t>
  </si>
  <si>
    <t>DRM UNG 1X15GM</t>
  </si>
  <si>
    <t>186264</t>
  </si>
  <si>
    <t>86264</t>
  </si>
  <si>
    <t>TOBREX</t>
  </si>
  <si>
    <t>GTT OPH 5ML 3MG/1ML</t>
  </si>
  <si>
    <t>P</t>
  </si>
  <si>
    <t>168999</t>
  </si>
  <si>
    <t>68999</t>
  </si>
  <si>
    <t>AMPICILIN BIOTIKA</t>
  </si>
  <si>
    <t>INJ 10X500MG</t>
  </si>
  <si>
    <t>196413</t>
  </si>
  <si>
    <t>96413</t>
  </si>
  <si>
    <t>GENTAMICIN 40MG LEK</t>
  </si>
  <si>
    <t>INJ 10X2ML/40MG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</si>
  <si>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</si>
  <si>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</si>
  <si>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</si>
  <si>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</si>
  <si>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</si>
  <si>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</si>
  <si>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</si>
  <si>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</si>
  <si>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</si>
  <si>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159074</t>
  </si>
  <si>
    <t>59074</t>
  </si>
  <si>
    <t>PEVARYL</t>
  </si>
  <si>
    <t>DRM CRM 1X30GM 1%</t>
  </si>
  <si>
    <t>47256</t>
  </si>
  <si>
    <t>GLUKÓZA 5 BRAUN</t>
  </si>
  <si>
    <t>INF SOL 20X100ML-PE</t>
  </si>
  <si>
    <t>103575</t>
  </si>
  <si>
    <t>3575</t>
  </si>
  <si>
    <t>HEPAROID LECIVA</t>
  </si>
  <si>
    <t>UNG 1X30GM</t>
  </si>
  <si>
    <t>395294</t>
  </si>
  <si>
    <t>180306</t>
  </si>
  <si>
    <t>TANTUM VERDE</t>
  </si>
  <si>
    <t>LIQ 1X240ML-PET TR</t>
  </si>
  <si>
    <t>199138</t>
  </si>
  <si>
    <t>99138</t>
  </si>
  <si>
    <t>AKTIFERRIN</t>
  </si>
  <si>
    <t>GTT 1X30ML</t>
  </si>
  <si>
    <t>112023</t>
  </si>
  <si>
    <t>12023</t>
  </si>
  <si>
    <t>VIGANTOL</t>
  </si>
  <si>
    <t>POR GTT SOL 1x10ML</t>
  </si>
  <si>
    <t>920064</t>
  </si>
  <si>
    <t>KL SOL.METHYLROS.CHL.1% 10G</t>
  </si>
  <si>
    <t>120053</t>
  </si>
  <si>
    <t>20053</t>
  </si>
  <si>
    <t>BENOXI 0.4 % UNIMED PHARMA</t>
  </si>
  <si>
    <t>OPH GTT SOL 1X10ML</t>
  </si>
  <si>
    <t>845628</t>
  </si>
  <si>
    <t>KL COLL.PHENYLEPHRINI 10g</t>
  </si>
  <si>
    <t>846941</t>
  </si>
  <si>
    <t>Swiss Laktobacilky baby 30 cps</t>
  </si>
  <si>
    <t>920020</t>
  </si>
  <si>
    <t>KL COLL.HOMAT.HYDROBROM.1%10G</t>
  </si>
  <si>
    <t>920367</t>
  </si>
  <si>
    <t>KL EREVIT GTT. 18G</t>
  </si>
  <si>
    <t>921342</t>
  </si>
  <si>
    <t>KL SOL.COFFEINI 1% 50G</t>
  </si>
  <si>
    <t>168578</t>
  </si>
  <si>
    <t>68578</t>
  </si>
  <si>
    <t>PHENAEMALETTEN</t>
  </si>
  <si>
    <t>TBL 50X15MG</t>
  </si>
  <si>
    <t>849449</t>
  </si>
  <si>
    <t>GASTROTUSS Baby sirup 200ml</t>
  </si>
  <si>
    <t>166366</t>
  </si>
  <si>
    <t>66366</t>
  </si>
  <si>
    <t>OSPAMOX 250MG/5ML</t>
  </si>
  <si>
    <t>GRA SUS 1X60ML</t>
  </si>
  <si>
    <t>137499</t>
  </si>
  <si>
    <t>KLACID I.V.</t>
  </si>
  <si>
    <t>INF PLV SOL 1X500MG</t>
  </si>
  <si>
    <t>31915</t>
  </si>
  <si>
    <t>GLUKÓZA 10 BRAUN</t>
  </si>
  <si>
    <t>INF SOL 10X500ML-PE</t>
  </si>
  <si>
    <t>51367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</si>
  <si>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</si>
  <si>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</si>
  <si>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</si>
  <si>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</si>
  <si>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</si>
  <si>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</si>
  <si>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</si>
  <si>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</si>
  <si>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</si>
  <si>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100843</t>
  </si>
  <si>
    <t>843</t>
  </si>
  <si>
    <t>DERMAZULEN</t>
  </si>
  <si>
    <t>100876</t>
  </si>
  <si>
    <t>876</t>
  </si>
  <si>
    <t>UNG OPH 1X5GM</t>
  </si>
  <si>
    <t>100889</t>
  </si>
  <si>
    <t>889</t>
  </si>
  <si>
    <t>PITYOL</t>
  </si>
  <si>
    <t>102133</t>
  </si>
  <si>
    <t>2133</t>
  </si>
  <si>
    <t>FUROSEMID BIOTIKA</t>
  </si>
  <si>
    <t>INJ 5X2ML/20MG</t>
  </si>
  <si>
    <t>102486</t>
  </si>
  <si>
    <t>2486</t>
  </si>
  <si>
    <t>KALIUM CHLORATUM LECIVA 7.5%</t>
  </si>
  <si>
    <t>INJ 5X10ML 7.5%</t>
  </si>
  <si>
    <t>124067</t>
  </si>
  <si>
    <t>HYDROCORTISON VUAB 100 MG</t>
  </si>
  <si>
    <t>INJ PLV SOL 1X100MG</t>
  </si>
  <si>
    <t>149317</t>
  </si>
  <si>
    <t>49317</t>
  </si>
  <si>
    <t>CALCIUM GLUCONICUM 10% B.BRAUN</t>
  </si>
  <si>
    <t>INJ SOL 20X10ML</t>
  </si>
  <si>
    <t>162316</t>
  </si>
  <si>
    <t>62316</t>
  </si>
  <si>
    <t>BETADINE - zelená</t>
  </si>
  <si>
    <t>LIQ 1X120ML</t>
  </si>
  <si>
    <t>184090</t>
  </si>
  <si>
    <t>84090</t>
  </si>
  <si>
    <t>DEXAMED</t>
  </si>
  <si>
    <t>INJ 10X2ML/8MG</t>
  </si>
  <si>
    <t>193746</t>
  </si>
  <si>
    <t>93746</t>
  </si>
  <si>
    <t>HEPARIN LECIVA</t>
  </si>
  <si>
    <t>INJ 1X10ML/50KU</t>
  </si>
  <si>
    <t>847713</t>
  </si>
  <si>
    <t>125526</t>
  </si>
  <si>
    <t>POR TBL FLM 100X400MG</t>
  </si>
  <si>
    <t>100489</t>
  </si>
  <si>
    <t>489</t>
  </si>
  <si>
    <t>INJ 5X1ML/10MG</t>
  </si>
  <si>
    <t>100536</t>
  </si>
  <si>
    <t>536</t>
  </si>
  <si>
    <t>NORADRENALIN LECIVA</t>
  </si>
  <si>
    <t>104380</t>
  </si>
  <si>
    <t>4380</t>
  </si>
  <si>
    <t>TENSAMIN</t>
  </si>
  <si>
    <t>INJ 10X5ML</t>
  </si>
  <si>
    <t>162315</t>
  </si>
  <si>
    <t>62315</t>
  </si>
  <si>
    <t>LIQ 1X30ML</t>
  </si>
  <si>
    <t>47706</t>
  </si>
  <si>
    <t>GLUKÓZA 20 BRAUN</t>
  </si>
  <si>
    <t>100874</t>
  </si>
  <si>
    <t>874</t>
  </si>
  <si>
    <t>OPHTHALMO-AZULEN</t>
  </si>
  <si>
    <t>159398</t>
  </si>
  <si>
    <t>59398</t>
  </si>
  <si>
    <t>TRACUTIL</t>
  </si>
  <si>
    <t>INF 5X10ML</t>
  </si>
  <si>
    <t>194852</t>
  </si>
  <si>
    <t>94852</t>
  </si>
  <si>
    <t>SOLUVIT N PRO INFUS.</t>
  </si>
  <si>
    <t>INJ SIC 10</t>
  </si>
  <si>
    <t>176205</t>
  </si>
  <si>
    <t>180825</t>
  </si>
  <si>
    <t>HYDROCORTISON 10MG</t>
  </si>
  <si>
    <t>TBL 20X10MG</t>
  </si>
  <si>
    <t>117996</t>
  </si>
  <si>
    <t>17996</t>
  </si>
  <si>
    <t>KINEDRYL</t>
  </si>
  <si>
    <t>TBL 10</t>
  </si>
  <si>
    <t>147300</t>
  </si>
  <si>
    <t>47300</t>
  </si>
  <si>
    <t>ELOCOM</t>
  </si>
  <si>
    <t>DRM CRM 1X30GM 0.1%</t>
  </si>
  <si>
    <t>840155</t>
  </si>
  <si>
    <t>Vincentka nosní sprej  25ml (30ml)</t>
  </si>
  <si>
    <t>900071</t>
  </si>
  <si>
    <t>KL TBL MAGN.LACT 0,5G+B6 0,02G, 100TBL</t>
  </si>
  <si>
    <t>185812</t>
  </si>
  <si>
    <t>85812</t>
  </si>
  <si>
    <t>LIDOCAIN</t>
  </si>
  <si>
    <t>INJ 10X2ML 2%</t>
  </si>
  <si>
    <t>101681</t>
  </si>
  <si>
    <t>1681</t>
  </si>
  <si>
    <t>EMLA KREM 5%</t>
  </si>
  <si>
    <t>CRM 1X30GM</t>
  </si>
  <si>
    <t>186970</t>
  </si>
  <si>
    <t>86970</t>
  </si>
  <si>
    <t>ARDEANUTRISOL G 20</t>
  </si>
  <si>
    <t>INF SOL 1X250ML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</si>
  <si>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</si>
  <si>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</si>
  <si>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</si>
  <si>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</si>
  <si>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</si>
  <si>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</si>
  <si>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</si>
  <si>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118656</t>
  </si>
  <si>
    <t>NALBUPHIN ORPHA</t>
  </si>
  <si>
    <t>INJ SOL 10X2ML</t>
  </si>
  <si>
    <t>846113</t>
  </si>
  <si>
    <t>107712</t>
  </si>
  <si>
    <t>EPANUTIN PARENTERAL</t>
  </si>
  <si>
    <t>INJ SOL 5X5ML/250MG</t>
  </si>
  <si>
    <t>155939</t>
  </si>
  <si>
    <t>HERPESIN 250</t>
  </si>
  <si>
    <t>INF PLV SOL 10X250MG</t>
  </si>
  <si>
    <t>921416</t>
  </si>
  <si>
    <t>KL CPS CALC.GLUC.+KAL.DIH. 100CPS</t>
  </si>
  <si>
    <t>142495</t>
  </si>
  <si>
    <t>42495</t>
  </si>
  <si>
    <t>GLUCOSE-1-PHOSPH.FRESENIUS 1MO</t>
  </si>
  <si>
    <t>INF CNC SOL 5X10ML</t>
  </si>
  <si>
    <t>142594</t>
  </si>
  <si>
    <t>42594</t>
  </si>
  <si>
    <t>VITALIPID N INFANT</t>
  </si>
  <si>
    <t>INF CNC SOL 10X10ML</t>
  </si>
  <si>
    <t>167679</t>
  </si>
  <si>
    <t>PEYONA 20 MG/ML</t>
  </si>
  <si>
    <t>IVN+POR SOL 10X1ML</t>
  </si>
  <si>
    <t>169747</t>
  </si>
  <si>
    <t>69747</t>
  </si>
  <si>
    <t>INF 1X80ML</t>
  </si>
  <si>
    <t>169751</t>
  </si>
  <si>
    <t>69751</t>
  </si>
  <si>
    <t>INF SOL 1X80ML</t>
  </si>
  <si>
    <t>184449</t>
  </si>
  <si>
    <t>84449</t>
  </si>
  <si>
    <t>LUMINAL</t>
  </si>
  <si>
    <t>INJ 5X1ML/219MG</t>
  </si>
  <si>
    <t>187226</t>
  </si>
  <si>
    <t>87226</t>
  </si>
  <si>
    <t>CUROSURF</t>
  </si>
  <si>
    <t>SUS 2X1.5ML/120MG</t>
  </si>
  <si>
    <t>199814</t>
  </si>
  <si>
    <t>99814</t>
  </si>
  <si>
    <t>VODA NA INJEKCI VIAFLO</t>
  </si>
  <si>
    <t>PAR LQF 20X500ML</t>
  </si>
  <si>
    <t>844978</t>
  </si>
  <si>
    <t>107475</t>
  </si>
  <si>
    <t>PRIMENE 10%</t>
  </si>
  <si>
    <t>INF SOL 10X250ML 10%</t>
  </si>
  <si>
    <t>920368</t>
  </si>
  <si>
    <t>KL EREVIT GTT. 30G</t>
  </si>
  <si>
    <t>921296</t>
  </si>
  <si>
    <t>KL SUPP.GLYCEROLI  30KS, pro novorozence</t>
  </si>
  <si>
    <t>921404</t>
  </si>
  <si>
    <t>KL SUPP.IBUPROFENI 0,05G  20KS</t>
  </si>
  <si>
    <t>921573</t>
  </si>
  <si>
    <t>KL SUPP.PARACETAMOLI 0,02G  30KS</t>
  </si>
  <si>
    <t>930608</t>
  </si>
  <si>
    <t>KL CHLORAL.HYDRATUM 50 g</t>
  </si>
  <si>
    <t>157871</t>
  </si>
  <si>
    <t>PARACETAMOL KABI 10 MG/ML</t>
  </si>
  <si>
    <t>INF SOL 10X50ML/500MG</t>
  </si>
  <si>
    <t>125034</t>
  </si>
  <si>
    <t>25034</t>
  </si>
  <si>
    <t>DORMICUM</t>
  </si>
  <si>
    <t>INJ SOL 10X1ML/5MG</t>
  </si>
  <si>
    <t>132090</t>
  </si>
  <si>
    <t>32090</t>
  </si>
  <si>
    <t>TRALGIT 50 INJ</t>
  </si>
  <si>
    <t>INJ SOL 5X1ML/50MG</t>
  </si>
  <si>
    <t>193969</t>
  </si>
  <si>
    <t>93969</t>
  </si>
  <si>
    <t>RANITAL</t>
  </si>
  <si>
    <t>INJ 5X2ML/50MG</t>
  </si>
  <si>
    <t>140361</t>
  </si>
  <si>
    <t>40361</t>
  </si>
  <si>
    <t>NIMBEX</t>
  </si>
  <si>
    <t>INJ SOL 5X2.5ML/5MG</t>
  </si>
  <si>
    <t>50113006</t>
  </si>
  <si>
    <t>840010</t>
  </si>
  <si>
    <t>Nutrilon 1 A.R. plv.1x400g</t>
  </si>
  <si>
    <t>116336</t>
  </si>
  <si>
    <t>16336</t>
  </si>
  <si>
    <t>LIPOPLUS 20%</t>
  </si>
  <si>
    <t>INFEML10X100ML-SKLO</t>
  </si>
  <si>
    <t>161451</t>
  </si>
  <si>
    <t>NUTRILON 1 800g</t>
  </si>
  <si>
    <t>500708</t>
  </si>
  <si>
    <t>Nutrilon 0 Nenatal 24 x 70ml</t>
  </si>
  <si>
    <t>845564</t>
  </si>
  <si>
    <t>Nutrilon 1  24x90ml RTF</t>
  </si>
  <si>
    <t>24 x 90 ml</t>
  </si>
  <si>
    <t>850713</t>
  </si>
  <si>
    <t>Nutrilon 0 Nenatal (Premature) 400g</t>
  </si>
  <si>
    <t>987826</t>
  </si>
  <si>
    <t>NESTLÉ PreBEBA FM85 200g</t>
  </si>
  <si>
    <t>845045</t>
  </si>
  <si>
    <t>107472</t>
  </si>
  <si>
    <t>INF SOL 20X100ML 10%</t>
  </si>
  <si>
    <t>988073</t>
  </si>
  <si>
    <t>NESTLÉ Beba H.A.1 800g NEW</t>
  </si>
  <si>
    <t>989641</t>
  </si>
  <si>
    <t>Nutrilon 1 hypoalergenní 24x90ml</t>
  </si>
  <si>
    <t>990209</t>
  </si>
  <si>
    <t>NESTLE Beba H.A.1 Premium tekutá 32x90ml</t>
  </si>
  <si>
    <t>133220</t>
  </si>
  <si>
    <t>33220</t>
  </si>
  <si>
    <t>PROTIFAR</t>
  </si>
  <si>
    <t>POR PLV SOL 1X225GM</t>
  </si>
  <si>
    <t>33811</t>
  </si>
  <si>
    <t>NEOCATE INFANT</t>
  </si>
  <si>
    <t>POR PLV SOL 1X400GM</t>
  </si>
  <si>
    <t>153922</t>
  </si>
  <si>
    <t>53922</t>
  </si>
  <si>
    <t>CIPHIN PRO INFUSION.200MG/100ML</t>
  </si>
  <si>
    <t>INF 1X100ML/200MG</t>
  </si>
  <si>
    <t>183487</t>
  </si>
  <si>
    <t>83487</t>
  </si>
  <si>
    <t>MERONEM 500MG I.V.</t>
  </si>
  <si>
    <t>INJ SIC 10X500MG</t>
  </si>
  <si>
    <t>989957</t>
  </si>
  <si>
    <t>185481</t>
  </si>
  <si>
    <t>EDICIN 0,5 G</t>
  </si>
  <si>
    <t>INF PLV SOL 10X500MG</t>
  </si>
  <si>
    <t>101076</t>
  </si>
  <si>
    <t>1076</t>
  </si>
  <si>
    <t>OPHTHALMO-FRAMYKOIN</t>
  </si>
  <si>
    <t>111706</t>
  </si>
  <si>
    <t>11706</t>
  </si>
  <si>
    <t>BISEPTOL 480</t>
  </si>
  <si>
    <t>105114</t>
  </si>
  <si>
    <t>5114</t>
  </si>
  <si>
    <t>TARGOCID 200MG</t>
  </si>
  <si>
    <t>INJ SIC 1X200MG+SOL</t>
  </si>
  <si>
    <t>193207</t>
  </si>
  <si>
    <t>93207</t>
  </si>
  <si>
    <t>UNG OPH 3.5GM 0.3%</t>
  </si>
  <si>
    <t>72973</t>
  </si>
  <si>
    <t>AMOKSIKLAV 600 MG</t>
  </si>
  <si>
    <t>INJ PLV SOL 5X600MG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</si>
  <si>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</si>
  <si>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</si>
  <si>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</si>
  <si>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</si>
  <si>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</si>
  <si>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</si>
  <si>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</si>
  <si>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165989</t>
  </si>
  <si>
    <t>65989</t>
  </si>
  <si>
    <t>MYCOMAX « INF. INFUZ</t>
  </si>
  <si>
    <t>116896</t>
  </si>
  <si>
    <t>16896</t>
  </si>
  <si>
    <t>IMAZOL PLUS</t>
  </si>
  <si>
    <t>DRM CRM 1X30GM</t>
  </si>
  <si>
    <t>164401</t>
  </si>
  <si>
    <t>FLUCONAZOL KABI 2 MG/ML</t>
  </si>
  <si>
    <t>INF SOL 10X100ML/200MG</t>
  </si>
  <si>
    <t>50113008</t>
  </si>
  <si>
    <t>42144</t>
  </si>
  <si>
    <t>Human Albumin 20% 10 ml GRIFOLS</t>
  </si>
  <si>
    <t>NOVO, lůžkové oddělení 16C</t>
  </si>
  <si>
    <t>NOVO, lůžkové oddělení 16B + 16D</t>
  </si>
  <si>
    <t>NOVO, JIP 16A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</si>
  <si>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</si>
  <si>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</si>
  <si>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</si>
  <si>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</si>
  <si>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</si>
  <si>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0931 - NOVO, JIP 16A</t>
  </si>
  <si>
    <t>0912 - NOVO, lůžkové oddělení 16B + 16D</t>
  </si>
  <si>
    <t>J01MA02 - Ciprofloxacin</t>
  </si>
  <si>
    <t>J02AC01 - Flukonazol</t>
  </si>
  <si>
    <t>N02AX02 - Tramadol</t>
  </si>
  <si>
    <t>J01CA01 - Ampicilin</t>
  </si>
  <si>
    <t>V06XX - Potraviny pro zvláštní lékařské účely (PZLÚ)</t>
  </si>
  <si>
    <t>J01CR02 - Amoxicilin a enzymový inhibitor</t>
  </si>
  <si>
    <t>J01XA02 - Teikoplanin</t>
  </si>
  <si>
    <t>J01CR05 - Piperacilin a enzymový inhibitor</t>
  </si>
  <si>
    <t>M03AC11 - Cisatrakurium</t>
  </si>
  <si>
    <t>J01DH51 - Imipenem a enzymový inhibitor</t>
  </si>
  <si>
    <t>N05CD08 - Midazolam</t>
  </si>
  <si>
    <t>J01FA09 - Klarithromycin</t>
  </si>
  <si>
    <t>A02BA02 - Ranitidin</t>
  </si>
  <si>
    <t>J01GB03 - Gentamicin</t>
  </si>
  <si>
    <t>J01CA01</t>
  </si>
  <si>
    <t>AMPICILIN 0,5 BIOTIKA</t>
  </si>
  <si>
    <t>INJ PLV SOL 10X500MG</t>
  </si>
  <si>
    <t>J01FA09</t>
  </si>
  <si>
    <t>A02BA02</t>
  </si>
  <si>
    <t>RANITAL 50 MG/2 ML</t>
  </si>
  <si>
    <t>INJ SOL 5X2ML/50MG</t>
  </si>
  <si>
    <t>J01CR02</t>
  </si>
  <si>
    <t>INJ PLV SOL 5</t>
  </si>
  <si>
    <t>J01CR05</t>
  </si>
  <si>
    <t>J01DH51</t>
  </si>
  <si>
    <t>J01GB03</t>
  </si>
  <si>
    <t>GENTAMICIN LEK 40 MG/2 ML</t>
  </si>
  <si>
    <t>INJ+INF SOL 10X2ML/40MG</t>
  </si>
  <si>
    <t>J01MA02</t>
  </si>
  <si>
    <t>CIPHIN PRO INFUSIONE 200 MG/100 ML</t>
  </si>
  <si>
    <t>INF SOL 1X100ML/200MG</t>
  </si>
  <si>
    <t>J01XA02</t>
  </si>
  <si>
    <t>TARGOCID 200 MG</t>
  </si>
  <si>
    <t>INJ+POR PSO LQF 1X200MG</t>
  </si>
  <si>
    <t>J02AC01</t>
  </si>
  <si>
    <t>MYCOMAX INF</t>
  </si>
  <si>
    <t>INF SOL 1X100ML</t>
  </si>
  <si>
    <t>M03AC11</t>
  </si>
  <si>
    <t>N02AX02</t>
  </si>
  <si>
    <t>N05CD08</t>
  </si>
  <si>
    <t>V06XX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</si>
  <si>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</si>
  <si>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</si>
  <si>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</si>
  <si>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</si>
  <si>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</si>
  <si>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50115090     ostatní ZPr - zubolékařský materiál (sk.Z_509)</t>
  </si>
  <si>
    <t>ZA429</t>
  </si>
  <si>
    <t>Obinadlo elastické idealtex   8 cm x 5 m 931061</t>
  </si>
  <si>
    <t>ZA446</t>
  </si>
  <si>
    <t>Vata buničitá přířezy 20 x 30 cm 1230200129</t>
  </si>
  <si>
    <t>ZA466</t>
  </si>
  <si>
    <t>Tyčinka vatová sterilní 14 cm bal. á 200 ks 9679501</t>
  </si>
  <si>
    <t>ZA467</t>
  </si>
  <si>
    <t>Tyčinka vatová nesterilní 15 cm bal. á 100 ks 9679369</t>
  </si>
  <si>
    <t>ZF225</t>
  </si>
  <si>
    <t>Náplast hypoalergenní á 250 ks 5353811</t>
  </si>
  <si>
    <t>ZK522</t>
  </si>
  <si>
    <t>Tampon sterilní z buničité vaty / 20 ks karton á 2400 ks 1230213120</t>
  </si>
  <si>
    <t>ZL995</t>
  </si>
  <si>
    <t>Obinadlo hyrofilní sterilní  6 cm x 5 m  004310190</t>
  </si>
  <si>
    <t>ZA775</t>
  </si>
  <si>
    <t>Sáček močový lepicí dětský pro novoroz. 744988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</si>
  <si>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</si>
  <si>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</si>
  <si>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</si>
  <si>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</si>
  <si>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</si>
  <si>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</si>
  <si>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</si>
  <si>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</si>
  <si>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ZA888</t>
  </si>
  <si>
    <t>Zkumavka odběrová s gelem tapval bílá 19860</t>
  </si>
  <si>
    <t>ZB439</t>
  </si>
  <si>
    <t>Odstraňovač náplastí Convacare, á 100 ks, 37443</t>
  </si>
  <si>
    <t>ZB452</t>
  </si>
  <si>
    <t>Víko kompletní kompaktní podtl. odsáv. P00341</t>
  </si>
  <si>
    <t>ZC722</t>
  </si>
  <si>
    <t>Páska fixační bal. á 12 ks LNOP 1053</t>
  </si>
  <si>
    <t>ZD350</t>
  </si>
  <si>
    <t>Lanceta haemolance zelená 21 G á 100 ks DIS7372</t>
  </si>
  <si>
    <t>ZF159</t>
  </si>
  <si>
    <t>Nádoba na kontaminovaný odpad 1 l 15-0002</t>
  </si>
  <si>
    <t>ZI681</t>
  </si>
  <si>
    <t>Kapilára s heparinovou úpravou UH á 100 ks 140ul 102090</t>
  </si>
  <si>
    <t>ZL688</t>
  </si>
  <si>
    <t>Proužky Accu-Check Inform IIStrip 50 EU1 á 50 ks 05942861</t>
  </si>
  <si>
    <t>ZL689</t>
  </si>
  <si>
    <t>Roztok Accu-Check Performa Int´l Controls 1+2 level 04861736</t>
  </si>
  <si>
    <t>ZC793</t>
  </si>
  <si>
    <t>Čidlo saturační neonatální LNOP Neo-L děti 1 - 10 kg adhesivní sens. bal. á 20 ks 1798</t>
  </si>
  <si>
    <t>ZI035</t>
  </si>
  <si>
    <t>Savička náhradní kulatá k šidítkům Flora kytička 100N</t>
  </si>
  <si>
    <t>ZD892</t>
  </si>
  <si>
    <t>Filtr akustický echo screen bal. á 5 ks 1770</t>
  </si>
  <si>
    <t>ZB843</t>
  </si>
  <si>
    <t>Zavaděč trach. rourek bal. á 10 ks 100/120/100</t>
  </si>
  <si>
    <t>ZM625</t>
  </si>
  <si>
    <t>Lopatka lékařská sterilizovaná dřevěná ústní bal. á 100 ks 922600</t>
  </si>
  <si>
    <t>ZD784</t>
  </si>
  <si>
    <t>Nástavec ušní echoscreen 4 mm modrý bal. á 10 ks 1908</t>
  </si>
  <si>
    <t>ZA832</t>
  </si>
  <si>
    <t>Jehla injekční 0,9 x 40 mm žlutá 4657519</t>
  </si>
  <si>
    <t>ZB556</t>
  </si>
  <si>
    <t>Jehla injekční 1,2 x   40 mm růžová 4665120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</si>
  <si>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</si>
  <si>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</si>
  <si>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</si>
  <si>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</si>
  <si>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ZM292</t>
  </si>
  <si>
    <t>Rukavice nitril sempercare bez p. M bal. á 200 ks 30803</t>
  </si>
  <si>
    <t>ZA318</t>
  </si>
  <si>
    <t>Náplast transpore 1,25 cm x 9,14 m 1527-0</t>
  </si>
  <si>
    <t>ZA444</t>
  </si>
  <si>
    <t>Tampon nesterilní stáčený 20 x 19 cm 1320300404</t>
  </si>
  <si>
    <t>ZA516</t>
  </si>
  <si>
    <t>Kompresa NT 7,5 x 7,5 cm / 10 sterilní karton á 900 ks 1230119526</t>
  </si>
  <si>
    <t>ZA570</t>
  </si>
  <si>
    <t>Náplast tegaderm 4,4 cm x 4,4 cm bal. á 100 ks 1622W</t>
  </si>
  <si>
    <t>ZA593</t>
  </si>
  <si>
    <t>Tampon stáčený sterilní 20 x 20 cm / 5 ks 28003</t>
  </si>
  <si>
    <t>ZC845</t>
  </si>
  <si>
    <t>Kompresa NT 10 x 20 cm / 5 ks sterilní 26621</t>
  </si>
  <si>
    <t>ZF351</t>
  </si>
  <si>
    <t>Náplast transpore bílá 1,25 cm x 9,14 m bal. á 24 ks 1534-0</t>
  </si>
  <si>
    <t>ZA674</t>
  </si>
  <si>
    <t>Cévka CN-01 646959</t>
  </si>
  <si>
    <t>ZA729</t>
  </si>
  <si>
    <t>Tyčinka vatová sterilní velká 1 bal/200 ks 9679520</t>
  </si>
  <si>
    <t>ZA737</t>
  </si>
  <si>
    <t>Filtr mini spike modrý 4550234</t>
  </si>
  <si>
    <t>ZA744</t>
  </si>
  <si>
    <t>Kanyla neoflon 24G žlutá BDC391350</t>
  </si>
  <si>
    <t>ZB338</t>
  </si>
  <si>
    <t>Hadička spojovací tlaková unicath pr. 1,0 mm x 200 cm PB 3120 M</t>
  </si>
  <si>
    <t>ZB360</t>
  </si>
  <si>
    <t>Rourka rektální CH12 délka 12 cm sterilní bal. á 20 ks 646699</t>
  </si>
  <si>
    <t>ZC768</t>
  </si>
  <si>
    <t>Zkumavka 10 ml sterilní bal. á 1250 ks 1009/TE/SG</t>
  </si>
  <si>
    <t>ZI179</t>
  </si>
  <si>
    <t>Zkumavka s mediem+ flovakovaný tampon eSwab růžový 490CE.A</t>
  </si>
  <si>
    <t>ZK798</t>
  </si>
  <si>
    <t>Zátka combi modrá 4495152</t>
  </si>
  <si>
    <t>ZB985</t>
  </si>
  <si>
    <t>Urin-Monovette s pístem 10 ml sterilní bal. á 100 ks 10.252.020</t>
  </si>
  <si>
    <t>ZH286</t>
  </si>
  <si>
    <t>Teploměr digitální s ohebným hrotem Flexo 91925</t>
  </si>
  <si>
    <t>ZJ485</t>
  </si>
  <si>
    <t>Rozvěrač oční dětský barraquer E4107P</t>
  </si>
  <si>
    <t>ZM352</t>
  </si>
  <si>
    <t>Láhev kojenecká jednorázová 130 ml + dudlík s otvorem multipack bal. á 16 ks NCB2130V</t>
  </si>
  <si>
    <t>ZM337</t>
  </si>
  <si>
    <t>Láhev kojenecká jednorázová 240 ml + krytka multipack bal. á 16 ks NCB1240V</t>
  </si>
  <si>
    <t>ZM362</t>
  </si>
  <si>
    <t>Láhev kojenecká jednorázová 60 ml + dudlík s otvorem multipack bal. á 30 ks NCB2060V</t>
  </si>
  <si>
    <t>ZM407</t>
  </si>
  <si>
    <t>Láhev kojenecká jednorázová 60 ml + krytka multipack bal. á 35 ks NCB1060V</t>
  </si>
  <si>
    <t>ZC837</t>
  </si>
  <si>
    <t>Fonendoskop neonatální dvoustranný modrý P00202</t>
  </si>
  <si>
    <t>ZA627</t>
  </si>
  <si>
    <t>Krytí granuflex 5 x 10 cm á 10 ks 187959</t>
  </si>
  <si>
    <t>ZC550</t>
  </si>
  <si>
    <t>Krytí mepilex silikonový Ag 10 x 10 cm bal. á 5 ks 287110-00</t>
  </si>
  <si>
    <t>ZE108</t>
  </si>
  <si>
    <t>Krytí mepilex lite 10 x 10 cm bal. á 10 ks 284100-01</t>
  </si>
  <si>
    <t>ZG613</t>
  </si>
  <si>
    <t>Krytí mepitel one 8 x 10 cm  bal. á 5 ks 289200-00</t>
  </si>
  <si>
    <t>ZI558</t>
  </si>
  <si>
    <t>Náplast curapor   7 x   5 cm 22120 ( náhrada za cosmopor )</t>
  </si>
  <si>
    <t>ZA602</t>
  </si>
  <si>
    <t>Kompresa gáza 5 x 5 cm / 2 ks sterilní karton á 1000 ks 26001</t>
  </si>
  <si>
    <t>ZA525</t>
  </si>
  <si>
    <t>Normlgel   5 g 370500</t>
  </si>
  <si>
    <t>ZA210</t>
  </si>
  <si>
    <t>Cévka vyživovací CV-01 GAM646957</t>
  </si>
  <si>
    <t>ZA687</t>
  </si>
  <si>
    <t>Sáček močový curity s hod.diurézou 200 ml hadička 150 cm 6502</t>
  </si>
  <si>
    <t>ZA705</t>
  </si>
  <si>
    <t>Hadička spojovací HS 1,8 x 450UNIV</t>
  </si>
  <si>
    <t>ZA728</t>
  </si>
  <si>
    <t>Lopatka lékařská nesterilní dřevěná ústní bal. á 100 ks 1320100655</t>
  </si>
  <si>
    <t>ZA743</t>
  </si>
  <si>
    <t>Zkumavka odběrová 0,5 ml tapval fialová 11170</t>
  </si>
  <si>
    <t>ZA746</t>
  </si>
  <si>
    <t>Stříkačka injekční 3-dílná 1 ml L Omnifix Solo tuberculin 9161406V</t>
  </si>
  <si>
    <t>ZA749</t>
  </si>
  <si>
    <t>Stříkačka injekční 3-dílná 50 ml LL Omnifix Solo 4617509F</t>
  </si>
  <si>
    <t>ZA754</t>
  </si>
  <si>
    <t>Stříkačka injekční 3-dílná 10 ml LL Omnifix Solo 4617100V</t>
  </si>
  <si>
    <t>ZB102</t>
  </si>
  <si>
    <t>Láhev k odsávačce flovac 1l hadice 1,8 m á 45 ks 000-036-020</t>
  </si>
  <si>
    <t>ZB384</t>
  </si>
  <si>
    <t>Stříkačka injekční 3-dílná 20 ml LL Omnifix Solo závit bal. á 100 ks 4617207V</t>
  </si>
  <si>
    <t>ZB543</t>
  </si>
  <si>
    <t>Souprava odběrová tracheální G05206</t>
  </si>
  <si>
    <t>ZD662</t>
  </si>
  <si>
    <t>Cévka odsávací CH8 s přerušovačem sání bal. á 60 ks 07-0002</t>
  </si>
  <si>
    <t>ZE308</t>
  </si>
  <si>
    <t>Stříkačka injekční 3-dílná 5 ml LL Omnifix Solo 4617053V</t>
  </si>
  <si>
    <t>ZH845</t>
  </si>
  <si>
    <t>Tyčinka vatová medcomfort + glyc. citónová příchuť bal. á 75 ks 09157-100</t>
  </si>
  <si>
    <t>ZI182</t>
  </si>
  <si>
    <t>Zkumavka + aplikátor s chem.stabilizátorem UriSwab žlutá 802CE.A</t>
  </si>
  <si>
    <t>ZJ659</t>
  </si>
  <si>
    <t>Kohout trojcestný s bezjehlovým konektorem Discofix C bal. á 100 ks 16494CSF</t>
  </si>
  <si>
    <t>ZK799</t>
  </si>
  <si>
    <t>Zátka combi červená 4495101</t>
  </si>
  <si>
    <t>ZK884</t>
  </si>
  <si>
    <t>Kohout trojcestný discofix modrý 4095111</t>
  </si>
  <si>
    <t>ZA718</t>
  </si>
  <si>
    <t>Patrona nízkoprůtoková vapotherm á 2 ks VT01-B</t>
  </si>
  <si>
    <t>ZD992</t>
  </si>
  <si>
    <t>Čidlo saturační jednorázové pro novorozence masimo k monitoru Mindray bal. á 20 ks 2329LHL</t>
  </si>
  <si>
    <t>ZK424</t>
  </si>
  <si>
    <t>Teploměr digitální s ohebným hrotem flexi P02605</t>
  </si>
  <si>
    <t>ZK083</t>
  </si>
  <si>
    <t>Elektroda EKG bal. á 12 ks 100 BRS-50-K/12</t>
  </si>
  <si>
    <t>ZL952</t>
  </si>
  <si>
    <t>Stříkačka injekční 3-dílná 50 ml LL light protected bal.á 60 ks 2022920A</t>
  </si>
  <si>
    <t>ZL951</t>
  </si>
  <si>
    <t>Hadička prodlužovací PVC 150 cm pro světlocitlivé léky NO DOP bal. á 20  ks V686423</t>
  </si>
  <si>
    <t>ZB701</t>
  </si>
  <si>
    <t>Šidítko pro nezralé novorozence do 30.týdne čiré Wee Thumbie P03373</t>
  </si>
  <si>
    <t>ZD293</t>
  </si>
  <si>
    <t>Spojka heimlich na napoj. pediatr. drénů 800,01</t>
  </si>
  <si>
    <t>ZD030</t>
  </si>
  <si>
    <t>Skalpel jednorázový cutfix sterilní bal. á 10 ks 5518040</t>
  </si>
  <si>
    <t>ZB095</t>
  </si>
  <si>
    <t>Systém odsávací uzavřený TC CH6 neo / pedi 30,5 cm 196-5</t>
  </si>
  <si>
    <t>ZG229</t>
  </si>
  <si>
    <t>Stojan na zkumavky s alfanumerickým popisem BSP217</t>
  </si>
  <si>
    <t>ZB898</t>
  </si>
  <si>
    <t>Klobouček kojící kontaktní vel. S 16 mm K200.1628</t>
  </si>
  <si>
    <t>ZE623</t>
  </si>
  <si>
    <t>Cévka odsávací CH6 s přerušovačem sání bal. á 80 ks GCR1021-6</t>
  </si>
  <si>
    <t>ZE783</t>
  </si>
  <si>
    <t>Trn na vak jednosměrný bal. á 100 ks 2309E</t>
  </si>
  <si>
    <t>ZI119</t>
  </si>
  <si>
    <t>Manžeta TK novorozenecká č. 2 M1868B + konektor (dřív.kč.M1868A se již nevyrábí)</t>
  </si>
  <si>
    <t>ZB088</t>
  </si>
  <si>
    <t>Kanyla ET 3,0 bez manžety 9336E</t>
  </si>
  <si>
    <t>ZC134</t>
  </si>
  <si>
    <t>Manžeta TK novorozenecká č. 3 M1870B + konektor (M1870A se již nevyrábí)</t>
  </si>
  <si>
    <t>ZM753</t>
  </si>
  <si>
    <t>Sada Infant Flow LP nCPAP aolikátor. okruh, komora zvlhčovače s automatickým plněním bal. á 10 ks 7772011AK</t>
  </si>
  <si>
    <t>ZM945</t>
  </si>
  <si>
    <t>Senzor fore-sight neadhezivní malý 01-07-2000</t>
  </si>
  <si>
    <t>ZM759</t>
  </si>
  <si>
    <t>Čelenka fixační Infant Flow nCPAP XL 37 - 42 cm bal. á 10 ks 777040XL</t>
  </si>
  <si>
    <t>ZD283</t>
  </si>
  <si>
    <t>Aplikátor nasální neonatal bal. á 25 ks MN1100B</t>
  </si>
  <si>
    <t>ZG230</t>
  </si>
  <si>
    <t>Stojan na zkumavky s alfanumerickým popisem BSP213</t>
  </si>
  <si>
    <t>ZC058</t>
  </si>
  <si>
    <t>Kapilára hep. litný 200 ul+drátek 125/200</t>
  </si>
  <si>
    <t>ZC619</t>
  </si>
  <si>
    <t>Katetr pupeční žilní  F5/38 cm dvoucestný bal. á 5 ks 8888160556</t>
  </si>
  <si>
    <t>ZA716</t>
  </si>
  <si>
    <t>Set infuzní intrafix air bez PVC 180 cm 4063002</t>
  </si>
  <si>
    <t>ZA878</t>
  </si>
  <si>
    <t>Šití etlon bl 4-0 bal. á 12 ks W319</t>
  </si>
  <si>
    <t>ZA834</t>
  </si>
  <si>
    <t>Jehla injekční 0,7 x 40 mm černá 4660021</t>
  </si>
  <si>
    <t>ZA999</t>
  </si>
  <si>
    <t>Jehla injekční 0,5 x   16 mm oranžová 4657853</t>
  </si>
  <si>
    <t>ZA925</t>
  </si>
  <si>
    <t>Jehla spinální spinocan G22 40 mm černá 4507401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</si>
  <si>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</si>
  <si>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</si>
  <si>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</si>
  <si>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</si>
  <si>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</si>
  <si>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</si>
  <si>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</si>
  <si>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</si>
  <si>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</si>
  <si>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</si>
  <si>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DG383</t>
  </si>
  <si>
    <t>Bactec PEDS</t>
  </si>
  <si>
    <t>DG388</t>
  </si>
  <si>
    <t>Játrový bujon (10ml)</t>
  </si>
  <si>
    <t>DG395</t>
  </si>
  <si>
    <t>Diagnostická souprava ABO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</si>
  <si>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</si>
  <si>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</si>
  <si>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</si>
  <si>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</si>
  <si>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</si>
  <si>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</si>
  <si>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</si>
  <si>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</si>
  <si>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DD305</t>
  </si>
  <si>
    <t>KARTICKY TEST.SCREENING 45X70 á 100 ks</t>
  </si>
  <si>
    <t>DG427</t>
  </si>
  <si>
    <t>Printer paper OMNI/OMNI S, 6 Pcs</t>
  </si>
  <si>
    <t>DG424</t>
  </si>
  <si>
    <t>Autotrol plus B, level 2, 40 pcs</t>
  </si>
  <si>
    <t>DG419</t>
  </si>
  <si>
    <t>W Waste container, 2 Pcs</t>
  </si>
  <si>
    <t>DG191</t>
  </si>
  <si>
    <t>UNIV.INDIK.PAPIRKY pH 0-12</t>
  </si>
  <si>
    <t>ZD478</t>
  </si>
  <si>
    <t>Převodník tlakový arteriální 90 cm jednokom. pediatrický 1 linka bal. á 20 ks T432105A</t>
  </si>
  <si>
    <t>ZK806</t>
  </si>
  <si>
    <t>Okruh ventilační jednorázový k ventilátoru babylog 8000IC 5068810</t>
  </si>
  <si>
    <t>ZM762</t>
  </si>
  <si>
    <t>Maska Infant Flow LP nCPAP M bal. á 10 ks 777002M</t>
  </si>
  <si>
    <t>ZM953</t>
  </si>
  <si>
    <t>Hadice silikon 5 / 9 mm á 25 m 34.000.00.108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</si>
  <si>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</si>
  <si>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</si>
  <si>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</si>
  <si>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</si>
  <si>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</si>
  <si>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</si>
  <si>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</si>
  <si>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</si>
  <si>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</si>
  <si>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</si>
  <si>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</si>
  <si>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</si>
  <si>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</si>
  <si>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</si>
  <si>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</si>
  <si>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</si>
  <si>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</si>
  <si>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</si>
  <si>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</si>
  <si>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</si>
  <si>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</si>
  <si>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</si>
  <si>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3F4</t>
  </si>
  <si>
    <t>1</t>
  </si>
  <si>
    <t>0053922</t>
  </si>
  <si>
    <t>0065989</t>
  </si>
  <si>
    <t>0068999</t>
  </si>
  <si>
    <t>0072973</t>
  </si>
  <si>
    <t>0092206</t>
  </si>
  <si>
    <t>AUGMENTIN 600 MG</t>
  </si>
  <si>
    <t>0092289</t>
  </si>
  <si>
    <t>0096413</t>
  </si>
  <si>
    <t>0137499</t>
  </si>
  <si>
    <t>0164350</t>
  </si>
  <si>
    <t>TAZOCIN 4 G/0,5 G</t>
  </si>
  <si>
    <t>2</t>
  </si>
  <si>
    <t>0007957</t>
  </si>
  <si>
    <t>Erytrocyty deleukotizované</t>
  </si>
  <si>
    <t>0407942</t>
  </si>
  <si>
    <t>Příplatek za ozáření</t>
  </si>
  <si>
    <t>V</t>
  </si>
  <si>
    <t>00631</t>
  </si>
  <si>
    <t>OD TYPU 31 - PRO NEMOCNICE TYPU 3, (KATEGORIE 6)</t>
  </si>
  <si>
    <t>09227</t>
  </si>
  <si>
    <t>I. V. APLIKACE KRVE NEBO KREVNÍCH DERIVÁTŮ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</si>
  <si>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</si>
  <si>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</si>
  <si>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</si>
  <si>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</si>
  <si>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</si>
  <si>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</si>
  <si>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</si>
  <si>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</si>
  <si>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</si>
  <si>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</si>
  <si>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09544</t>
  </si>
  <si>
    <t>SIGNÁLNÍ VÝKON POBYTU V ZAŘÍZENÍ LŮŽKOVÉ PÉČE / DO</t>
  </si>
  <si>
    <t>31022</t>
  </si>
  <si>
    <t>CÍLENÉ VYŠETŘENÍ DĚTSKÝM LÉKAŘEM</t>
  </si>
  <si>
    <t>31021</t>
  </si>
  <si>
    <t>KOMPLEXNÍ VYŠETŘENÍ DĚTSKÝM LÉKAŘEM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</si>
  <si>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</si>
  <si>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</si>
  <si>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</si>
  <si>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</si>
  <si>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</si>
  <si>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</si>
  <si>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3T4</t>
  </si>
  <si>
    <t>0005114</t>
  </si>
  <si>
    <t>0011592</t>
  </si>
  <si>
    <t>METRONIDAZOL B. BRAUN 5 MG/ML</t>
  </si>
  <si>
    <t>0014583</t>
  </si>
  <si>
    <t xml:space="preserve"> </t>
  </si>
  <si>
    <t>0026039</t>
  </si>
  <si>
    <t>KIOVIG 100 MG/ML</t>
  </si>
  <si>
    <t>0042144</t>
  </si>
  <si>
    <t>HUMAN ALBUMIN GRIFOLS 20%</t>
  </si>
  <si>
    <t>0083487</t>
  </si>
  <si>
    <t>MERONEM 500 MG</t>
  </si>
  <si>
    <t>0087226</t>
  </si>
  <si>
    <t>0142077</t>
  </si>
  <si>
    <t>0129056</t>
  </si>
  <si>
    <t>ATENATIV</t>
  </si>
  <si>
    <t>0107960</t>
  </si>
  <si>
    <t>Trombocyty z aferézy deleukotizované</t>
  </si>
  <si>
    <t>0207921</t>
  </si>
  <si>
    <t>Plazma čerstvá zmrazená</t>
  </si>
  <si>
    <t>00671</t>
  </si>
  <si>
    <t>OD TYPU 71 - PRO NEMOCNICE TYPU 3, (KATEGORIE 6) -</t>
  </si>
  <si>
    <t>00675</t>
  </si>
  <si>
    <t>OD TYPU 75 - PRO NEMOCNICE TYPU 3, (KATEGORIE 6) -</t>
  </si>
  <si>
    <t>09547</t>
  </si>
  <si>
    <t>REGULAČNÍ POPLATEK -- POJIŠTĚNEC OD ÚHRADY POPLATK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</si>
  <si>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</si>
  <si>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</si>
  <si>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</si>
  <si>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</si>
  <si>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</si>
  <si>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(VZP) PORODNÍ VÁHA NOVOROZENCE POD 750 GRAMŮ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</si>
  <si>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</si>
  <si>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</si>
  <si>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</si>
  <si>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</si>
  <si>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</si>
  <si>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</si>
  <si>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34452</t>
  </si>
  <si>
    <t>(VZP) PORODNÍ VÁHA NOVOROZENCE OD 1000 DO 1499 GRA</t>
  </si>
  <si>
    <t>90905</t>
  </si>
  <si>
    <t>34451</t>
  </si>
  <si>
    <t>(VZP) PORODNÍ VÁHA NOVOROZENCE OD 750 DO 999 GRAMŮ</t>
  </si>
  <si>
    <t>09213</t>
  </si>
  <si>
    <t>NEODKLADNÁ KARDIOPULMONÁLNÍ RESUSCITACE ZÁKLADNÍ Á</t>
  </si>
  <si>
    <t>90955</t>
  </si>
  <si>
    <t>(DRG) VENTILAČNÍ PODPORA U NOVOROZENCŮ</t>
  </si>
  <si>
    <t>501</t>
  </si>
  <si>
    <t>51386</t>
  </si>
  <si>
    <t>SUTURA EV. EXCIZE A SUTURA LÉZE STĚNY ŽALUDKU NEBO</t>
  </si>
  <si>
    <t>APENDEKTOMIE NEBO OPERAČNÍ DRENÁŽ PERIAPENDIKULÁRN</t>
  </si>
  <si>
    <t>52221</t>
  </si>
  <si>
    <t>ATRESIE TENKÉHO STŘEVA VČETNĚ DUODENA U NOVOROZENC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</si>
  <si>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</si>
  <si>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</si>
  <si>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</si>
  <si>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</si>
  <si>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</si>
  <si>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51111</t>
  </si>
  <si>
    <t>OPERACE CYSTY NEBO HEMANGIOMU NEBO LIPOMU NEBO PIL</t>
  </si>
  <si>
    <t>5F6</t>
  </si>
  <si>
    <t>56163</t>
  </si>
  <si>
    <t>ZEVNÍ KOMOROVÁ DRENÁŽ NEBO ZAVEDENÍ ČIDLA NA MĚŘEN</t>
  </si>
  <si>
    <t>606</t>
  </si>
  <si>
    <t>66031</t>
  </si>
  <si>
    <t>PREVENTIVNÍ VYŠETŘENÍ KYČELNÍCH KLOUBŮ U KOJENCE</t>
  </si>
  <si>
    <t>7F6</t>
  </si>
  <si>
    <t>76335</t>
  </si>
  <si>
    <t>OPERAČNÍ REVIZE PERIRENÁLNÍCH NEBO PERIURETERÁLNÍC</t>
  </si>
  <si>
    <t>Zdravotní výkony vykázané na pracovišti pro pacienty hospitalizované ve FNOL - orientační přehled</t>
  </si>
  <si>
    <t>15601</t>
  </si>
  <si>
    <t>A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</si>
  <si>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</si>
  <si>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</si>
  <si>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</si>
  <si>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</si>
  <si>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</si>
  <si>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</si>
  <si>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 xml:space="preserve">NOVOROZENEC, VÁHA PŘI PORODU &lt;=1000G, SE ZÁKLADNÍM VÝKONEM S MCC                                    </t>
  </si>
  <si>
    <t>15632</t>
  </si>
  <si>
    <t xml:space="preserve">NOVOROZENEC, VÁHA PŘI PORODU &lt;=1000G, BEZ ZÁKLADNÍHO VÝKONU S CC                                    </t>
  </si>
  <si>
    <t>15633</t>
  </si>
  <si>
    <t xml:space="preserve">NOVOROZENEC, VÁHA PŘI PORODU &lt;=1000G, BEZ ZÁKLADNÍHO VÝKONU S MCC                                   </t>
  </si>
  <si>
    <t>15642</t>
  </si>
  <si>
    <t xml:space="preserve">NOVOROZENEC, VÁHA PŘI PORODU 1000-1499G, SE ZÁKLADNÍM VÝKONEM S CC                                  </t>
  </si>
  <si>
    <t>15652</t>
  </si>
  <si>
    <t xml:space="preserve">NOVOROZENEC, VÁHA PŘI PORODU 1000-1499G, BEZ ZÁKLADNÍHO VÝKONU S CC                                 </t>
  </si>
  <si>
    <t>15653</t>
  </si>
  <si>
    <t xml:space="preserve">NOVOROZENEC, VÁHA PŘI PORODU 1000-1499G, BEZ ZÁKLADNÍHO VÝKONU S MCC                                </t>
  </si>
  <si>
    <t>15662</t>
  </si>
  <si>
    <t xml:space="preserve">NOVOROZENEC, VÁHA PŘI PORODU 1500-1999G, SE ZÁKLADNÍM VÝKONEM S CC                                  </t>
  </si>
  <si>
    <t>15671</t>
  </si>
  <si>
    <t xml:space="preserve">NOVOROZENEC, VÁHA PŘI PORODU 1500-1999G, BEZ ZÁKLADNÍHO VÝKONU BEZ CC                               </t>
  </si>
  <si>
    <t>15672</t>
  </si>
  <si>
    <t xml:space="preserve">NOVOROZENEC, VÁHA PŘI PORODU 1500-1999G, BEZ ZÁKLADNÍHO VÝKONU S CC                                 </t>
  </si>
  <si>
    <t>15673</t>
  </si>
  <si>
    <t xml:space="preserve">NOVOROZENEC, VÁHA PŘI PORODU 1500-1999G, BEZ ZÁKLADNÍHO VÝKONU S MCC                                </t>
  </si>
  <si>
    <t>15691</t>
  </si>
  <si>
    <t xml:space="preserve">NOVOROZENEC, VÁHA PŘI PORODU 2000-2499G, BEZ ZÁKLADNÍHO VÝKONU BEZ CC                               </t>
  </si>
  <si>
    <t>15692</t>
  </si>
  <si>
    <t xml:space="preserve">NOVOROZENEC, VÁHA PŘI PORODU 2000-2499G, BEZ ZÁKLADNÍHO VÝKONU S CC                                 </t>
  </si>
  <si>
    <t>15693</t>
  </si>
  <si>
    <t xml:space="preserve">NOVOROZENEC, VÁHA PŘI PORODU 2000-2499G, BEZ ZÁKLADNÍHO VÝKONU S MCC                                </t>
  </si>
  <si>
    <t>15702</t>
  </si>
  <si>
    <t xml:space="preserve">NOVOROZENEC, VÁHA PŘI PORODU &gt;2499G, SE ZÁKLADNÍM VÝKONEM S CC                                      </t>
  </si>
  <si>
    <t>15703</t>
  </si>
  <si>
    <t xml:space="preserve">NOVOROZENEC, VÁHA PŘI PORODU &gt;2499G, SE ZÁKLADNÍM VÝKONEM S MCC                                     </t>
  </si>
  <si>
    <t>15711</t>
  </si>
  <si>
    <t xml:space="preserve">NOVOROZENEC, VÁHA PŘI PORODU &gt;2499G, S VÁŽNOU ANOMÁLIÍ NEBO DĚDIČNÝM STAVEM BEZ CC                  </t>
  </si>
  <si>
    <t>15712</t>
  </si>
  <si>
    <t xml:space="preserve">NOVOROZENEC, VÁHA PŘI PORODU &gt;2499G, S VÁŽNOU ANOMÁLIÍ NEBO DĚDIČNÝM STAVEM S CC                    </t>
  </si>
  <si>
    <t>15713</t>
  </si>
  <si>
    <t xml:space="preserve">NOVOROZENEC, VÁHA PŘI PORODU &gt;2499G, S VÁŽNOU ANOMÁLIÍ NEBO DĚDIČNÝM STAVEM S MCC                   </t>
  </si>
  <si>
    <t>15720</t>
  </si>
  <si>
    <t xml:space="preserve">NOVOROZENEC, VÁHA PŘI PORODU &gt; 2499G, SE SYNDROMEM DÝCHACÍCH POTÍŽÍ                                 </t>
  </si>
  <si>
    <t>15741</t>
  </si>
  <si>
    <t xml:space="preserve">NOVOROZENEC, VÁHA PŘI PORODU &gt; 2499G, S VROZENOU NEBO PERINATÁLNÍ INFEKCÍ BEZ CC                    </t>
  </si>
  <si>
    <t>15742</t>
  </si>
  <si>
    <t xml:space="preserve">NOVOROZENEC, VÁHA PŘI PORODU &gt; 2499G, S VROZENOU NEBO PERINATÁLNÍ INFEKCÍ S CC                      </t>
  </si>
  <si>
    <t>15743</t>
  </si>
  <si>
    <t xml:space="preserve">NOVOROZENEC, VÁHA PŘI PORODU &gt; 2499G, S VROZENOU NEBO PERINATÁLNÍ INFEKCÍ S MCC                     </t>
  </si>
  <si>
    <t>15751</t>
  </si>
  <si>
    <t xml:space="preserve">NOVOROZENEC, VÁHA PŘI PORODU &gt; 2499G, BEZ ZÁKLADNÍHO VÝKONU BEZ CC                                  </t>
  </si>
  <si>
    <t>15752</t>
  </si>
  <si>
    <t xml:space="preserve">NOVOROZENEC, VÁHA PŘI PORODU &gt; 2499G, BEZ ZÁKLADNÍHO VÝKONU S CC                                    </t>
  </si>
  <si>
    <t>15753</t>
  </si>
  <si>
    <t xml:space="preserve">NOVOROZENEC, VÁHA PŘI PORODU &gt; 2499G, BEZ ZÁKLADNÍHO VÝKONU S MCC                                   </t>
  </si>
  <si>
    <t>23013</t>
  </si>
  <si>
    <t xml:space="preserve">OPERAČNÍ VÝKON S DIAGNÓZOU JINÉHO KONTAKTU SE ZDRAVOTNICKÝMI SLUŽBAMI S MCC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</si>
  <si>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</si>
  <si>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</si>
  <si>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</si>
  <si>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</si>
  <si>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</si>
  <si>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</si>
  <si>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</si>
  <si>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</si>
  <si>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</si>
  <si>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</si>
  <si>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</si>
  <si>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</si>
  <si>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</si>
  <si>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</si>
  <si>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</si>
  <si>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28</t>
  </si>
  <si>
    <t>816</t>
  </si>
  <si>
    <t>94181</t>
  </si>
  <si>
    <t>ZHOTOVENÍ KARYOTYPU Z JEDNÉ MITÓZY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</si>
  <si>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</si>
  <si>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</si>
  <si>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</si>
  <si>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</si>
  <si>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</si>
  <si>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</si>
  <si>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</si>
  <si>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</si>
  <si>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</si>
  <si>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</si>
  <si>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</si>
  <si>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</si>
  <si>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</si>
  <si>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</si>
  <si>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</si>
  <si>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</si>
  <si>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</si>
  <si>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</si>
  <si>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</si>
  <si>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</si>
  <si>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</si>
  <si>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</si>
  <si>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</si>
  <si>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</si>
  <si>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</si>
  <si>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</si>
  <si>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</si>
  <si>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</si>
  <si>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</si>
  <si>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</si>
  <si>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</si>
  <si>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</si>
  <si>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</si>
  <si>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</si>
  <si>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</si>
  <si>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</si>
  <si>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96199</t>
  </si>
  <si>
    <t>PROTEIN C - FUNKČNÍ AKTIVITA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</si>
  <si>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</si>
  <si>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</si>
  <si>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</si>
  <si>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</si>
  <si>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</si>
  <si>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</si>
  <si>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</si>
  <si>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</si>
  <si>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</si>
  <si>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</si>
  <si>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</si>
  <si>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</si>
  <si>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</si>
  <si>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</si>
  <si>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</si>
  <si>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</si>
  <si>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</si>
  <si>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</si>
  <si>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</si>
  <si>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</si>
  <si>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</si>
  <si>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</si>
  <si>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81377</t>
  </si>
  <si>
    <t>SACHARIDY TENKOVRSTEVNOU CHROMATOGRAFIÍ V MOČI</t>
  </si>
  <si>
    <t>81391</t>
  </si>
  <si>
    <t>DISACHARIDY</t>
  </si>
  <si>
    <t>81427</t>
  </si>
  <si>
    <t>FOSFOR ANORGANICKÝ</t>
  </si>
  <si>
    <t>81521</t>
  </si>
  <si>
    <t>LAKTÁT (KYSELINA MLÉČNÁ)</t>
  </si>
  <si>
    <t>81641</t>
  </si>
  <si>
    <t>ŽELEZO CELKOVÉ</t>
  </si>
  <si>
    <t>81651</t>
  </si>
  <si>
    <t xml:space="preserve">VYŠETŘENÍ DĚDIČNÝCH PORUCH METABOLISMU (DÁLE DPM) </t>
  </si>
  <si>
    <t>81717</t>
  </si>
  <si>
    <t>STANOVENÍ KONCENTRACE PROTEINU S-100B (S-100BB, S-</t>
  </si>
  <si>
    <t>81721</t>
  </si>
  <si>
    <t>IMUNOTURBIDIMETRICKÉ A/NEBO IMUNONEFELOMETRICKÉ ST</t>
  </si>
  <si>
    <t>81747</t>
  </si>
  <si>
    <t xml:space="preserve">VYŠETŘENÍ TANDEMOVOU HMOTNOSTNÍ SPEKTROMETRIÍ PRO 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</si>
  <si>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</si>
  <si>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</si>
  <si>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</si>
  <si>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</si>
  <si>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</si>
  <si>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</si>
  <si>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</si>
  <si>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</si>
  <si>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</si>
  <si>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</si>
  <si>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93171</t>
  </si>
  <si>
    <t>PARATHORMON</t>
  </si>
  <si>
    <t>93191</t>
  </si>
  <si>
    <t>TESTOSTERON</t>
  </si>
  <si>
    <t>81119</t>
  </si>
  <si>
    <t>AMONIAK STATIM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</si>
  <si>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</si>
  <si>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</si>
  <si>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</si>
  <si>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</si>
  <si>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</si>
  <si>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</si>
  <si>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</si>
  <si>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</si>
  <si>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</si>
  <si>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</si>
  <si>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</si>
  <si>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</si>
  <si>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</si>
  <si>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</si>
  <si>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</si>
  <si>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</si>
  <si>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</si>
  <si>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</si>
  <si>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</si>
  <si>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</si>
  <si>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</si>
  <si>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</si>
  <si>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</si>
  <si>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</si>
  <si>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</si>
  <si>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</si>
  <si>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</si>
  <si>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</si>
  <si>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</si>
  <si>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</si>
  <si>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</si>
  <si>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</si>
  <si>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</si>
  <si>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</si>
  <si>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</si>
  <si>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</si>
  <si>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</si>
  <si>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</si>
  <si>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</si>
  <si>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</si>
  <si>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81703</t>
  </si>
  <si>
    <t>CYSTATIN C</t>
  </si>
  <si>
    <t>81139</t>
  </si>
  <si>
    <t>VÁPNÍK CELKOVÝ STATIM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</si>
  <si>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</si>
  <si>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</si>
  <si>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</si>
  <si>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</si>
  <si>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</si>
  <si>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</si>
  <si>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</si>
  <si>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</si>
  <si>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</si>
  <si>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</si>
  <si>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</si>
  <si>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</si>
  <si>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</si>
  <si>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</si>
  <si>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81339</t>
  </si>
  <si>
    <t>AMINOKYSELINY STANOVENÍ CELKOVÉHO SPEKTRA V BIOLOG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</si>
  <si>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</si>
  <si>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</si>
  <si>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</si>
  <si>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</si>
  <si>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</si>
  <si>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</si>
  <si>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</si>
  <si>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</si>
  <si>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</si>
  <si>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</si>
  <si>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94189</t>
  </si>
  <si>
    <t>HYBRIDIZACE DNA SE ZNAČENOU SONDOU</t>
  </si>
  <si>
    <t>94199</t>
  </si>
  <si>
    <t>AMPLIFIKACE METODOU PCR</t>
  </si>
  <si>
    <t>93183</t>
  </si>
  <si>
    <t>SEXUÁLNÍ HORMONY VÁZAJÍCÍ GLOBULIN (SHBG)</t>
  </si>
  <si>
    <t>81123</t>
  </si>
  <si>
    <t>BILIRUBIN KONJUGOVANÝ STATIM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</si>
  <si>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</si>
  <si>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</si>
  <si>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</si>
  <si>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</si>
  <si>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</si>
  <si>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</si>
  <si>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</si>
  <si>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</si>
  <si>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</si>
  <si>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</si>
  <si>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</si>
  <si>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81129</t>
  </si>
  <si>
    <t>BÍLKOVINA KVANTITATIVNĚ (MOČ, VÝPOTEK, CSF) STATIM</t>
  </si>
  <si>
    <t>81489</t>
  </si>
  <si>
    <t>KATECHOLAMIN A JEHO METABOLITY</t>
  </si>
  <si>
    <t>813</t>
  </si>
  <si>
    <t>91197</t>
  </si>
  <si>
    <t>STANOVENÍ CYTOKINU ELISA</t>
  </si>
  <si>
    <t>34</t>
  </si>
  <si>
    <t>809</t>
  </si>
  <si>
    <t>0017039</t>
  </si>
  <si>
    <t>VISIPAQUE 320 MG I/ML</t>
  </si>
  <si>
    <t>0045123</t>
  </si>
  <si>
    <t>0045124</t>
  </si>
  <si>
    <t>0077018</t>
  </si>
  <si>
    <t>ULTRAVIST 370</t>
  </si>
  <si>
    <t>0077019</t>
  </si>
  <si>
    <t>0077024</t>
  </si>
  <si>
    <t>ULTRAVIST 300</t>
  </si>
  <si>
    <t>0093626</t>
  </si>
  <si>
    <t>89127</t>
  </si>
  <si>
    <t>RTG KOSTÍ A KLOUBŮ KONČETIN</t>
  </si>
  <si>
    <t>89143</t>
  </si>
  <si>
    <t>RTG BŘICHA</t>
  </si>
  <si>
    <t>89167</t>
  </si>
  <si>
    <t>CYSTOGRAFIE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</si>
  <si>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</si>
  <si>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</si>
  <si>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</si>
  <si>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</si>
  <si>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</si>
  <si>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</si>
  <si>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89725</t>
  </si>
  <si>
    <t>OPAKOVANÉ ČI DOPLŇUJÍCÍ VYŠETŘENÍ MR</t>
  </si>
  <si>
    <t>89151</t>
  </si>
  <si>
    <t>PASÁŽ TRÁVICÍ TRUBICÍ</t>
  </si>
  <si>
    <t>89169</t>
  </si>
  <si>
    <t>CYSTOURETROGRAFIE</t>
  </si>
  <si>
    <t>89125</t>
  </si>
  <si>
    <t>RTG RAMENNÍHO KLOUBU</t>
  </si>
  <si>
    <t>89145</t>
  </si>
  <si>
    <t>RTG JÍCNU</t>
  </si>
  <si>
    <t>89155</t>
  </si>
  <si>
    <t>RTG VYŠETŘENÍ TLUSTÉHO STŘEVA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</si>
  <si>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</si>
  <si>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</si>
  <si>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</si>
  <si>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</si>
  <si>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</si>
  <si>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</si>
  <si>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</si>
  <si>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</si>
  <si>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</si>
  <si>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</si>
  <si>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</si>
  <si>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</si>
  <si>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22319</t>
  </si>
  <si>
    <t>ELUCE ANTIERYTROCYTÁRNÍCH PROTILÁTEK METODOU MRAZO</t>
  </si>
  <si>
    <t>22355</t>
  </si>
  <si>
    <t>KONZULTACE ODBORNÉHO TRANSFÚZIOLOGA - IMUNOHEMATOL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</si>
  <si>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</si>
  <si>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</si>
  <si>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</si>
  <si>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</si>
  <si>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</si>
  <si>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</si>
  <si>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</si>
  <si>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</si>
  <si>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</si>
  <si>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</si>
  <si>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</si>
  <si>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</si>
  <si>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</si>
  <si>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</si>
  <si>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</si>
  <si>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</si>
  <si>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</si>
  <si>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</si>
  <si>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</si>
  <si>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</si>
  <si>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</si>
  <si>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</si>
  <si>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</si>
  <si>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</si>
  <si>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</si>
  <si>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</si>
  <si>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</si>
  <si>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</si>
  <si>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87221</t>
  </si>
  <si>
    <t>ODBĚR PRO SPECIELNÍ VYŠETŘENÍ : RECEPTORY, HISTOCH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</si>
  <si>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</si>
  <si>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</si>
  <si>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</si>
  <si>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</si>
  <si>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</si>
  <si>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</si>
  <si>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</si>
  <si>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</si>
  <si>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</si>
  <si>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</si>
  <si>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</si>
  <si>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</si>
  <si>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</si>
  <si>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</si>
  <si>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</si>
  <si>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</si>
  <si>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</si>
  <si>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</si>
  <si>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</si>
  <si>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</si>
  <si>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</si>
  <si>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</si>
  <si>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</si>
  <si>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</si>
  <si>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</si>
  <si>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</si>
  <si>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</si>
  <si>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</si>
  <si>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</si>
  <si>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</si>
  <si>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</si>
  <si>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</si>
  <si>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</si>
  <si>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</si>
  <si>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</si>
  <si>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</si>
  <si>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</si>
  <si>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</si>
  <si>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</si>
  <si>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</si>
  <si>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</si>
  <si>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</si>
  <si>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</si>
  <si>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</si>
  <si>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</si>
  <si>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</si>
  <si>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82233</t>
  </si>
  <si>
    <t>IDENTIFIKACE MYKOPLASMAT</t>
  </si>
  <si>
    <t>82149</t>
  </si>
  <si>
    <t>SEROTYPIZACE STŘEVNÍCH A JINÝCH PATOGENŮ</t>
  </si>
  <si>
    <t>41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</si>
  <si>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</si>
  <si>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</si>
  <si>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</si>
  <si>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</si>
  <si>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</si>
  <si>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</si>
  <si>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</si>
  <si>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</si>
  <si>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</si>
  <si>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</si>
  <si>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91317</t>
  </si>
  <si>
    <t>PRŮKAZ ANTINUKLEÁRNÍCH PROTILÁTEK - JINÉ SUBSTRÁTY</t>
  </si>
  <si>
    <t>91567</t>
  </si>
  <si>
    <t>IMUNOANALYTICKÉ STANOVENÍ AUTOPROTILÁTEK</t>
  </si>
  <si>
    <t>91439</t>
  </si>
  <si>
    <t>IMUNOFENOTYPIZACE BUNĚČNÝCH SUBPOPULACÍ DLE POVRCH</t>
  </si>
  <si>
    <t>91355</t>
  </si>
  <si>
    <t>STANOVENÍ CIK METODOU PEG-IKEM</t>
  </si>
  <si>
    <t>91259</t>
  </si>
  <si>
    <t>STANOVENÍ ANTI NUKLEOHISTON Ab ELISA</t>
  </si>
  <si>
    <t>91189</t>
  </si>
  <si>
    <t>STANOVENÍ IgE</t>
  </si>
  <si>
    <t>91133</t>
  </si>
  <si>
    <t>STANOVENÍ IgM</t>
  </si>
  <si>
    <t>91265</t>
  </si>
  <si>
    <t>STANOVENÍ ANTI SS-B/La Ab ELISA</t>
  </si>
  <si>
    <t>91263</t>
  </si>
  <si>
    <t>STANOVENÍ ANTI SS-A/Ro Ab ELISA</t>
  </si>
  <si>
    <t>91253</t>
  </si>
  <si>
    <t>STANOVENÍ ANTI ds-DNA Ab ELISA</t>
  </si>
  <si>
    <t>91159</t>
  </si>
  <si>
    <t>STANOVENÍ C3 SLOŽKY KOMPLEMENTU</t>
  </si>
  <si>
    <t>91269</t>
  </si>
  <si>
    <t>STANOVENÍ ANTI U1-RNP Ab ELISA</t>
  </si>
  <si>
    <t>22217</t>
  </si>
  <si>
    <t xml:space="preserve">SCREENINGOVÉ VYŠETŘENÍ TROMBOCYTÁRNÍCH PROTILÁTEK 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</si>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</sst>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8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8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4" fillId="0" borderId="45" xfId="26" applyNumberFormat="1" applyFont="1" applyFill="1" applyBorder="1" applyAlignment="1">
      <alignment horizontal="right" vertical="top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0" fontId="35" fillId="0" borderId="45" xfId="0" applyFont="1" applyFill="1" applyBorder="1" applyAlignment="1">
      <alignment horizontal="right" vertical="top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2" xfId="0" applyNumberFormat="1" applyFont="1" applyFill="1" applyBorder="1" applyAlignment="1">
      <alignment horizontal="right" vertical="top"/>
    </xf>
    <xf numFmtId="3" fontId="36" fillId="10" borderId="113" xfId="0" applyNumberFormat="1" applyFont="1" applyFill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6" fillId="0" borderId="112" xfId="0" applyNumberFormat="1" applyFont="1" applyBorder="1" applyAlignment="1">
      <alignment horizontal="right" vertical="top"/>
    </xf>
    <xf numFmtId="176" fontId="36" fillId="10" borderId="115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3" fontId="38" fillId="10" borderId="118" xfId="0" applyNumberFormat="1" applyFont="1" applyFill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3" fontId="38" fillId="0" borderId="117" xfId="0" applyNumberFormat="1" applyFont="1" applyBorder="1" applyAlignment="1">
      <alignment horizontal="right" vertical="top"/>
    </xf>
    <xf numFmtId="0" fontId="38" fillId="10" borderId="120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0" fontId="36" fillId="10" borderId="115" xfId="0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176" fontId="38" fillId="10" borderId="120" xfId="0" applyNumberFormat="1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0" fontId="38" fillId="0" borderId="123" xfId="0" applyFont="1" applyBorder="1" applyAlignment="1">
      <alignment horizontal="right" vertical="top"/>
    </xf>
    <xf numFmtId="176" fontId="38" fillId="10" borderId="124" xfId="0" applyNumberFormat="1" applyFont="1" applyFill="1" applyBorder="1" applyAlignment="1">
      <alignment horizontal="right" vertical="top"/>
    </xf>
    <xf numFmtId="0" fontId="40" fillId="11" borderId="111" xfId="0" applyFont="1" applyFill="1" applyBorder="1" applyAlignment="1">
      <alignment vertical="top"/>
    </xf>
    <xf numFmtId="0" fontId="40" fillId="11" borderId="111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 indent="6"/>
    </xf>
    <xf numFmtId="0" fontId="40" fillId="11" borderId="111" xfId="0" applyFont="1" applyFill="1" applyBorder="1" applyAlignment="1">
      <alignment vertical="top" indent="8"/>
    </xf>
    <xf numFmtId="0" fontId="41" fillId="11" borderId="116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6"/>
    </xf>
    <xf numFmtId="0" fontId="41" fillId="11" borderId="116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/>
    </xf>
    <xf numFmtId="0" fontId="35" fillId="11" borderId="111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5" xfId="53" applyNumberFormat="1" applyFont="1" applyFill="1" applyBorder="1" applyAlignment="1">
      <alignment horizontal="left"/>
    </xf>
    <xf numFmtId="164" fontId="34" fillId="2" borderId="126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5" xfId="0" applyFont="1" applyFill="1" applyBorder="1"/>
    <xf numFmtId="3" fontId="42" fillId="2" borderId="127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77" xfId="0" applyNumberFormat="1" applyFont="1" applyFill="1" applyBorder="1"/>
    <xf numFmtId="9" fontId="35" fillId="0" borderId="87" xfId="0" applyNumberFormat="1" applyFont="1" applyFill="1" applyBorder="1"/>
    <xf numFmtId="9" fontId="35" fillId="0" borderId="80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76" xfId="0" applyFont="1" applyFill="1" applyBorder="1"/>
    <xf numFmtId="0" fontId="42" fillId="0" borderId="128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86" xfId="0" applyFont="1" applyFill="1" applyBorder="1"/>
    <xf numFmtId="0" fontId="42" fillId="2" borderId="126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5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8" xfId="0" applyNumberFormat="1" applyFont="1" applyFill="1" applyBorder="1"/>
    <xf numFmtId="9" fontId="35" fillId="0" borderId="81" xfId="0" applyNumberFormat="1" applyFont="1" applyFill="1" applyBorder="1"/>
    <xf numFmtId="0" fontId="42" fillId="0" borderId="108" xfId="0" applyFont="1" applyFill="1" applyBorder="1"/>
    <xf numFmtId="0" fontId="42" fillId="0" borderId="106" xfId="0" applyFont="1" applyFill="1" applyBorder="1" applyAlignment="1">
      <alignment horizontal="left" indent="1"/>
    </xf>
    <xf numFmtId="0" fontId="42" fillId="0" borderId="107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8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8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1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173" fontId="42" fillId="4" borderId="131" xfId="0" applyNumberFormat="1" applyFont="1" applyFill="1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6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6" xfId="0" applyNumberFormat="1" applyFont="1" applyBorder="1"/>
    <xf numFmtId="173" fontId="35" fillId="0" borderId="103" xfId="0" applyNumberFormat="1" applyFont="1" applyBorder="1"/>
    <xf numFmtId="9" fontId="35" fillId="0" borderId="101" xfId="0" applyNumberFormat="1" applyFont="1" applyBorder="1"/>
    <xf numFmtId="173" fontId="42" fillId="4" borderId="137" xfId="0" applyNumberFormat="1" applyFont="1" applyFill="1" applyBorder="1" applyAlignment="1">
      <alignment horizontal="center"/>
    </xf>
    <xf numFmtId="173" fontId="35" fillId="0" borderId="138" xfId="0" applyNumberFormat="1" applyFont="1" applyBorder="1" applyAlignment="1">
      <alignment horizontal="right"/>
    </xf>
    <xf numFmtId="175" fontId="35" fillId="0" borderId="138" xfId="0" applyNumberFormat="1" applyFont="1" applyBorder="1" applyAlignment="1">
      <alignment horizontal="right"/>
    </xf>
    <xf numFmtId="173" fontId="35" fillId="0" borderId="139" xfId="0" applyNumberFormat="1" applyFont="1" applyBorder="1" applyAlignment="1">
      <alignment horizontal="right"/>
    </xf>
    <xf numFmtId="0" fontId="0" fillId="0" borderId="17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6" fontId="5" fillId="0" borderId="129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3" fontId="12" fillId="0" borderId="129" xfId="0" applyNumberFormat="1" applyFont="1" applyBorder="1" applyAlignment="1">
      <alignment horizontal="right"/>
    </xf>
    <xf numFmtId="166" fontId="12" fillId="0" borderId="129" xfId="0" applyNumberFormat="1" applyFont="1" applyBorder="1" applyAlignment="1">
      <alignment horizontal="right"/>
    </xf>
    <xf numFmtId="166" fontId="11" fillId="0" borderId="91" xfId="0" applyNumberFormat="1" applyFont="1" applyBorder="1" applyAlignment="1">
      <alignment horizontal="right"/>
    </xf>
    <xf numFmtId="177" fontId="5" fillId="0" borderId="129" xfId="0" applyNumberFormat="1" applyFont="1" applyBorder="1" applyAlignment="1">
      <alignment horizontal="right"/>
    </xf>
    <xf numFmtId="3" fontId="5" fillId="0" borderId="129" xfId="0" applyNumberFormat="1" applyFont="1" applyBorder="1" applyAlignment="1">
      <alignment horizontal="right"/>
    </xf>
    <xf numFmtId="4" fontId="5" fillId="0" borderId="129" xfId="0" applyNumberFormat="1" applyFont="1" applyBorder="1" applyAlignment="1">
      <alignment horizontal="right"/>
    </xf>
    <xf numFmtId="3" fontId="5" fillId="0" borderId="129" xfId="0" applyNumberFormat="1" applyFont="1" applyBorder="1"/>
    <xf numFmtId="3" fontId="11" fillId="0" borderId="90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3" fontId="12" fillId="0" borderId="129" xfId="0" applyNumberFormat="1" applyFont="1" applyBorder="1"/>
    <xf numFmtId="166" fontId="12" fillId="0" borderId="129" xfId="0" applyNumberFormat="1" applyFont="1" applyBorder="1"/>
    <xf numFmtId="166" fontId="12" fillId="0" borderId="91" xfId="0" applyNumberFormat="1" applyFont="1" applyBorder="1"/>
    <xf numFmtId="166" fontId="12" fillId="0" borderId="18" xfId="0" applyNumberFormat="1" applyFont="1" applyBorder="1"/>
    <xf numFmtId="3" fontId="35" fillId="0" borderId="129" xfId="0" applyNumberFormat="1" applyFont="1" applyBorder="1"/>
    <xf numFmtId="166" fontId="35" fillId="0" borderId="129" xfId="0" applyNumberFormat="1" applyFont="1" applyBorder="1"/>
    <xf numFmtId="166" fontId="35" fillId="0" borderId="91" xfId="0" applyNumberFormat="1" applyFont="1" applyBorder="1"/>
    <xf numFmtId="3" fontId="35" fillId="0" borderId="129" xfId="0" applyNumberFormat="1" applyFont="1" applyBorder="1" applyAlignment="1">
      <alignment horizontal="right"/>
    </xf>
    <xf numFmtId="0" fontId="5" fillId="0" borderId="129" xfId="0" applyFont="1" applyBorder="1"/>
    <xf numFmtId="9" fontId="35" fillId="0" borderId="129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0" xfId="0" applyNumberFormat="1" applyFont="1" applyBorder="1"/>
    <xf numFmtId="166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66" fontId="11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12" fillId="0" borderId="105" xfId="0" applyNumberFormat="1" applyFont="1" applyBorder="1"/>
    <xf numFmtId="166" fontId="12" fillId="0" borderId="105" xfId="0" applyNumberFormat="1" applyFont="1" applyBorder="1"/>
    <xf numFmtId="166" fontId="12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3" fontId="3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7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1.1142415197625994</c:v>
                </c:pt>
                <c:pt idx="1">
                  <c:v>1.1971396465184583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831736"/>
        <c:axId val="1520832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1.159563893300914</c:v>
                </c:pt>
                <c:pt idx="1">
                  <c:v>1.159563893300914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833304"/>
        <c:axId val="1520834088"/>
      </c:scatterChart>
      <c:catAx>
        <c:axId val="152083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083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832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0831736"/>
        <c:crosses val="autoZero"/>
        <c:crossBetween val="between"/>
      </c:valAx>
      <c:valAx>
        <c:axId val="15208333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20834088"/>
        <c:crosses val="max"/>
        <c:crossBetween val="midCat"/>
      </c:valAx>
      <c:valAx>
        <c:axId val="1520834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08333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1.0049091272833599</c:v>
                </c:pt>
                <c:pt idx="1">
                  <c:v>0.95923087256606965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150624"/>
        <c:axId val="91115023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601216"/>
        <c:axId val="1322577952"/>
      </c:scatterChart>
      <c:catAx>
        <c:axId val="91115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1150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1502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11150624"/>
        <c:crosses val="autoZero"/>
        <c:crossBetween val="between"/>
      </c:valAx>
      <c:valAx>
        <c:axId val="783601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2577952"/>
        <c:crosses val="max"/>
        <c:crossBetween val="midCat"/>
      </c:valAx>
      <c:valAx>
        <c:axId val="13225779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78360121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305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307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9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1023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272</v>
      </c>
      <c r="C15" s="51" t="s">
        <v>282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1311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1427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1493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1865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1023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305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21</v>
      </c>
      <c r="G3" s="47">
        <f>SUBTOTAL(9,G6:G1048576)</f>
        <v>1175.6999999999998</v>
      </c>
      <c r="H3" s="48">
        <f>IF(M3=0,0,G3/M3)</f>
        <v>4.9254112821201013E-2</v>
      </c>
      <c r="I3" s="47">
        <f>SUBTOTAL(9,I6:I1048576)</f>
        <v>93.7</v>
      </c>
      <c r="J3" s="47">
        <f>SUBTOTAL(9,J6:J1048576)</f>
        <v>22694.387849677598</v>
      </c>
      <c r="K3" s="48">
        <f>IF(M3=0,0,J3/M3)</f>
        <v>0.95074588717879904</v>
      </c>
      <c r="L3" s="47">
        <f>SUBTOTAL(9,L6:L1048576)</f>
        <v>114.7</v>
      </c>
      <c r="M3" s="49">
        <f>SUBTOTAL(9,M6:M1048576)</f>
        <v>23870.087849677595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3" t="s">
        <v>145</v>
      </c>
      <c r="B5" s="641" t="s">
        <v>146</v>
      </c>
      <c r="C5" s="641" t="s">
        <v>77</v>
      </c>
      <c r="D5" s="641" t="s">
        <v>147</v>
      </c>
      <c r="E5" s="641" t="s">
        <v>148</v>
      </c>
      <c r="F5" s="642" t="s">
        <v>15</v>
      </c>
      <c r="G5" s="642" t="s">
        <v>14</v>
      </c>
      <c r="H5" s="625" t="s">
        <v>149</v>
      </c>
      <c r="I5" s="624" t="s">
        <v>15</v>
      </c>
      <c r="J5" s="642" t="s">
        <v>14</v>
      </c>
      <c r="K5" s="625" t="s">
        <v>149</v>
      </c>
      <c r="L5" s="624" t="s">
        <v>15</v>
      </c>
      <c r="M5" s="643" t="s">
        <v>14</v>
      </c>
    </row>
    <row r="6" spans="1:13" ht="14.4" customHeight="1" x14ac:dyDescent="0.3">
      <c r="A6" s="605" t="s">
        <v>538</v>
      </c>
      <c r="B6" s="606" t="s">
        <v>996</v>
      </c>
      <c r="C6" s="606" t="s">
        <v>635</v>
      </c>
      <c r="D6" s="606" t="s">
        <v>997</v>
      </c>
      <c r="E6" s="606" t="s">
        <v>998</v>
      </c>
      <c r="F6" s="609"/>
      <c r="G6" s="609"/>
      <c r="H6" s="627">
        <v>0</v>
      </c>
      <c r="I6" s="609">
        <v>2</v>
      </c>
      <c r="J6" s="609">
        <v>271.26</v>
      </c>
      <c r="K6" s="627">
        <v>1</v>
      </c>
      <c r="L6" s="609">
        <v>2</v>
      </c>
      <c r="M6" s="610">
        <v>271.26</v>
      </c>
    </row>
    <row r="7" spans="1:13" ht="14.4" customHeight="1" x14ac:dyDescent="0.3">
      <c r="A7" s="611" t="s">
        <v>538</v>
      </c>
      <c r="B7" s="612" t="s">
        <v>999</v>
      </c>
      <c r="C7" s="612" t="s">
        <v>700</v>
      </c>
      <c r="D7" s="612" t="s">
        <v>701</v>
      </c>
      <c r="E7" s="612" t="s">
        <v>702</v>
      </c>
      <c r="F7" s="615"/>
      <c r="G7" s="615"/>
      <c r="H7" s="628">
        <v>0</v>
      </c>
      <c r="I7" s="615">
        <v>7</v>
      </c>
      <c r="J7" s="615">
        <v>996.31</v>
      </c>
      <c r="K7" s="628">
        <v>1</v>
      </c>
      <c r="L7" s="615">
        <v>7</v>
      </c>
      <c r="M7" s="616">
        <v>996.31</v>
      </c>
    </row>
    <row r="8" spans="1:13" ht="14.4" customHeight="1" x14ac:dyDescent="0.3">
      <c r="A8" s="611" t="s">
        <v>541</v>
      </c>
      <c r="B8" s="612" t="s">
        <v>1000</v>
      </c>
      <c r="C8" s="612" t="s">
        <v>883</v>
      </c>
      <c r="D8" s="612" t="s">
        <v>1001</v>
      </c>
      <c r="E8" s="612" t="s">
        <v>1002</v>
      </c>
      <c r="F8" s="615"/>
      <c r="G8" s="615"/>
      <c r="H8" s="628">
        <v>0</v>
      </c>
      <c r="I8" s="615">
        <v>1</v>
      </c>
      <c r="J8" s="615">
        <v>68.28</v>
      </c>
      <c r="K8" s="628">
        <v>1</v>
      </c>
      <c r="L8" s="615">
        <v>1</v>
      </c>
      <c r="M8" s="616">
        <v>68.28</v>
      </c>
    </row>
    <row r="9" spans="1:13" ht="14.4" customHeight="1" x14ac:dyDescent="0.3">
      <c r="A9" s="611" t="s">
        <v>541</v>
      </c>
      <c r="B9" s="612" t="s">
        <v>996</v>
      </c>
      <c r="C9" s="612" t="s">
        <v>635</v>
      </c>
      <c r="D9" s="612" t="s">
        <v>997</v>
      </c>
      <c r="E9" s="612" t="s">
        <v>998</v>
      </c>
      <c r="F9" s="615"/>
      <c r="G9" s="615"/>
      <c r="H9" s="628">
        <v>0</v>
      </c>
      <c r="I9" s="615">
        <v>7</v>
      </c>
      <c r="J9" s="615">
        <v>955.0899999999998</v>
      </c>
      <c r="K9" s="628">
        <v>1</v>
      </c>
      <c r="L9" s="615">
        <v>7</v>
      </c>
      <c r="M9" s="616">
        <v>955.0899999999998</v>
      </c>
    </row>
    <row r="10" spans="1:13" ht="14.4" customHeight="1" x14ac:dyDescent="0.3">
      <c r="A10" s="611" t="s">
        <v>541</v>
      </c>
      <c r="B10" s="612" t="s">
        <v>1003</v>
      </c>
      <c r="C10" s="612" t="s">
        <v>949</v>
      </c>
      <c r="D10" s="612" t="s">
        <v>950</v>
      </c>
      <c r="E10" s="612" t="s">
        <v>1004</v>
      </c>
      <c r="F10" s="615"/>
      <c r="G10" s="615"/>
      <c r="H10" s="628">
        <v>0</v>
      </c>
      <c r="I10" s="615">
        <v>3.2</v>
      </c>
      <c r="J10" s="615">
        <v>269.66608966049523</v>
      </c>
      <c r="K10" s="628">
        <v>1</v>
      </c>
      <c r="L10" s="615">
        <v>3.2</v>
      </c>
      <c r="M10" s="616">
        <v>269.66608966049523</v>
      </c>
    </row>
    <row r="11" spans="1:13" ht="14.4" customHeight="1" x14ac:dyDescent="0.3">
      <c r="A11" s="611" t="s">
        <v>541</v>
      </c>
      <c r="B11" s="612" t="s">
        <v>1005</v>
      </c>
      <c r="C11" s="612" t="s">
        <v>956</v>
      </c>
      <c r="D11" s="612" t="s">
        <v>957</v>
      </c>
      <c r="E11" s="612" t="s">
        <v>958</v>
      </c>
      <c r="F11" s="615"/>
      <c r="G11" s="615"/>
      <c r="H11" s="628">
        <v>0</v>
      </c>
      <c r="I11" s="615">
        <v>0.5</v>
      </c>
      <c r="J11" s="615">
        <v>231</v>
      </c>
      <c r="K11" s="628">
        <v>1</v>
      </c>
      <c r="L11" s="615">
        <v>0.5</v>
      </c>
      <c r="M11" s="616">
        <v>231</v>
      </c>
    </row>
    <row r="12" spans="1:13" ht="14.4" customHeight="1" x14ac:dyDescent="0.3">
      <c r="A12" s="611" t="s">
        <v>541</v>
      </c>
      <c r="B12" s="612" t="s">
        <v>1006</v>
      </c>
      <c r="C12" s="612" t="s">
        <v>953</v>
      </c>
      <c r="D12" s="612" t="s">
        <v>954</v>
      </c>
      <c r="E12" s="612" t="s">
        <v>955</v>
      </c>
      <c r="F12" s="615"/>
      <c r="G12" s="615"/>
      <c r="H12" s="628">
        <v>0</v>
      </c>
      <c r="I12" s="615">
        <v>1</v>
      </c>
      <c r="J12" s="615">
        <v>772.08</v>
      </c>
      <c r="K12" s="628">
        <v>1</v>
      </c>
      <c r="L12" s="615">
        <v>1</v>
      </c>
      <c r="M12" s="616">
        <v>772.08</v>
      </c>
    </row>
    <row r="13" spans="1:13" ht="14.4" customHeight="1" x14ac:dyDescent="0.3">
      <c r="A13" s="611" t="s">
        <v>541</v>
      </c>
      <c r="B13" s="612" t="s">
        <v>999</v>
      </c>
      <c r="C13" s="612" t="s">
        <v>700</v>
      </c>
      <c r="D13" s="612" t="s">
        <v>701</v>
      </c>
      <c r="E13" s="612" t="s">
        <v>702</v>
      </c>
      <c r="F13" s="615"/>
      <c r="G13" s="615"/>
      <c r="H13" s="628">
        <v>0</v>
      </c>
      <c r="I13" s="615">
        <v>30</v>
      </c>
      <c r="J13" s="615">
        <v>5363.1979999999994</v>
      </c>
      <c r="K13" s="628">
        <v>1</v>
      </c>
      <c r="L13" s="615">
        <v>30</v>
      </c>
      <c r="M13" s="616">
        <v>5363.1979999999994</v>
      </c>
    </row>
    <row r="14" spans="1:13" ht="14.4" customHeight="1" x14ac:dyDescent="0.3">
      <c r="A14" s="611" t="s">
        <v>541</v>
      </c>
      <c r="B14" s="612" t="s">
        <v>1007</v>
      </c>
      <c r="C14" s="612" t="s">
        <v>639</v>
      </c>
      <c r="D14" s="612" t="s">
        <v>1008</v>
      </c>
      <c r="E14" s="612" t="s">
        <v>1009</v>
      </c>
      <c r="F14" s="615"/>
      <c r="G14" s="615"/>
      <c r="H14" s="628">
        <v>0</v>
      </c>
      <c r="I14" s="615">
        <v>6</v>
      </c>
      <c r="J14" s="615">
        <v>361.48000000000008</v>
      </c>
      <c r="K14" s="628">
        <v>1</v>
      </c>
      <c r="L14" s="615">
        <v>6</v>
      </c>
      <c r="M14" s="616">
        <v>361.48000000000008</v>
      </c>
    </row>
    <row r="15" spans="1:13" ht="14.4" customHeight="1" x14ac:dyDescent="0.3">
      <c r="A15" s="611" t="s">
        <v>541</v>
      </c>
      <c r="B15" s="612" t="s">
        <v>1010</v>
      </c>
      <c r="C15" s="612" t="s">
        <v>925</v>
      </c>
      <c r="D15" s="612" t="s">
        <v>1011</v>
      </c>
      <c r="E15" s="612" t="s">
        <v>1012</v>
      </c>
      <c r="F15" s="615">
        <v>10</v>
      </c>
      <c r="G15" s="615">
        <v>714.59999999999991</v>
      </c>
      <c r="H15" s="628">
        <v>1</v>
      </c>
      <c r="I15" s="615"/>
      <c r="J15" s="615"/>
      <c r="K15" s="628">
        <v>0</v>
      </c>
      <c r="L15" s="615">
        <v>10</v>
      </c>
      <c r="M15" s="616">
        <v>714.59999999999991</v>
      </c>
    </row>
    <row r="16" spans="1:13" ht="14.4" customHeight="1" x14ac:dyDescent="0.3">
      <c r="A16" s="611" t="s">
        <v>541</v>
      </c>
      <c r="B16" s="612" t="s">
        <v>1013</v>
      </c>
      <c r="C16" s="612" t="s">
        <v>943</v>
      </c>
      <c r="D16" s="612" t="s">
        <v>1014</v>
      </c>
      <c r="E16" s="612" t="s">
        <v>1015</v>
      </c>
      <c r="F16" s="615"/>
      <c r="G16" s="615"/>
      <c r="H16" s="628">
        <v>0</v>
      </c>
      <c r="I16" s="615">
        <v>20</v>
      </c>
      <c r="J16" s="615">
        <v>8982.007585917996</v>
      </c>
      <c r="K16" s="628">
        <v>1</v>
      </c>
      <c r="L16" s="615">
        <v>20</v>
      </c>
      <c r="M16" s="616">
        <v>8982.007585917996</v>
      </c>
    </row>
    <row r="17" spans="1:13" ht="14.4" customHeight="1" x14ac:dyDescent="0.3">
      <c r="A17" s="611" t="s">
        <v>541</v>
      </c>
      <c r="B17" s="612" t="s">
        <v>1016</v>
      </c>
      <c r="C17" s="612" t="s">
        <v>966</v>
      </c>
      <c r="D17" s="612" t="s">
        <v>967</v>
      </c>
      <c r="E17" s="612" t="s">
        <v>968</v>
      </c>
      <c r="F17" s="615">
        <v>1</v>
      </c>
      <c r="G17" s="615">
        <v>159.5</v>
      </c>
      <c r="H17" s="628">
        <v>1</v>
      </c>
      <c r="I17" s="615"/>
      <c r="J17" s="615"/>
      <c r="K17" s="628">
        <v>0</v>
      </c>
      <c r="L17" s="615">
        <v>1</v>
      </c>
      <c r="M17" s="616">
        <v>159.5</v>
      </c>
    </row>
    <row r="18" spans="1:13" ht="14.4" customHeight="1" x14ac:dyDescent="0.3">
      <c r="A18" s="611" t="s">
        <v>541</v>
      </c>
      <c r="B18" s="612" t="s">
        <v>1016</v>
      </c>
      <c r="C18" s="612" t="s">
        <v>960</v>
      </c>
      <c r="D18" s="612" t="s">
        <v>1017</v>
      </c>
      <c r="E18" s="612" t="s">
        <v>1018</v>
      </c>
      <c r="F18" s="615">
        <v>10</v>
      </c>
      <c r="G18" s="615">
        <v>301.60000000000002</v>
      </c>
      <c r="H18" s="628">
        <v>1</v>
      </c>
      <c r="I18" s="615"/>
      <c r="J18" s="615"/>
      <c r="K18" s="628">
        <v>0</v>
      </c>
      <c r="L18" s="615">
        <v>10</v>
      </c>
      <c r="M18" s="616">
        <v>301.60000000000002</v>
      </c>
    </row>
    <row r="19" spans="1:13" ht="14.4" customHeight="1" x14ac:dyDescent="0.3">
      <c r="A19" s="611" t="s">
        <v>541</v>
      </c>
      <c r="B19" s="612" t="s">
        <v>1019</v>
      </c>
      <c r="C19" s="612" t="s">
        <v>887</v>
      </c>
      <c r="D19" s="612" t="s">
        <v>888</v>
      </c>
      <c r="E19" s="612" t="s">
        <v>889</v>
      </c>
      <c r="F19" s="615"/>
      <c r="G19" s="615"/>
      <c r="H19" s="628">
        <v>0</v>
      </c>
      <c r="I19" s="615">
        <v>2</v>
      </c>
      <c r="J19" s="615">
        <v>262.71000000000004</v>
      </c>
      <c r="K19" s="628">
        <v>1</v>
      </c>
      <c r="L19" s="615">
        <v>2</v>
      </c>
      <c r="M19" s="616">
        <v>262.71000000000004</v>
      </c>
    </row>
    <row r="20" spans="1:13" ht="14.4" customHeight="1" x14ac:dyDescent="0.3">
      <c r="A20" s="611" t="s">
        <v>541</v>
      </c>
      <c r="B20" s="612" t="s">
        <v>1020</v>
      </c>
      <c r="C20" s="612" t="s">
        <v>879</v>
      </c>
      <c r="D20" s="612" t="s">
        <v>880</v>
      </c>
      <c r="E20" s="612" t="s">
        <v>881</v>
      </c>
      <c r="F20" s="615"/>
      <c r="G20" s="615"/>
      <c r="H20" s="628">
        <v>0</v>
      </c>
      <c r="I20" s="615">
        <v>2</v>
      </c>
      <c r="J20" s="615">
        <v>112.41999608434247</v>
      </c>
      <c r="K20" s="628">
        <v>1</v>
      </c>
      <c r="L20" s="615">
        <v>2</v>
      </c>
      <c r="M20" s="616">
        <v>112.41999608434247</v>
      </c>
    </row>
    <row r="21" spans="1:13" ht="14.4" customHeight="1" x14ac:dyDescent="0.3">
      <c r="A21" s="611" t="s">
        <v>541</v>
      </c>
      <c r="B21" s="612" t="s">
        <v>1021</v>
      </c>
      <c r="C21" s="612" t="s">
        <v>875</v>
      </c>
      <c r="D21" s="612" t="s">
        <v>876</v>
      </c>
      <c r="E21" s="612" t="s">
        <v>877</v>
      </c>
      <c r="F21" s="615"/>
      <c r="G21" s="615"/>
      <c r="H21" s="628">
        <v>0</v>
      </c>
      <c r="I21" s="615">
        <v>9</v>
      </c>
      <c r="J21" s="615">
        <v>1244.25</v>
      </c>
      <c r="K21" s="628">
        <v>1</v>
      </c>
      <c r="L21" s="615">
        <v>9</v>
      </c>
      <c r="M21" s="616">
        <v>1244.25</v>
      </c>
    </row>
    <row r="22" spans="1:13" ht="14.4" customHeight="1" x14ac:dyDescent="0.3">
      <c r="A22" s="611" t="s">
        <v>541</v>
      </c>
      <c r="B22" s="612" t="s">
        <v>1022</v>
      </c>
      <c r="C22" s="612" t="s">
        <v>918</v>
      </c>
      <c r="D22" s="612" t="s">
        <v>919</v>
      </c>
      <c r="E22" s="612" t="s">
        <v>920</v>
      </c>
      <c r="F22" s="615"/>
      <c r="G22" s="615"/>
      <c r="H22" s="628">
        <v>0</v>
      </c>
      <c r="I22" s="615">
        <v>1</v>
      </c>
      <c r="J22" s="615">
        <v>200.24</v>
      </c>
      <c r="K22" s="628">
        <v>1</v>
      </c>
      <c r="L22" s="615">
        <v>1</v>
      </c>
      <c r="M22" s="616">
        <v>200.24</v>
      </c>
    </row>
    <row r="23" spans="1:13" ht="14.4" customHeight="1" thickBot="1" x14ac:dyDescent="0.35">
      <c r="A23" s="617" t="s">
        <v>541</v>
      </c>
      <c r="B23" s="618" t="s">
        <v>1022</v>
      </c>
      <c r="C23" s="618" t="s">
        <v>921</v>
      </c>
      <c r="D23" s="618" t="s">
        <v>922</v>
      </c>
      <c r="E23" s="618" t="s">
        <v>923</v>
      </c>
      <c r="F23" s="621"/>
      <c r="G23" s="621"/>
      <c r="H23" s="629">
        <v>0</v>
      </c>
      <c r="I23" s="621">
        <v>2</v>
      </c>
      <c r="J23" s="621">
        <v>2604.3961780147629</v>
      </c>
      <c r="K23" s="629">
        <v>1</v>
      </c>
      <c r="L23" s="621">
        <v>2</v>
      </c>
      <c r="M23" s="622">
        <v>2604.3961780147629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272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305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507</v>
      </c>
      <c r="C3" s="438">
        <f>SUM(C6:C1048576)</f>
        <v>62</v>
      </c>
      <c r="D3" s="438">
        <f>SUM(D6:D1048576)</f>
        <v>22</v>
      </c>
      <c r="E3" s="439">
        <f>SUM(E6:E1048576)</f>
        <v>0</v>
      </c>
      <c r="F3" s="436">
        <f>IF(SUM($B3:$E3)=0,"",B3/SUM($B3:$E3))</f>
        <v>0.85786802030456855</v>
      </c>
      <c r="G3" s="434">
        <f t="shared" ref="G3:I3" si="0">IF(SUM($B3:$E3)=0,"",C3/SUM($B3:$E3))</f>
        <v>0.10490693739424704</v>
      </c>
      <c r="H3" s="434">
        <f t="shared" si="0"/>
        <v>3.7225042301184431E-2</v>
      </c>
      <c r="I3" s="435">
        <f t="shared" si="0"/>
        <v>0</v>
      </c>
      <c r="J3" s="438">
        <f>SUM(J6:J1048576)</f>
        <v>84</v>
      </c>
      <c r="K3" s="438">
        <f>SUM(K6:K1048576)</f>
        <v>36</v>
      </c>
      <c r="L3" s="438">
        <f>SUM(L6:L1048576)</f>
        <v>22</v>
      </c>
      <c r="M3" s="439">
        <f>SUM(M6:M1048576)</f>
        <v>0</v>
      </c>
      <c r="N3" s="436">
        <f>IF(SUM($J3:$M3)=0,"",J3/SUM($J3:$M3))</f>
        <v>0.59154929577464788</v>
      </c>
      <c r="O3" s="434">
        <f t="shared" ref="O3:Q3" si="1">IF(SUM($J3:$M3)=0,"",K3/SUM($J3:$M3))</f>
        <v>0.25352112676056338</v>
      </c>
      <c r="P3" s="434">
        <f t="shared" si="1"/>
        <v>0.15492957746478872</v>
      </c>
      <c r="Q3" s="435">
        <f t="shared" si="1"/>
        <v>0</v>
      </c>
    </row>
    <row r="4" spans="1:17" ht="14.4" customHeight="1" thickBot="1" x14ac:dyDescent="0.35">
      <c r="A4" s="432"/>
      <c r="B4" s="503" t="s">
        <v>274</v>
      </c>
      <c r="C4" s="504"/>
      <c r="D4" s="504"/>
      <c r="E4" s="505"/>
      <c r="F4" s="500" t="s">
        <v>279</v>
      </c>
      <c r="G4" s="501"/>
      <c r="H4" s="501"/>
      <c r="I4" s="502"/>
      <c r="J4" s="503" t="s">
        <v>280</v>
      </c>
      <c r="K4" s="504"/>
      <c r="L4" s="504"/>
      <c r="M4" s="505"/>
      <c r="N4" s="500" t="s">
        <v>281</v>
      </c>
      <c r="O4" s="501"/>
      <c r="P4" s="501"/>
      <c r="Q4" s="502"/>
    </row>
    <row r="5" spans="1:17" ht="14.4" customHeight="1" thickBot="1" x14ac:dyDescent="0.35">
      <c r="A5" s="644" t="s">
        <v>273</v>
      </c>
      <c r="B5" s="645" t="s">
        <v>275</v>
      </c>
      <c r="C5" s="645" t="s">
        <v>276</v>
      </c>
      <c r="D5" s="645" t="s">
        <v>277</v>
      </c>
      <c r="E5" s="646" t="s">
        <v>278</v>
      </c>
      <c r="F5" s="647" t="s">
        <v>275</v>
      </c>
      <c r="G5" s="648" t="s">
        <v>276</v>
      </c>
      <c r="H5" s="648" t="s">
        <v>277</v>
      </c>
      <c r="I5" s="649" t="s">
        <v>278</v>
      </c>
      <c r="J5" s="645" t="s">
        <v>275</v>
      </c>
      <c r="K5" s="645" t="s">
        <v>276</v>
      </c>
      <c r="L5" s="645" t="s">
        <v>277</v>
      </c>
      <c r="M5" s="646" t="s">
        <v>278</v>
      </c>
      <c r="N5" s="647" t="s">
        <v>275</v>
      </c>
      <c r="O5" s="648" t="s">
        <v>276</v>
      </c>
      <c r="P5" s="648" t="s">
        <v>277</v>
      </c>
      <c r="Q5" s="649" t="s">
        <v>278</v>
      </c>
    </row>
    <row r="6" spans="1:17" ht="14.4" customHeight="1" x14ac:dyDescent="0.3">
      <c r="A6" s="653" t="s">
        <v>1024</v>
      </c>
      <c r="B6" s="659"/>
      <c r="C6" s="609"/>
      <c r="D6" s="609"/>
      <c r="E6" s="610"/>
      <c r="F6" s="656"/>
      <c r="G6" s="627"/>
      <c r="H6" s="627"/>
      <c r="I6" s="662"/>
      <c r="J6" s="659"/>
      <c r="K6" s="609"/>
      <c r="L6" s="609"/>
      <c r="M6" s="610"/>
      <c r="N6" s="656"/>
      <c r="O6" s="627"/>
      <c r="P6" s="627"/>
      <c r="Q6" s="650"/>
    </row>
    <row r="7" spans="1:17" ht="14.4" customHeight="1" x14ac:dyDescent="0.3">
      <c r="A7" s="654" t="s">
        <v>1025</v>
      </c>
      <c r="B7" s="660">
        <v>96</v>
      </c>
      <c r="C7" s="615">
        <v>10</v>
      </c>
      <c r="D7" s="615">
        <v>1</v>
      </c>
      <c r="E7" s="616"/>
      <c r="F7" s="657">
        <v>0.89719626168224298</v>
      </c>
      <c r="G7" s="628">
        <v>9.3457943925233641E-2</v>
      </c>
      <c r="H7" s="628">
        <v>9.3457943925233638E-3</v>
      </c>
      <c r="I7" s="663">
        <v>0</v>
      </c>
      <c r="J7" s="660">
        <v>23</v>
      </c>
      <c r="K7" s="615">
        <v>5</v>
      </c>
      <c r="L7" s="615">
        <v>1</v>
      </c>
      <c r="M7" s="616"/>
      <c r="N7" s="657">
        <v>0.7931034482758621</v>
      </c>
      <c r="O7" s="628">
        <v>0.17241379310344829</v>
      </c>
      <c r="P7" s="628">
        <v>3.4482758620689655E-2</v>
      </c>
      <c r="Q7" s="651">
        <v>0</v>
      </c>
    </row>
    <row r="8" spans="1:17" ht="14.4" customHeight="1" x14ac:dyDescent="0.3">
      <c r="A8" s="654" t="s">
        <v>1026</v>
      </c>
      <c r="B8" s="660">
        <v>97</v>
      </c>
      <c r="C8" s="615">
        <v>28</v>
      </c>
      <c r="D8" s="615">
        <v>1</v>
      </c>
      <c r="E8" s="616"/>
      <c r="F8" s="657">
        <v>0.76984126984126988</v>
      </c>
      <c r="G8" s="628">
        <v>0.22222222222222221</v>
      </c>
      <c r="H8" s="628">
        <v>7.9365079365079361E-3</v>
      </c>
      <c r="I8" s="663">
        <v>0</v>
      </c>
      <c r="J8" s="660">
        <v>25</v>
      </c>
      <c r="K8" s="615">
        <v>17</v>
      </c>
      <c r="L8" s="615">
        <v>1</v>
      </c>
      <c r="M8" s="616"/>
      <c r="N8" s="657">
        <v>0.58139534883720934</v>
      </c>
      <c r="O8" s="628">
        <v>0.39534883720930231</v>
      </c>
      <c r="P8" s="628">
        <v>2.3255813953488372E-2</v>
      </c>
      <c r="Q8" s="651">
        <v>0</v>
      </c>
    </row>
    <row r="9" spans="1:17" ht="14.4" customHeight="1" thickBot="1" x14ac:dyDescent="0.35">
      <c r="A9" s="655" t="s">
        <v>1027</v>
      </c>
      <c r="B9" s="661">
        <v>314</v>
      </c>
      <c r="C9" s="621">
        <v>24</v>
      </c>
      <c r="D9" s="621">
        <v>20</v>
      </c>
      <c r="E9" s="622"/>
      <c r="F9" s="658">
        <v>0.87709497206703912</v>
      </c>
      <c r="G9" s="629">
        <v>6.7039106145251395E-2</v>
      </c>
      <c r="H9" s="629">
        <v>5.5865921787709494E-2</v>
      </c>
      <c r="I9" s="664">
        <v>0</v>
      </c>
      <c r="J9" s="661">
        <v>36</v>
      </c>
      <c r="K9" s="621">
        <v>14</v>
      </c>
      <c r="L9" s="621">
        <v>20</v>
      </c>
      <c r="M9" s="622"/>
      <c r="N9" s="658">
        <v>0.51428571428571423</v>
      </c>
      <c r="O9" s="629">
        <v>0.2</v>
      </c>
      <c r="P9" s="629">
        <v>0.2857142857142857</v>
      </c>
      <c r="Q9" s="6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527</v>
      </c>
      <c r="B5" s="596" t="s">
        <v>528</v>
      </c>
      <c r="C5" s="597" t="s">
        <v>529</v>
      </c>
      <c r="D5" s="597" t="s">
        <v>529</v>
      </c>
      <c r="E5" s="597"/>
      <c r="F5" s="597" t="s">
        <v>529</v>
      </c>
      <c r="G5" s="597" t="s">
        <v>529</v>
      </c>
      <c r="H5" s="597" t="s">
        <v>529</v>
      </c>
      <c r="I5" s="598" t="s">
        <v>529</v>
      </c>
      <c r="J5" s="599" t="s">
        <v>61</v>
      </c>
    </row>
    <row r="6" spans="1:10" ht="14.4" customHeight="1" x14ac:dyDescent="0.3">
      <c r="A6" s="595" t="s">
        <v>527</v>
      </c>
      <c r="B6" s="596" t="s">
        <v>324</v>
      </c>
      <c r="C6" s="597" t="s">
        <v>529</v>
      </c>
      <c r="D6" s="597">
        <v>0.495</v>
      </c>
      <c r="E6" s="597"/>
      <c r="F6" s="597">
        <v>0</v>
      </c>
      <c r="G6" s="597">
        <v>8.2499997401333333E-2</v>
      </c>
      <c r="H6" s="597">
        <v>-8.2499997401333333E-2</v>
      </c>
      <c r="I6" s="598">
        <v>0</v>
      </c>
      <c r="J6" s="599" t="s">
        <v>1</v>
      </c>
    </row>
    <row r="7" spans="1:10" ht="14.4" customHeight="1" x14ac:dyDescent="0.3">
      <c r="A7" s="595" t="s">
        <v>527</v>
      </c>
      <c r="B7" s="596" t="s">
        <v>326</v>
      </c>
      <c r="C7" s="597">
        <v>32.831189999999999</v>
      </c>
      <c r="D7" s="597">
        <v>52.572469999999996</v>
      </c>
      <c r="E7" s="597"/>
      <c r="F7" s="597">
        <v>46.774799999999999</v>
      </c>
      <c r="G7" s="597">
        <v>67.666664535330497</v>
      </c>
      <c r="H7" s="597">
        <v>-20.891864535330498</v>
      </c>
      <c r="I7" s="598">
        <v>0.69125322374324627</v>
      </c>
      <c r="J7" s="599" t="s">
        <v>1</v>
      </c>
    </row>
    <row r="8" spans="1:10" ht="14.4" customHeight="1" x14ac:dyDescent="0.3">
      <c r="A8" s="595" t="s">
        <v>527</v>
      </c>
      <c r="B8" s="596" t="s">
        <v>327</v>
      </c>
      <c r="C8" s="597">
        <v>1.3068</v>
      </c>
      <c r="D8" s="597">
        <v>0</v>
      </c>
      <c r="E8" s="597"/>
      <c r="F8" s="597">
        <v>0.74953999999999998</v>
      </c>
      <c r="G8" s="597">
        <v>0.83333330708533326</v>
      </c>
      <c r="H8" s="597">
        <v>-8.379330708533328E-2</v>
      </c>
      <c r="I8" s="598">
        <v>0.89944802833045423</v>
      </c>
      <c r="J8" s="599" t="s">
        <v>1</v>
      </c>
    </row>
    <row r="9" spans="1:10" ht="14.4" customHeight="1" x14ac:dyDescent="0.3">
      <c r="A9" s="595" t="s">
        <v>527</v>
      </c>
      <c r="B9" s="596" t="s">
        <v>328</v>
      </c>
      <c r="C9" s="597">
        <v>29.834900000000001</v>
      </c>
      <c r="D9" s="597">
        <v>25.85284</v>
      </c>
      <c r="E9" s="597"/>
      <c r="F9" s="597">
        <v>23.741770000000002</v>
      </c>
      <c r="G9" s="597">
        <v>27.333332472399498</v>
      </c>
      <c r="H9" s="597">
        <v>-3.5915624723994952</v>
      </c>
      <c r="I9" s="598">
        <v>0.86860136882225525</v>
      </c>
      <c r="J9" s="599" t="s">
        <v>1</v>
      </c>
    </row>
    <row r="10" spans="1:10" ht="14.4" customHeight="1" x14ac:dyDescent="0.3">
      <c r="A10" s="595" t="s">
        <v>527</v>
      </c>
      <c r="B10" s="596" t="s">
        <v>329</v>
      </c>
      <c r="C10" s="597">
        <v>433.42689999999999</v>
      </c>
      <c r="D10" s="597">
        <v>379.52439000000101</v>
      </c>
      <c r="E10" s="597"/>
      <c r="F10" s="597">
        <v>518.02357000000006</v>
      </c>
      <c r="G10" s="597">
        <v>524.99998346377174</v>
      </c>
      <c r="H10" s="597">
        <v>-6.9764134637716779</v>
      </c>
      <c r="I10" s="598">
        <v>0.98671159298378708</v>
      </c>
      <c r="J10" s="599" t="s">
        <v>1</v>
      </c>
    </row>
    <row r="11" spans="1:10" ht="14.4" customHeight="1" x14ac:dyDescent="0.3">
      <c r="A11" s="595" t="s">
        <v>527</v>
      </c>
      <c r="B11" s="596" t="s">
        <v>330</v>
      </c>
      <c r="C11" s="597">
        <v>0.62649999999999995</v>
      </c>
      <c r="D11" s="597">
        <v>9.6292399999999994</v>
      </c>
      <c r="E11" s="597"/>
      <c r="F11" s="597">
        <v>2.4175800000000001</v>
      </c>
      <c r="G11" s="597">
        <v>4.6666665196778334</v>
      </c>
      <c r="H11" s="597">
        <v>-2.2490865196778334</v>
      </c>
      <c r="I11" s="598">
        <v>0.51805287346028306</v>
      </c>
      <c r="J11" s="599" t="s">
        <v>1</v>
      </c>
    </row>
    <row r="12" spans="1:10" ht="14.4" customHeight="1" x14ac:dyDescent="0.3">
      <c r="A12" s="595" t="s">
        <v>527</v>
      </c>
      <c r="B12" s="596" t="s">
        <v>331</v>
      </c>
      <c r="C12" s="597">
        <v>1.33378</v>
      </c>
      <c r="D12" s="597">
        <v>0.66688999999999998</v>
      </c>
      <c r="E12" s="597"/>
      <c r="F12" s="597">
        <v>1.17496</v>
      </c>
      <c r="G12" s="597">
        <v>1.3333332913365001</v>
      </c>
      <c r="H12" s="597">
        <v>-0.15837329133650013</v>
      </c>
      <c r="I12" s="598">
        <v>0.8812200277563379</v>
      </c>
      <c r="J12" s="599" t="s">
        <v>1</v>
      </c>
    </row>
    <row r="13" spans="1:10" ht="14.4" customHeight="1" x14ac:dyDescent="0.3">
      <c r="A13" s="595" t="s">
        <v>527</v>
      </c>
      <c r="B13" s="596" t="s">
        <v>332</v>
      </c>
      <c r="C13" s="597">
        <v>1.13036</v>
      </c>
      <c r="D13" s="597">
        <v>1.0107200000000001</v>
      </c>
      <c r="E13" s="597"/>
      <c r="F13" s="597">
        <v>2.5605899999999999</v>
      </c>
      <c r="G13" s="597">
        <v>1.1666666299191666</v>
      </c>
      <c r="H13" s="597">
        <v>1.3939233700808333</v>
      </c>
      <c r="I13" s="598">
        <v>2.1947914977026577</v>
      </c>
      <c r="J13" s="599" t="s">
        <v>1</v>
      </c>
    </row>
    <row r="14" spans="1:10" ht="14.4" customHeight="1" x14ac:dyDescent="0.3">
      <c r="A14" s="595" t="s">
        <v>527</v>
      </c>
      <c r="B14" s="596" t="s">
        <v>333</v>
      </c>
      <c r="C14" s="597">
        <v>21.027500000000003</v>
      </c>
      <c r="D14" s="597">
        <v>17.552700000000002</v>
      </c>
      <c r="E14" s="597"/>
      <c r="F14" s="597">
        <v>23.823309999999999</v>
      </c>
      <c r="G14" s="597">
        <v>23.666665921223832</v>
      </c>
      <c r="H14" s="597">
        <v>0.15664407877616782</v>
      </c>
      <c r="I14" s="598">
        <v>1.0066187641004258</v>
      </c>
      <c r="J14" s="599" t="s">
        <v>1</v>
      </c>
    </row>
    <row r="15" spans="1:10" ht="14.4" customHeight="1" x14ac:dyDescent="0.3">
      <c r="A15" s="595" t="s">
        <v>527</v>
      </c>
      <c r="B15" s="596" t="s">
        <v>334</v>
      </c>
      <c r="C15" s="597">
        <v>28.830500000000001</v>
      </c>
      <c r="D15" s="597">
        <v>15.288349999999999</v>
      </c>
      <c r="E15" s="597"/>
      <c r="F15" s="597">
        <v>8.9963499999999996</v>
      </c>
      <c r="G15" s="597">
        <v>13.1666662519485</v>
      </c>
      <c r="H15" s="597">
        <v>-4.1703162519485009</v>
      </c>
      <c r="I15" s="598">
        <v>0.68326711012885688</v>
      </c>
      <c r="J15" s="599" t="s">
        <v>1</v>
      </c>
    </row>
    <row r="16" spans="1:10" ht="14.4" customHeight="1" x14ac:dyDescent="0.3">
      <c r="A16" s="595" t="s">
        <v>527</v>
      </c>
      <c r="B16" s="596" t="s">
        <v>335</v>
      </c>
      <c r="C16" s="597" t="s">
        <v>529</v>
      </c>
      <c r="D16" s="597" t="s">
        <v>529</v>
      </c>
      <c r="E16" s="597"/>
      <c r="F16" s="597">
        <v>13.4604</v>
      </c>
      <c r="G16" s="597">
        <v>0</v>
      </c>
      <c r="H16" s="597">
        <v>13.4604</v>
      </c>
      <c r="I16" s="598" t="s">
        <v>529</v>
      </c>
      <c r="J16" s="599" t="s">
        <v>1</v>
      </c>
    </row>
    <row r="17" spans="1:10" ht="14.4" customHeight="1" x14ac:dyDescent="0.3">
      <c r="A17" s="595" t="s">
        <v>527</v>
      </c>
      <c r="B17" s="596" t="s">
        <v>1028</v>
      </c>
      <c r="C17" s="597">
        <v>0</v>
      </c>
      <c r="D17" s="597">
        <v>0</v>
      </c>
      <c r="E17" s="597"/>
      <c r="F17" s="597" t="s">
        <v>529</v>
      </c>
      <c r="G17" s="597" t="s">
        <v>529</v>
      </c>
      <c r="H17" s="597" t="s">
        <v>529</v>
      </c>
      <c r="I17" s="598" t="s">
        <v>529</v>
      </c>
      <c r="J17" s="599" t="s">
        <v>1</v>
      </c>
    </row>
    <row r="18" spans="1:10" ht="14.4" customHeight="1" x14ac:dyDescent="0.3">
      <c r="A18" s="595" t="s">
        <v>527</v>
      </c>
      <c r="B18" s="596" t="s">
        <v>531</v>
      </c>
      <c r="C18" s="597">
        <v>550.34843000000001</v>
      </c>
      <c r="D18" s="597">
        <v>502.59260000000103</v>
      </c>
      <c r="E18" s="597"/>
      <c r="F18" s="597">
        <v>641.72287000000028</v>
      </c>
      <c r="G18" s="597">
        <v>664.9158123900944</v>
      </c>
      <c r="H18" s="597">
        <v>-23.192942390094117</v>
      </c>
      <c r="I18" s="598">
        <v>0.96511897903777444</v>
      </c>
      <c r="J18" s="599" t="s">
        <v>532</v>
      </c>
    </row>
    <row r="20" spans="1:10" ht="14.4" customHeight="1" x14ac:dyDescent="0.3">
      <c r="A20" s="595" t="s">
        <v>527</v>
      </c>
      <c r="B20" s="596" t="s">
        <v>528</v>
      </c>
      <c r="C20" s="597" t="s">
        <v>529</v>
      </c>
      <c r="D20" s="597" t="s">
        <v>529</v>
      </c>
      <c r="E20" s="597"/>
      <c r="F20" s="597" t="s">
        <v>529</v>
      </c>
      <c r="G20" s="597" t="s">
        <v>529</v>
      </c>
      <c r="H20" s="597" t="s">
        <v>529</v>
      </c>
      <c r="I20" s="598" t="s">
        <v>529</v>
      </c>
      <c r="J20" s="599" t="s">
        <v>61</v>
      </c>
    </row>
    <row r="21" spans="1:10" ht="14.4" customHeight="1" x14ac:dyDescent="0.3">
      <c r="A21" s="595" t="s">
        <v>533</v>
      </c>
      <c r="B21" s="596" t="s">
        <v>534</v>
      </c>
      <c r="C21" s="597" t="s">
        <v>529</v>
      </c>
      <c r="D21" s="597" t="s">
        <v>529</v>
      </c>
      <c r="E21" s="597"/>
      <c r="F21" s="597" t="s">
        <v>529</v>
      </c>
      <c r="G21" s="597" t="s">
        <v>529</v>
      </c>
      <c r="H21" s="597" t="s">
        <v>529</v>
      </c>
      <c r="I21" s="598" t="s">
        <v>529</v>
      </c>
      <c r="J21" s="599" t="s">
        <v>0</v>
      </c>
    </row>
    <row r="22" spans="1:10" ht="14.4" customHeight="1" x14ac:dyDescent="0.3">
      <c r="A22" s="595" t="s">
        <v>533</v>
      </c>
      <c r="B22" s="596" t="s">
        <v>326</v>
      </c>
      <c r="C22" s="597">
        <v>0</v>
      </c>
      <c r="D22" s="597">
        <v>26.499890000000001</v>
      </c>
      <c r="E22" s="597"/>
      <c r="F22" s="597">
        <v>0</v>
      </c>
      <c r="G22" s="597">
        <v>4.6584401040609995</v>
      </c>
      <c r="H22" s="597">
        <v>-4.6584401040609995</v>
      </c>
      <c r="I22" s="598">
        <v>0</v>
      </c>
      <c r="J22" s="599" t="s">
        <v>1</v>
      </c>
    </row>
    <row r="23" spans="1:10" ht="14.4" customHeight="1" x14ac:dyDescent="0.3">
      <c r="A23" s="595" t="s">
        <v>533</v>
      </c>
      <c r="B23" s="596" t="s">
        <v>327</v>
      </c>
      <c r="C23" s="597">
        <v>1.3068</v>
      </c>
      <c r="D23" s="597">
        <v>0</v>
      </c>
      <c r="E23" s="597"/>
      <c r="F23" s="597" t="s">
        <v>529</v>
      </c>
      <c r="G23" s="597" t="s">
        <v>529</v>
      </c>
      <c r="H23" s="597" t="s">
        <v>529</v>
      </c>
      <c r="I23" s="598" t="s">
        <v>529</v>
      </c>
      <c r="J23" s="599" t="s">
        <v>1</v>
      </c>
    </row>
    <row r="24" spans="1:10" ht="14.4" customHeight="1" x14ac:dyDescent="0.3">
      <c r="A24" s="595" t="s">
        <v>533</v>
      </c>
      <c r="B24" s="596" t="s">
        <v>328</v>
      </c>
      <c r="C24" s="597">
        <v>7.0825700000000005</v>
      </c>
      <c r="D24" s="597">
        <v>1.2769699999999999</v>
      </c>
      <c r="E24" s="597"/>
      <c r="F24" s="597">
        <v>3.8588399999999998</v>
      </c>
      <c r="G24" s="597">
        <v>4.1246926850056669</v>
      </c>
      <c r="H24" s="597">
        <v>-0.26585268500566706</v>
      </c>
      <c r="I24" s="598">
        <v>0.93554606238372351</v>
      </c>
      <c r="J24" s="599" t="s">
        <v>1</v>
      </c>
    </row>
    <row r="25" spans="1:10" ht="14.4" customHeight="1" x14ac:dyDescent="0.3">
      <c r="A25" s="595" t="s">
        <v>533</v>
      </c>
      <c r="B25" s="596" t="s">
        <v>329</v>
      </c>
      <c r="C25" s="597">
        <v>27.548789999999997</v>
      </c>
      <c r="D25" s="597">
        <v>28.05706</v>
      </c>
      <c r="E25" s="597"/>
      <c r="F25" s="597">
        <v>42.119320000000002</v>
      </c>
      <c r="G25" s="597">
        <v>39.894081092537668</v>
      </c>
      <c r="H25" s="597">
        <v>2.2252389074623338</v>
      </c>
      <c r="I25" s="598">
        <v>1.0557786730893914</v>
      </c>
      <c r="J25" s="599" t="s">
        <v>1</v>
      </c>
    </row>
    <row r="26" spans="1:10" ht="14.4" customHeight="1" x14ac:dyDescent="0.3">
      <c r="A26" s="595" t="s">
        <v>533</v>
      </c>
      <c r="B26" s="596" t="s">
        <v>330</v>
      </c>
      <c r="C26" s="597">
        <v>0</v>
      </c>
      <c r="D26" s="597">
        <v>0</v>
      </c>
      <c r="E26" s="597"/>
      <c r="F26" s="597" t="s">
        <v>529</v>
      </c>
      <c r="G26" s="597" t="s">
        <v>529</v>
      </c>
      <c r="H26" s="597" t="s">
        <v>529</v>
      </c>
      <c r="I26" s="598" t="s">
        <v>529</v>
      </c>
      <c r="J26" s="599" t="s">
        <v>1</v>
      </c>
    </row>
    <row r="27" spans="1:10" ht="14.4" customHeight="1" x14ac:dyDescent="0.3">
      <c r="A27" s="595" t="s">
        <v>533</v>
      </c>
      <c r="B27" s="596" t="s">
        <v>332</v>
      </c>
      <c r="C27" s="597">
        <v>0.14799999999999999</v>
      </c>
      <c r="D27" s="597">
        <v>0.15</v>
      </c>
      <c r="E27" s="597"/>
      <c r="F27" s="597">
        <v>0.11</v>
      </c>
      <c r="G27" s="597">
        <v>0.114560766548</v>
      </c>
      <c r="H27" s="597">
        <v>-4.5607665480000004E-3</v>
      </c>
      <c r="I27" s="598">
        <v>0.96018910587431272</v>
      </c>
      <c r="J27" s="599" t="s">
        <v>1</v>
      </c>
    </row>
    <row r="28" spans="1:10" ht="14.4" customHeight="1" x14ac:dyDescent="0.3">
      <c r="A28" s="595" t="s">
        <v>533</v>
      </c>
      <c r="B28" s="596" t="s">
        <v>333</v>
      </c>
      <c r="C28" s="597">
        <v>4.7264999999999997</v>
      </c>
      <c r="D28" s="597">
        <v>3.8505000000000003</v>
      </c>
      <c r="E28" s="597"/>
      <c r="F28" s="597">
        <v>5.8325100000000001</v>
      </c>
      <c r="G28" s="597">
        <v>5.4028045314961668</v>
      </c>
      <c r="H28" s="597">
        <v>0.42970546850383329</v>
      </c>
      <c r="I28" s="598">
        <v>1.0795337802800054</v>
      </c>
      <c r="J28" s="599" t="s">
        <v>1</v>
      </c>
    </row>
    <row r="29" spans="1:10" ht="14.4" customHeight="1" x14ac:dyDescent="0.3">
      <c r="A29" s="595" t="s">
        <v>533</v>
      </c>
      <c r="B29" s="596" t="s">
        <v>535</v>
      </c>
      <c r="C29" s="597">
        <v>40.812660000000001</v>
      </c>
      <c r="D29" s="597">
        <v>59.834419999999994</v>
      </c>
      <c r="E29" s="597"/>
      <c r="F29" s="597">
        <v>51.920670000000001</v>
      </c>
      <c r="G29" s="597">
        <v>54.1945791796485</v>
      </c>
      <c r="H29" s="597">
        <v>-2.2739091796484985</v>
      </c>
      <c r="I29" s="598">
        <v>0.95804175963594507</v>
      </c>
      <c r="J29" s="599" t="s">
        <v>536</v>
      </c>
    </row>
    <row r="30" spans="1:10" ht="14.4" customHeight="1" x14ac:dyDescent="0.3">
      <c r="A30" s="595" t="s">
        <v>529</v>
      </c>
      <c r="B30" s="596" t="s">
        <v>529</v>
      </c>
      <c r="C30" s="597" t="s">
        <v>529</v>
      </c>
      <c r="D30" s="597" t="s">
        <v>529</v>
      </c>
      <c r="E30" s="597"/>
      <c r="F30" s="597" t="s">
        <v>529</v>
      </c>
      <c r="G30" s="597" t="s">
        <v>529</v>
      </c>
      <c r="H30" s="597" t="s">
        <v>529</v>
      </c>
      <c r="I30" s="598" t="s">
        <v>529</v>
      </c>
      <c r="J30" s="599" t="s">
        <v>537</v>
      </c>
    </row>
    <row r="31" spans="1:10" ht="14.4" customHeight="1" x14ac:dyDescent="0.3">
      <c r="A31" s="595" t="s">
        <v>538</v>
      </c>
      <c r="B31" s="596" t="s">
        <v>539</v>
      </c>
      <c r="C31" s="597" t="s">
        <v>529</v>
      </c>
      <c r="D31" s="597" t="s">
        <v>529</v>
      </c>
      <c r="E31" s="597"/>
      <c r="F31" s="597" t="s">
        <v>529</v>
      </c>
      <c r="G31" s="597" t="s">
        <v>529</v>
      </c>
      <c r="H31" s="597" t="s">
        <v>529</v>
      </c>
      <c r="I31" s="598" t="s">
        <v>529</v>
      </c>
      <c r="J31" s="599" t="s">
        <v>0</v>
      </c>
    </row>
    <row r="32" spans="1:10" ht="14.4" customHeight="1" x14ac:dyDescent="0.3">
      <c r="A32" s="595" t="s">
        <v>538</v>
      </c>
      <c r="B32" s="596" t="s">
        <v>326</v>
      </c>
      <c r="C32" s="597">
        <v>0</v>
      </c>
      <c r="D32" s="597">
        <v>0</v>
      </c>
      <c r="E32" s="597"/>
      <c r="F32" s="597">
        <v>0</v>
      </c>
      <c r="G32" s="597">
        <v>2.6690183324499999E-2</v>
      </c>
      <c r="H32" s="597">
        <v>-2.6690183324499999E-2</v>
      </c>
      <c r="I32" s="598">
        <v>0</v>
      </c>
      <c r="J32" s="599" t="s">
        <v>1</v>
      </c>
    </row>
    <row r="33" spans="1:10" ht="14.4" customHeight="1" x14ac:dyDescent="0.3">
      <c r="A33" s="595" t="s">
        <v>538</v>
      </c>
      <c r="B33" s="596" t="s">
        <v>327</v>
      </c>
      <c r="C33" s="597">
        <v>0</v>
      </c>
      <c r="D33" s="597">
        <v>0</v>
      </c>
      <c r="E33" s="597"/>
      <c r="F33" s="597" t="s">
        <v>529</v>
      </c>
      <c r="G33" s="597" t="s">
        <v>529</v>
      </c>
      <c r="H33" s="597" t="s">
        <v>529</v>
      </c>
      <c r="I33" s="598" t="s">
        <v>529</v>
      </c>
      <c r="J33" s="599" t="s">
        <v>1</v>
      </c>
    </row>
    <row r="34" spans="1:10" ht="14.4" customHeight="1" x14ac:dyDescent="0.3">
      <c r="A34" s="595" t="s">
        <v>538</v>
      </c>
      <c r="B34" s="596" t="s">
        <v>328</v>
      </c>
      <c r="C34" s="597">
        <v>3.5301200000000001</v>
      </c>
      <c r="D34" s="597">
        <v>3.9850000000000003</v>
      </c>
      <c r="E34" s="597"/>
      <c r="F34" s="597">
        <v>1.71557</v>
      </c>
      <c r="G34" s="597">
        <v>3.6304127555851671</v>
      </c>
      <c r="H34" s="597">
        <v>-1.914842755585167</v>
      </c>
      <c r="I34" s="598">
        <v>0.47255508271358426</v>
      </c>
      <c r="J34" s="599" t="s">
        <v>1</v>
      </c>
    </row>
    <row r="35" spans="1:10" ht="14.4" customHeight="1" x14ac:dyDescent="0.3">
      <c r="A35" s="595" t="s">
        <v>538</v>
      </c>
      <c r="B35" s="596" t="s">
        <v>329</v>
      </c>
      <c r="C35" s="597">
        <v>53.354079999999996</v>
      </c>
      <c r="D35" s="597">
        <v>41.338090000000001</v>
      </c>
      <c r="E35" s="597"/>
      <c r="F35" s="597">
        <v>125.38625</v>
      </c>
      <c r="G35" s="597">
        <v>135.48531776633567</v>
      </c>
      <c r="H35" s="597">
        <v>-10.099067766335665</v>
      </c>
      <c r="I35" s="598">
        <v>0.92546005771818762</v>
      </c>
      <c r="J35" s="599" t="s">
        <v>1</v>
      </c>
    </row>
    <row r="36" spans="1:10" ht="14.4" customHeight="1" x14ac:dyDescent="0.3">
      <c r="A36" s="595" t="s">
        <v>538</v>
      </c>
      <c r="B36" s="596" t="s">
        <v>330</v>
      </c>
      <c r="C36" s="597" t="s">
        <v>529</v>
      </c>
      <c r="D36" s="597">
        <v>2.1053999999999999</v>
      </c>
      <c r="E36" s="597"/>
      <c r="F36" s="597">
        <v>0</v>
      </c>
      <c r="G36" s="597">
        <v>0.4193174178113333</v>
      </c>
      <c r="H36" s="597">
        <v>-0.4193174178113333</v>
      </c>
      <c r="I36" s="598">
        <v>0</v>
      </c>
      <c r="J36" s="599" t="s">
        <v>1</v>
      </c>
    </row>
    <row r="37" spans="1:10" ht="14.4" customHeight="1" x14ac:dyDescent="0.3">
      <c r="A37" s="595" t="s">
        <v>538</v>
      </c>
      <c r="B37" s="596" t="s">
        <v>331</v>
      </c>
      <c r="C37" s="597">
        <v>0</v>
      </c>
      <c r="D37" s="597">
        <v>0</v>
      </c>
      <c r="E37" s="597"/>
      <c r="F37" s="597" t="s">
        <v>529</v>
      </c>
      <c r="G37" s="597" t="s">
        <v>529</v>
      </c>
      <c r="H37" s="597" t="s">
        <v>529</v>
      </c>
      <c r="I37" s="598" t="s">
        <v>529</v>
      </c>
      <c r="J37" s="599" t="s">
        <v>1</v>
      </c>
    </row>
    <row r="38" spans="1:10" ht="14.4" customHeight="1" x14ac:dyDescent="0.3">
      <c r="A38" s="595" t="s">
        <v>538</v>
      </c>
      <c r="B38" s="596" t="s">
        <v>332</v>
      </c>
      <c r="C38" s="597">
        <v>0.14835999999999999</v>
      </c>
      <c r="D38" s="597">
        <v>6.0720000000000003E-2</v>
      </c>
      <c r="E38" s="597"/>
      <c r="F38" s="597">
        <v>0</v>
      </c>
      <c r="G38" s="597">
        <v>0.34907609008783336</v>
      </c>
      <c r="H38" s="597">
        <v>-0.34907609008783336</v>
      </c>
      <c r="I38" s="598">
        <v>0</v>
      </c>
      <c r="J38" s="599" t="s">
        <v>1</v>
      </c>
    </row>
    <row r="39" spans="1:10" ht="14.4" customHeight="1" x14ac:dyDescent="0.3">
      <c r="A39" s="595" t="s">
        <v>538</v>
      </c>
      <c r="B39" s="596" t="s">
        <v>333</v>
      </c>
      <c r="C39" s="597">
        <v>4.0150000000000006</v>
      </c>
      <c r="D39" s="597">
        <v>4.6310000000000002</v>
      </c>
      <c r="E39" s="597"/>
      <c r="F39" s="597">
        <v>2.84</v>
      </c>
      <c r="G39" s="597">
        <v>5.8656384549351666</v>
      </c>
      <c r="H39" s="597">
        <v>-3.0256384549351667</v>
      </c>
      <c r="I39" s="598">
        <v>0.48417576736433726</v>
      </c>
      <c r="J39" s="599" t="s">
        <v>1</v>
      </c>
    </row>
    <row r="40" spans="1:10" ht="14.4" customHeight="1" x14ac:dyDescent="0.3">
      <c r="A40" s="595" t="s">
        <v>538</v>
      </c>
      <c r="B40" s="596" t="s">
        <v>540</v>
      </c>
      <c r="C40" s="597">
        <v>61.04755999999999</v>
      </c>
      <c r="D40" s="597">
        <v>52.120210000000007</v>
      </c>
      <c r="E40" s="597"/>
      <c r="F40" s="597">
        <v>129.94182000000001</v>
      </c>
      <c r="G40" s="597">
        <v>145.77645266807968</v>
      </c>
      <c r="H40" s="597">
        <v>-15.834632668079678</v>
      </c>
      <c r="I40" s="598">
        <v>0.89137729462978665</v>
      </c>
      <c r="J40" s="599" t="s">
        <v>536</v>
      </c>
    </row>
    <row r="41" spans="1:10" ht="14.4" customHeight="1" x14ac:dyDescent="0.3">
      <c r="A41" s="595" t="s">
        <v>529</v>
      </c>
      <c r="B41" s="596" t="s">
        <v>529</v>
      </c>
      <c r="C41" s="597" t="s">
        <v>529</v>
      </c>
      <c r="D41" s="597" t="s">
        <v>529</v>
      </c>
      <c r="E41" s="597"/>
      <c r="F41" s="597" t="s">
        <v>529</v>
      </c>
      <c r="G41" s="597" t="s">
        <v>529</v>
      </c>
      <c r="H41" s="597" t="s">
        <v>529</v>
      </c>
      <c r="I41" s="598" t="s">
        <v>529</v>
      </c>
      <c r="J41" s="599" t="s">
        <v>537</v>
      </c>
    </row>
    <row r="42" spans="1:10" ht="14.4" customHeight="1" x14ac:dyDescent="0.3">
      <c r="A42" s="595" t="s">
        <v>541</v>
      </c>
      <c r="B42" s="596" t="s">
        <v>542</v>
      </c>
      <c r="C42" s="597" t="s">
        <v>529</v>
      </c>
      <c r="D42" s="597" t="s">
        <v>529</v>
      </c>
      <c r="E42" s="597"/>
      <c r="F42" s="597" t="s">
        <v>529</v>
      </c>
      <c r="G42" s="597" t="s">
        <v>529</v>
      </c>
      <c r="H42" s="597" t="s">
        <v>529</v>
      </c>
      <c r="I42" s="598" t="s">
        <v>529</v>
      </c>
      <c r="J42" s="599" t="s">
        <v>0</v>
      </c>
    </row>
    <row r="43" spans="1:10" ht="14.4" customHeight="1" x14ac:dyDescent="0.3">
      <c r="A43" s="595" t="s">
        <v>541</v>
      </c>
      <c r="B43" s="596" t="s">
        <v>324</v>
      </c>
      <c r="C43" s="597" t="s">
        <v>529</v>
      </c>
      <c r="D43" s="597">
        <v>0.495</v>
      </c>
      <c r="E43" s="597"/>
      <c r="F43" s="597">
        <v>0</v>
      </c>
      <c r="G43" s="597">
        <v>8.2499997401333333E-2</v>
      </c>
      <c r="H43" s="597">
        <v>-8.2499997401333333E-2</v>
      </c>
      <c r="I43" s="598">
        <v>0</v>
      </c>
      <c r="J43" s="599" t="s">
        <v>1</v>
      </c>
    </row>
    <row r="44" spans="1:10" ht="14.4" customHeight="1" x14ac:dyDescent="0.3">
      <c r="A44" s="595" t="s">
        <v>541</v>
      </c>
      <c r="B44" s="596" t="s">
        <v>326</v>
      </c>
      <c r="C44" s="597">
        <v>32.831189999999999</v>
      </c>
      <c r="D44" s="597">
        <v>26.072579999999999</v>
      </c>
      <c r="E44" s="597"/>
      <c r="F44" s="597">
        <v>46.774799999999999</v>
      </c>
      <c r="G44" s="597">
        <v>62.981534247945</v>
      </c>
      <c r="H44" s="597">
        <v>-16.206734247945001</v>
      </c>
      <c r="I44" s="598">
        <v>0.74267482617774105</v>
      </c>
      <c r="J44" s="599" t="s">
        <v>1</v>
      </c>
    </row>
    <row r="45" spans="1:10" ht="14.4" customHeight="1" x14ac:dyDescent="0.3">
      <c r="A45" s="595" t="s">
        <v>541</v>
      </c>
      <c r="B45" s="596" t="s">
        <v>327</v>
      </c>
      <c r="C45" s="597">
        <v>0</v>
      </c>
      <c r="D45" s="597">
        <v>0</v>
      </c>
      <c r="E45" s="597"/>
      <c r="F45" s="597">
        <v>0.74953999999999998</v>
      </c>
      <c r="G45" s="597">
        <v>0.83333330708533326</v>
      </c>
      <c r="H45" s="597">
        <v>-8.379330708533328E-2</v>
      </c>
      <c r="I45" s="598">
        <v>0.89944802833045423</v>
      </c>
      <c r="J45" s="599" t="s">
        <v>1</v>
      </c>
    </row>
    <row r="46" spans="1:10" ht="14.4" customHeight="1" x14ac:dyDescent="0.3">
      <c r="A46" s="595" t="s">
        <v>541</v>
      </c>
      <c r="B46" s="596" t="s">
        <v>328</v>
      </c>
      <c r="C46" s="597">
        <v>19.22221</v>
      </c>
      <c r="D46" s="597">
        <v>20.590870000000002</v>
      </c>
      <c r="E46" s="597"/>
      <c r="F46" s="597">
        <v>18.167360000000002</v>
      </c>
      <c r="G46" s="597">
        <v>19.578227031808666</v>
      </c>
      <c r="H46" s="597">
        <v>-1.4108670318086638</v>
      </c>
      <c r="I46" s="598">
        <v>0.92793693578502112</v>
      </c>
      <c r="J46" s="599" t="s">
        <v>1</v>
      </c>
    </row>
    <row r="47" spans="1:10" ht="14.4" customHeight="1" x14ac:dyDescent="0.3">
      <c r="A47" s="595" t="s">
        <v>541</v>
      </c>
      <c r="B47" s="596" t="s">
        <v>329</v>
      </c>
      <c r="C47" s="597">
        <v>352.52402999999998</v>
      </c>
      <c r="D47" s="597">
        <v>310.129240000001</v>
      </c>
      <c r="E47" s="597"/>
      <c r="F47" s="597">
        <v>350.51800000000003</v>
      </c>
      <c r="G47" s="597">
        <v>349.62058460489834</v>
      </c>
      <c r="H47" s="597">
        <v>0.89741539510168877</v>
      </c>
      <c r="I47" s="598">
        <v>1.0025668265388774</v>
      </c>
      <c r="J47" s="599" t="s">
        <v>1</v>
      </c>
    </row>
    <row r="48" spans="1:10" ht="14.4" customHeight="1" x14ac:dyDescent="0.3">
      <c r="A48" s="595" t="s">
        <v>541</v>
      </c>
      <c r="B48" s="596" t="s">
        <v>330</v>
      </c>
      <c r="C48" s="597">
        <v>0.62649999999999995</v>
      </c>
      <c r="D48" s="597">
        <v>7.5238399999999999</v>
      </c>
      <c r="E48" s="597"/>
      <c r="F48" s="597">
        <v>2.4175800000000001</v>
      </c>
      <c r="G48" s="597">
        <v>4.2473491018664999</v>
      </c>
      <c r="H48" s="597">
        <v>-1.8297691018664999</v>
      </c>
      <c r="I48" s="598">
        <v>0.56919738453747382</v>
      </c>
      <c r="J48" s="599" t="s">
        <v>1</v>
      </c>
    </row>
    <row r="49" spans="1:10" ht="14.4" customHeight="1" x14ac:dyDescent="0.3">
      <c r="A49" s="595" t="s">
        <v>541</v>
      </c>
      <c r="B49" s="596" t="s">
        <v>331</v>
      </c>
      <c r="C49" s="597">
        <v>1.33378</v>
      </c>
      <c r="D49" s="597">
        <v>0.66688999999999998</v>
      </c>
      <c r="E49" s="597"/>
      <c r="F49" s="597">
        <v>1.17496</v>
      </c>
      <c r="G49" s="597">
        <v>1.3333332913365001</v>
      </c>
      <c r="H49" s="597">
        <v>-0.15837329133650013</v>
      </c>
      <c r="I49" s="598">
        <v>0.8812200277563379</v>
      </c>
      <c r="J49" s="599" t="s">
        <v>1</v>
      </c>
    </row>
    <row r="50" spans="1:10" ht="14.4" customHeight="1" x14ac:dyDescent="0.3">
      <c r="A50" s="595" t="s">
        <v>541</v>
      </c>
      <c r="B50" s="596" t="s">
        <v>332</v>
      </c>
      <c r="C50" s="597">
        <v>0.83399999999999996</v>
      </c>
      <c r="D50" s="597">
        <v>0.8</v>
      </c>
      <c r="E50" s="597"/>
      <c r="F50" s="597">
        <v>2.45059</v>
      </c>
      <c r="G50" s="597">
        <v>0.70302977328333327</v>
      </c>
      <c r="H50" s="597">
        <v>1.7475602267166668</v>
      </c>
      <c r="I50" s="598">
        <v>3.4857556438258688</v>
      </c>
      <c r="J50" s="599" t="s">
        <v>1</v>
      </c>
    </row>
    <row r="51" spans="1:10" ht="14.4" customHeight="1" x14ac:dyDescent="0.3">
      <c r="A51" s="595" t="s">
        <v>541</v>
      </c>
      <c r="B51" s="596" t="s">
        <v>333</v>
      </c>
      <c r="C51" s="597">
        <v>12.286000000000001</v>
      </c>
      <c r="D51" s="597">
        <v>9.0711999999999993</v>
      </c>
      <c r="E51" s="597"/>
      <c r="F51" s="597">
        <v>15.1508</v>
      </c>
      <c r="G51" s="597">
        <v>12.3982229347925</v>
      </c>
      <c r="H51" s="597">
        <v>2.7525770652075003</v>
      </c>
      <c r="I51" s="598">
        <v>1.2220138385706136</v>
      </c>
      <c r="J51" s="599" t="s">
        <v>1</v>
      </c>
    </row>
    <row r="52" spans="1:10" ht="14.4" customHeight="1" x14ac:dyDescent="0.3">
      <c r="A52" s="595" t="s">
        <v>541</v>
      </c>
      <c r="B52" s="596" t="s">
        <v>334</v>
      </c>
      <c r="C52" s="597">
        <v>28.830500000000001</v>
      </c>
      <c r="D52" s="597">
        <v>15.288349999999999</v>
      </c>
      <c r="E52" s="597"/>
      <c r="F52" s="597">
        <v>8.9963499999999996</v>
      </c>
      <c r="G52" s="597">
        <v>13.1666662519485</v>
      </c>
      <c r="H52" s="597">
        <v>-4.1703162519485009</v>
      </c>
      <c r="I52" s="598">
        <v>0.68326711012885688</v>
      </c>
      <c r="J52" s="599" t="s">
        <v>1</v>
      </c>
    </row>
    <row r="53" spans="1:10" ht="14.4" customHeight="1" x14ac:dyDescent="0.3">
      <c r="A53" s="595" t="s">
        <v>541</v>
      </c>
      <c r="B53" s="596" t="s">
        <v>335</v>
      </c>
      <c r="C53" s="597" t="s">
        <v>529</v>
      </c>
      <c r="D53" s="597" t="s">
        <v>529</v>
      </c>
      <c r="E53" s="597"/>
      <c r="F53" s="597">
        <v>13.4604</v>
      </c>
      <c r="G53" s="597">
        <v>0</v>
      </c>
      <c r="H53" s="597">
        <v>13.4604</v>
      </c>
      <c r="I53" s="598" t="s">
        <v>529</v>
      </c>
      <c r="J53" s="599" t="s">
        <v>1</v>
      </c>
    </row>
    <row r="54" spans="1:10" ht="14.4" customHeight="1" x14ac:dyDescent="0.3">
      <c r="A54" s="595" t="s">
        <v>541</v>
      </c>
      <c r="B54" s="596" t="s">
        <v>1028</v>
      </c>
      <c r="C54" s="597">
        <v>0</v>
      </c>
      <c r="D54" s="597">
        <v>0</v>
      </c>
      <c r="E54" s="597"/>
      <c r="F54" s="597" t="s">
        <v>529</v>
      </c>
      <c r="G54" s="597" t="s">
        <v>529</v>
      </c>
      <c r="H54" s="597" t="s">
        <v>529</v>
      </c>
      <c r="I54" s="598" t="s">
        <v>529</v>
      </c>
      <c r="J54" s="599" t="s">
        <v>1</v>
      </c>
    </row>
    <row r="55" spans="1:10" ht="14.4" customHeight="1" x14ac:dyDescent="0.3">
      <c r="A55" s="595" t="s">
        <v>541</v>
      </c>
      <c r="B55" s="596" t="s">
        <v>543</v>
      </c>
      <c r="C55" s="597">
        <v>448.48820999999998</v>
      </c>
      <c r="D55" s="597">
        <v>390.63797000000102</v>
      </c>
      <c r="E55" s="597"/>
      <c r="F55" s="597">
        <v>459.86037999999996</v>
      </c>
      <c r="G55" s="597">
        <v>464.944780542366</v>
      </c>
      <c r="H55" s="597">
        <v>-5.0844005423660406</v>
      </c>
      <c r="I55" s="598">
        <v>0.98906450667876089</v>
      </c>
      <c r="J55" s="599" t="s">
        <v>536</v>
      </c>
    </row>
    <row r="56" spans="1:10" ht="14.4" customHeight="1" x14ac:dyDescent="0.3">
      <c r="A56" s="595" t="s">
        <v>529</v>
      </c>
      <c r="B56" s="596" t="s">
        <v>529</v>
      </c>
      <c r="C56" s="597" t="s">
        <v>529</v>
      </c>
      <c r="D56" s="597" t="s">
        <v>529</v>
      </c>
      <c r="E56" s="597"/>
      <c r="F56" s="597" t="s">
        <v>529</v>
      </c>
      <c r="G56" s="597" t="s">
        <v>529</v>
      </c>
      <c r="H56" s="597" t="s">
        <v>529</v>
      </c>
      <c r="I56" s="598" t="s">
        <v>529</v>
      </c>
      <c r="J56" s="599" t="s">
        <v>537</v>
      </c>
    </row>
    <row r="57" spans="1:10" ht="14.4" customHeight="1" x14ac:dyDescent="0.3">
      <c r="A57" s="595" t="s">
        <v>527</v>
      </c>
      <c r="B57" s="596" t="s">
        <v>531</v>
      </c>
      <c r="C57" s="597">
        <v>550.34843000000001</v>
      </c>
      <c r="D57" s="597">
        <v>502.59260000000097</v>
      </c>
      <c r="E57" s="597"/>
      <c r="F57" s="597">
        <v>641.72287000000028</v>
      </c>
      <c r="G57" s="597">
        <v>664.91581239009429</v>
      </c>
      <c r="H57" s="597">
        <v>-23.192942390094004</v>
      </c>
      <c r="I57" s="598">
        <v>0.96511897903777466</v>
      </c>
      <c r="J57" s="599" t="s">
        <v>532</v>
      </c>
    </row>
  </sheetData>
  <mergeCells count="3">
    <mergeCell ref="A1:I1"/>
    <mergeCell ref="F3:I3"/>
    <mergeCell ref="C4:D4"/>
  </mergeCells>
  <conditionalFormatting sqref="F19 F58:F65537">
    <cfRule type="cellIs" dxfId="37" priority="18" stopIfTrue="1" operator="greaterThan">
      <formula>1</formula>
    </cfRule>
  </conditionalFormatting>
  <conditionalFormatting sqref="H5:H18">
    <cfRule type="expression" dxfId="36" priority="14">
      <formula>$H5&gt;0</formula>
    </cfRule>
  </conditionalFormatting>
  <conditionalFormatting sqref="I5:I18">
    <cfRule type="expression" dxfId="35" priority="15">
      <formula>$I5&gt;1</formula>
    </cfRule>
  </conditionalFormatting>
  <conditionalFormatting sqref="B5:B18">
    <cfRule type="expression" dxfId="34" priority="11">
      <formula>OR($J5="NS",$J5="SumaNS",$J5="Účet")</formula>
    </cfRule>
  </conditionalFormatting>
  <conditionalFormatting sqref="F5:I18 B5:D18">
    <cfRule type="expression" dxfId="33" priority="17">
      <formula>AND($J5&lt;&gt;"",$J5&lt;&gt;"mezeraKL")</formula>
    </cfRule>
  </conditionalFormatting>
  <conditionalFormatting sqref="B5:D18 F5:I1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1" priority="13">
      <formula>OR($J5="SumaNS",$J5="NS")</formula>
    </cfRule>
  </conditionalFormatting>
  <conditionalFormatting sqref="A5:A18">
    <cfRule type="expression" dxfId="30" priority="9">
      <formula>AND($J5&lt;&gt;"mezeraKL",$J5&lt;&gt;"")</formula>
    </cfRule>
  </conditionalFormatting>
  <conditionalFormatting sqref="A5:A18">
    <cfRule type="expression" dxfId="29" priority="10">
      <formula>AND($J5&lt;&gt;"",$J5&lt;&gt;"mezeraKL")</formula>
    </cfRule>
  </conditionalFormatting>
  <conditionalFormatting sqref="H20:H57">
    <cfRule type="expression" dxfId="28" priority="5">
      <formula>$H20&gt;0</formula>
    </cfRule>
  </conditionalFormatting>
  <conditionalFormatting sqref="A20:A57">
    <cfRule type="expression" dxfId="27" priority="2">
      <formula>AND($J20&lt;&gt;"mezeraKL",$J20&lt;&gt;"")</formula>
    </cfRule>
  </conditionalFormatting>
  <conditionalFormatting sqref="I20:I57">
    <cfRule type="expression" dxfId="26" priority="6">
      <formula>$I20&gt;1</formula>
    </cfRule>
  </conditionalFormatting>
  <conditionalFormatting sqref="B20:B57">
    <cfRule type="expression" dxfId="25" priority="1">
      <formula>OR($J20="NS",$J20="SumaNS",$J20="Účet")</formula>
    </cfRule>
  </conditionalFormatting>
  <conditionalFormatting sqref="A20:D57 F20:I57">
    <cfRule type="expression" dxfId="24" priority="8">
      <formula>AND($J20&lt;&gt;"",$J20&lt;&gt;"mezeraKL")</formula>
    </cfRule>
  </conditionalFormatting>
  <conditionalFormatting sqref="B20:D57 F20:I57">
    <cfRule type="expression" dxfId="23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7 F20:I57">
    <cfRule type="expression" dxfId="22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1311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7.6086703975527943</v>
      </c>
      <c r="J3" s="192">
        <f>SUBTOTAL(9,J5:J1048576)</f>
        <v>84341</v>
      </c>
      <c r="K3" s="193">
        <f>SUBTOTAL(9,K5:K1048576)</f>
        <v>641722.87000000023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5" t="s">
        <v>527</v>
      </c>
      <c r="B5" s="606" t="s">
        <v>528</v>
      </c>
      <c r="C5" s="607" t="s">
        <v>533</v>
      </c>
      <c r="D5" s="608" t="s">
        <v>972</v>
      </c>
      <c r="E5" s="607" t="s">
        <v>1291</v>
      </c>
      <c r="F5" s="608" t="s">
        <v>1292</v>
      </c>
      <c r="G5" s="607" t="s">
        <v>1029</v>
      </c>
      <c r="H5" s="607" t="s">
        <v>1030</v>
      </c>
      <c r="I5" s="609">
        <v>8.52</v>
      </c>
      <c r="J5" s="609">
        <v>2</v>
      </c>
      <c r="K5" s="610">
        <v>17.04</v>
      </c>
    </row>
    <row r="6" spans="1:11" ht="14.4" customHeight="1" x14ac:dyDescent="0.3">
      <c r="A6" s="611" t="s">
        <v>527</v>
      </c>
      <c r="B6" s="612" t="s">
        <v>528</v>
      </c>
      <c r="C6" s="613" t="s">
        <v>533</v>
      </c>
      <c r="D6" s="614" t="s">
        <v>972</v>
      </c>
      <c r="E6" s="613" t="s">
        <v>1291</v>
      </c>
      <c r="F6" s="614" t="s">
        <v>1292</v>
      </c>
      <c r="G6" s="613" t="s">
        <v>1031</v>
      </c>
      <c r="H6" s="613" t="s">
        <v>1032</v>
      </c>
      <c r="I6" s="615">
        <v>27.37</v>
      </c>
      <c r="J6" s="615">
        <v>5</v>
      </c>
      <c r="K6" s="616">
        <v>136.85</v>
      </c>
    </row>
    <row r="7" spans="1:11" ht="14.4" customHeight="1" x14ac:dyDescent="0.3">
      <c r="A7" s="611" t="s">
        <v>527</v>
      </c>
      <c r="B7" s="612" t="s">
        <v>528</v>
      </c>
      <c r="C7" s="613" t="s">
        <v>533</v>
      </c>
      <c r="D7" s="614" t="s">
        <v>972</v>
      </c>
      <c r="E7" s="613" t="s">
        <v>1291</v>
      </c>
      <c r="F7" s="614" t="s">
        <v>1292</v>
      </c>
      <c r="G7" s="613" t="s">
        <v>1033</v>
      </c>
      <c r="H7" s="613" t="s">
        <v>1034</v>
      </c>
      <c r="I7" s="615">
        <v>1.4249999999999998</v>
      </c>
      <c r="J7" s="615">
        <v>800</v>
      </c>
      <c r="K7" s="616">
        <v>1140.3800000000001</v>
      </c>
    </row>
    <row r="8" spans="1:11" ht="14.4" customHeight="1" x14ac:dyDescent="0.3">
      <c r="A8" s="611" t="s">
        <v>527</v>
      </c>
      <c r="B8" s="612" t="s">
        <v>528</v>
      </c>
      <c r="C8" s="613" t="s">
        <v>533</v>
      </c>
      <c r="D8" s="614" t="s">
        <v>972</v>
      </c>
      <c r="E8" s="613" t="s">
        <v>1291</v>
      </c>
      <c r="F8" s="614" t="s">
        <v>1292</v>
      </c>
      <c r="G8" s="613" t="s">
        <v>1035</v>
      </c>
      <c r="H8" s="613" t="s">
        <v>1036</v>
      </c>
      <c r="I8" s="615">
        <v>0.14500000000000002</v>
      </c>
      <c r="J8" s="615">
        <v>800</v>
      </c>
      <c r="K8" s="616">
        <v>115</v>
      </c>
    </row>
    <row r="9" spans="1:11" ht="14.4" customHeight="1" x14ac:dyDescent="0.3">
      <c r="A9" s="611" t="s">
        <v>527</v>
      </c>
      <c r="B9" s="612" t="s">
        <v>528</v>
      </c>
      <c r="C9" s="613" t="s">
        <v>533</v>
      </c>
      <c r="D9" s="614" t="s">
        <v>972</v>
      </c>
      <c r="E9" s="613" t="s">
        <v>1291</v>
      </c>
      <c r="F9" s="614" t="s">
        <v>1292</v>
      </c>
      <c r="G9" s="613" t="s">
        <v>1037</v>
      </c>
      <c r="H9" s="613" t="s">
        <v>1038</v>
      </c>
      <c r="I9" s="615">
        <v>0.3</v>
      </c>
      <c r="J9" s="615">
        <v>1000</v>
      </c>
      <c r="K9" s="616">
        <v>303.28999999999996</v>
      </c>
    </row>
    <row r="10" spans="1:11" ht="14.4" customHeight="1" x14ac:dyDescent="0.3">
      <c r="A10" s="611" t="s">
        <v>527</v>
      </c>
      <c r="B10" s="612" t="s">
        <v>528</v>
      </c>
      <c r="C10" s="613" t="s">
        <v>533</v>
      </c>
      <c r="D10" s="614" t="s">
        <v>972</v>
      </c>
      <c r="E10" s="613" t="s">
        <v>1291</v>
      </c>
      <c r="F10" s="614" t="s">
        <v>1292</v>
      </c>
      <c r="G10" s="613" t="s">
        <v>1039</v>
      </c>
      <c r="H10" s="613" t="s">
        <v>1040</v>
      </c>
      <c r="I10" s="615">
        <v>0.3</v>
      </c>
      <c r="J10" s="615">
        <v>7200</v>
      </c>
      <c r="K10" s="616">
        <v>2134.44</v>
      </c>
    </row>
    <row r="11" spans="1:11" ht="14.4" customHeight="1" x14ac:dyDescent="0.3">
      <c r="A11" s="611" t="s">
        <v>527</v>
      </c>
      <c r="B11" s="612" t="s">
        <v>528</v>
      </c>
      <c r="C11" s="613" t="s">
        <v>533</v>
      </c>
      <c r="D11" s="614" t="s">
        <v>972</v>
      </c>
      <c r="E11" s="613" t="s">
        <v>1291</v>
      </c>
      <c r="F11" s="614" t="s">
        <v>1292</v>
      </c>
      <c r="G11" s="613" t="s">
        <v>1041</v>
      </c>
      <c r="H11" s="613" t="s">
        <v>1042</v>
      </c>
      <c r="I11" s="615">
        <v>5.92</v>
      </c>
      <c r="J11" s="615">
        <v>2</v>
      </c>
      <c r="K11" s="616">
        <v>11.84</v>
      </c>
    </row>
    <row r="12" spans="1:11" ht="14.4" customHeight="1" x14ac:dyDescent="0.3">
      <c r="A12" s="611" t="s">
        <v>527</v>
      </c>
      <c r="B12" s="612" t="s">
        <v>528</v>
      </c>
      <c r="C12" s="613" t="s">
        <v>533</v>
      </c>
      <c r="D12" s="614" t="s">
        <v>972</v>
      </c>
      <c r="E12" s="613" t="s">
        <v>1293</v>
      </c>
      <c r="F12" s="614" t="s">
        <v>1294</v>
      </c>
      <c r="G12" s="613" t="s">
        <v>1043</v>
      </c>
      <c r="H12" s="613" t="s">
        <v>1044</v>
      </c>
      <c r="I12" s="615">
        <v>4.1900000000000004</v>
      </c>
      <c r="J12" s="615">
        <v>50</v>
      </c>
      <c r="K12" s="616">
        <v>209.5</v>
      </c>
    </row>
    <row r="13" spans="1:11" ht="14.4" customHeight="1" x14ac:dyDescent="0.3">
      <c r="A13" s="611" t="s">
        <v>527</v>
      </c>
      <c r="B13" s="612" t="s">
        <v>528</v>
      </c>
      <c r="C13" s="613" t="s">
        <v>533</v>
      </c>
      <c r="D13" s="614" t="s">
        <v>972</v>
      </c>
      <c r="E13" s="613" t="s">
        <v>1293</v>
      </c>
      <c r="F13" s="614" t="s">
        <v>1294</v>
      </c>
      <c r="G13" s="613" t="s">
        <v>1045</v>
      </c>
      <c r="H13" s="613" t="s">
        <v>1046</v>
      </c>
      <c r="I13" s="615">
        <v>1.0900000000000001</v>
      </c>
      <c r="J13" s="615">
        <v>500</v>
      </c>
      <c r="K13" s="616">
        <v>545</v>
      </c>
    </row>
    <row r="14" spans="1:11" ht="14.4" customHeight="1" x14ac:dyDescent="0.3">
      <c r="A14" s="611" t="s">
        <v>527</v>
      </c>
      <c r="B14" s="612" t="s">
        <v>528</v>
      </c>
      <c r="C14" s="613" t="s">
        <v>533</v>
      </c>
      <c r="D14" s="614" t="s">
        <v>972</v>
      </c>
      <c r="E14" s="613" t="s">
        <v>1293</v>
      </c>
      <c r="F14" s="614" t="s">
        <v>1294</v>
      </c>
      <c r="G14" s="613" t="s">
        <v>1047</v>
      </c>
      <c r="H14" s="613" t="s">
        <v>1048</v>
      </c>
      <c r="I14" s="615">
        <v>1.67</v>
      </c>
      <c r="J14" s="615">
        <v>1300</v>
      </c>
      <c r="K14" s="616">
        <v>2171</v>
      </c>
    </row>
    <row r="15" spans="1:11" ht="14.4" customHeight="1" x14ac:dyDescent="0.3">
      <c r="A15" s="611" t="s">
        <v>527</v>
      </c>
      <c r="B15" s="612" t="s">
        <v>528</v>
      </c>
      <c r="C15" s="613" t="s">
        <v>533</v>
      </c>
      <c r="D15" s="614" t="s">
        <v>972</v>
      </c>
      <c r="E15" s="613" t="s">
        <v>1293</v>
      </c>
      <c r="F15" s="614" t="s">
        <v>1294</v>
      </c>
      <c r="G15" s="613" t="s">
        <v>1049</v>
      </c>
      <c r="H15" s="613" t="s">
        <v>1050</v>
      </c>
      <c r="I15" s="615">
        <v>0.48</v>
      </c>
      <c r="J15" s="615">
        <v>100</v>
      </c>
      <c r="K15" s="616">
        <v>48</v>
      </c>
    </row>
    <row r="16" spans="1:11" ht="14.4" customHeight="1" x14ac:dyDescent="0.3">
      <c r="A16" s="611" t="s">
        <v>527</v>
      </c>
      <c r="B16" s="612" t="s">
        <v>528</v>
      </c>
      <c r="C16" s="613" t="s">
        <v>533</v>
      </c>
      <c r="D16" s="614" t="s">
        <v>972</v>
      </c>
      <c r="E16" s="613" t="s">
        <v>1293</v>
      </c>
      <c r="F16" s="614" t="s">
        <v>1294</v>
      </c>
      <c r="G16" s="613" t="s">
        <v>1051</v>
      </c>
      <c r="H16" s="613" t="s">
        <v>1052</v>
      </c>
      <c r="I16" s="615">
        <v>0.67</v>
      </c>
      <c r="J16" s="615">
        <v>300</v>
      </c>
      <c r="K16" s="616">
        <v>201</v>
      </c>
    </row>
    <row r="17" spans="1:11" ht="14.4" customHeight="1" x14ac:dyDescent="0.3">
      <c r="A17" s="611" t="s">
        <v>527</v>
      </c>
      <c r="B17" s="612" t="s">
        <v>528</v>
      </c>
      <c r="C17" s="613" t="s">
        <v>533</v>
      </c>
      <c r="D17" s="614" t="s">
        <v>972</v>
      </c>
      <c r="E17" s="613" t="s">
        <v>1293</v>
      </c>
      <c r="F17" s="614" t="s">
        <v>1294</v>
      </c>
      <c r="G17" s="613" t="s">
        <v>1053</v>
      </c>
      <c r="H17" s="613" t="s">
        <v>1054</v>
      </c>
      <c r="I17" s="615">
        <v>3.22</v>
      </c>
      <c r="J17" s="615">
        <v>200</v>
      </c>
      <c r="K17" s="616">
        <v>643.6</v>
      </c>
    </row>
    <row r="18" spans="1:11" ht="14.4" customHeight="1" x14ac:dyDescent="0.3">
      <c r="A18" s="611" t="s">
        <v>527</v>
      </c>
      <c r="B18" s="612" t="s">
        <v>528</v>
      </c>
      <c r="C18" s="613" t="s">
        <v>533</v>
      </c>
      <c r="D18" s="614" t="s">
        <v>972</v>
      </c>
      <c r="E18" s="613" t="s">
        <v>1293</v>
      </c>
      <c r="F18" s="614" t="s">
        <v>1294</v>
      </c>
      <c r="G18" s="613" t="s">
        <v>1055</v>
      </c>
      <c r="H18" s="613" t="s">
        <v>1056</v>
      </c>
      <c r="I18" s="615">
        <v>5.41</v>
      </c>
      <c r="J18" s="615">
        <v>100</v>
      </c>
      <c r="K18" s="616">
        <v>541</v>
      </c>
    </row>
    <row r="19" spans="1:11" ht="14.4" customHeight="1" x14ac:dyDescent="0.3">
      <c r="A19" s="611" t="s">
        <v>527</v>
      </c>
      <c r="B19" s="612" t="s">
        <v>528</v>
      </c>
      <c r="C19" s="613" t="s">
        <v>533</v>
      </c>
      <c r="D19" s="614" t="s">
        <v>972</v>
      </c>
      <c r="E19" s="613" t="s">
        <v>1293</v>
      </c>
      <c r="F19" s="614" t="s">
        <v>1294</v>
      </c>
      <c r="G19" s="613" t="s">
        <v>1057</v>
      </c>
      <c r="H19" s="613" t="s">
        <v>1058</v>
      </c>
      <c r="I19" s="615">
        <v>1326.2</v>
      </c>
      <c r="J19" s="615">
        <v>1</v>
      </c>
      <c r="K19" s="616">
        <v>1326.2</v>
      </c>
    </row>
    <row r="20" spans="1:11" ht="14.4" customHeight="1" x14ac:dyDescent="0.3">
      <c r="A20" s="611" t="s">
        <v>527</v>
      </c>
      <c r="B20" s="612" t="s">
        <v>528</v>
      </c>
      <c r="C20" s="613" t="s">
        <v>533</v>
      </c>
      <c r="D20" s="614" t="s">
        <v>972</v>
      </c>
      <c r="E20" s="613" t="s">
        <v>1293</v>
      </c>
      <c r="F20" s="614" t="s">
        <v>1294</v>
      </c>
      <c r="G20" s="613" t="s">
        <v>1059</v>
      </c>
      <c r="H20" s="613" t="s">
        <v>1060</v>
      </c>
      <c r="I20" s="615">
        <v>58.79</v>
      </c>
      <c r="J20" s="615">
        <v>12</v>
      </c>
      <c r="K20" s="616">
        <v>705.48</v>
      </c>
    </row>
    <row r="21" spans="1:11" ht="14.4" customHeight="1" x14ac:dyDescent="0.3">
      <c r="A21" s="611" t="s">
        <v>527</v>
      </c>
      <c r="B21" s="612" t="s">
        <v>528</v>
      </c>
      <c r="C21" s="613" t="s">
        <v>533</v>
      </c>
      <c r="D21" s="614" t="s">
        <v>972</v>
      </c>
      <c r="E21" s="613" t="s">
        <v>1293</v>
      </c>
      <c r="F21" s="614" t="s">
        <v>1294</v>
      </c>
      <c r="G21" s="613" t="s">
        <v>1061</v>
      </c>
      <c r="H21" s="613" t="s">
        <v>1062</v>
      </c>
      <c r="I21" s="615">
        <v>2.46</v>
      </c>
      <c r="J21" s="615">
        <v>800</v>
      </c>
      <c r="K21" s="616">
        <v>1968.4099999999999</v>
      </c>
    </row>
    <row r="22" spans="1:11" ht="14.4" customHeight="1" x14ac:dyDescent="0.3">
      <c r="A22" s="611" t="s">
        <v>527</v>
      </c>
      <c r="B22" s="612" t="s">
        <v>528</v>
      </c>
      <c r="C22" s="613" t="s">
        <v>533</v>
      </c>
      <c r="D22" s="614" t="s">
        <v>972</v>
      </c>
      <c r="E22" s="613" t="s">
        <v>1293</v>
      </c>
      <c r="F22" s="614" t="s">
        <v>1294</v>
      </c>
      <c r="G22" s="613" t="s">
        <v>1063</v>
      </c>
      <c r="H22" s="613" t="s">
        <v>1064</v>
      </c>
      <c r="I22" s="615">
        <v>12.11</v>
      </c>
      <c r="J22" s="615">
        <v>120</v>
      </c>
      <c r="K22" s="616">
        <v>1453.2</v>
      </c>
    </row>
    <row r="23" spans="1:11" ht="14.4" customHeight="1" x14ac:dyDescent="0.3">
      <c r="A23" s="611" t="s">
        <v>527</v>
      </c>
      <c r="B23" s="612" t="s">
        <v>528</v>
      </c>
      <c r="C23" s="613" t="s">
        <v>533</v>
      </c>
      <c r="D23" s="614" t="s">
        <v>972</v>
      </c>
      <c r="E23" s="613" t="s">
        <v>1293</v>
      </c>
      <c r="F23" s="614" t="s">
        <v>1294</v>
      </c>
      <c r="G23" s="613" t="s">
        <v>1065</v>
      </c>
      <c r="H23" s="613" t="s">
        <v>1066</v>
      </c>
      <c r="I23" s="615">
        <v>3.14</v>
      </c>
      <c r="J23" s="615">
        <v>100</v>
      </c>
      <c r="K23" s="616">
        <v>314.07</v>
      </c>
    </row>
    <row r="24" spans="1:11" ht="14.4" customHeight="1" x14ac:dyDescent="0.3">
      <c r="A24" s="611" t="s">
        <v>527</v>
      </c>
      <c r="B24" s="612" t="s">
        <v>528</v>
      </c>
      <c r="C24" s="613" t="s">
        <v>533</v>
      </c>
      <c r="D24" s="614" t="s">
        <v>972</v>
      </c>
      <c r="E24" s="613" t="s">
        <v>1293</v>
      </c>
      <c r="F24" s="614" t="s">
        <v>1294</v>
      </c>
      <c r="G24" s="613" t="s">
        <v>1067</v>
      </c>
      <c r="H24" s="613" t="s">
        <v>1068</v>
      </c>
      <c r="I24" s="615">
        <v>9.1999999999999993</v>
      </c>
      <c r="J24" s="615">
        <v>300</v>
      </c>
      <c r="K24" s="616">
        <v>2760</v>
      </c>
    </row>
    <row r="25" spans="1:11" ht="14.4" customHeight="1" x14ac:dyDescent="0.3">
      <c r="A25" s="611" t="s">
        <v>527</v>
      </c>
      <c r="B25" s="612" t="s">
        <v>528</v>
      </c>
      <c r="C25" s="613" t="s">
        <v>533</v>
      </c>
      <c r="D25" s="614" t="s">
        <v>972</v>
      </c>
      <c r="E25" s="613" t="s">
        <v>1293</v>
      </c>
      <c r="F25" s="614" t="s">
        <v>1294</v>
      </c>
      <c r="G25" s="613" t="s">
        <v>1069</v>
      </c>
      <c r="H25" s="613" t="s">
        <v>1070</v>
      </c>
      <c r="I25" s="615">
        <v>172.5</v>
      </c>
      <c r="J25" s="615">
        <v>1</v>
      </c>
      <c r="K25" s="616">
        <v>172.5</v>
      </c>
    </row>
    <row r="26" spans="1:11" ht="14.4" customHeight="1" x14ac:dyDescent="0.3">
      <c r="A26" s="611" t="s">
        <v>527</v>
      </c>
      <c r="B26" s="612" t="s">
        <v>528</v>
      </c>
      <c r="C26" s="613" t="s">
        <v>533</v>
      </c>
      <c r="D26" s="614" t="s">
        <v>972</v>
      </c>
      <c r="E26" s="613" t="s">
        <v>1293</v>
      </c>
      <c r="F26" s="614" t="s">
        <v>1294</v>
      </c>
      <c r="G26" s="613" t="s">
        <v>1071</v>
      </c>
      <c r="H26" s="613" t="s">
        <v>1072</v>
      </c>
      <c r="I26" s="615">
        <v>403.78</v>
      </c>
      <c r="J26" s="615">
        <v>60</v>
      </c>
      <c r="K26" s="616">
        <v>24226.74</v>
      </c>
    </row>
    <row r="27" spans="1:11" ht="14.4" customHeight="1" x14ac:dyDescent="0.3">
      <c r="A27" s="611" t="s">
        <v>527</v>
      </c>
      <c r="B27" s="612" t="s">
        <v>528</v>
      </c>
      <c r="C27" s="613" t="s">
        <v>533</v>
      </c>
      <c r="D27" s="614" t="s">
        <v>972</v>
      </c>
      <c r="E27" s="613" t="s">
        <v>1293</v>
      </c>
      <c r="F27" s="614" t="s">
        <v>1294</v>
      </c>
      <c r="G27" s="613" t="s">
        <v>1073</v>
      </c>
      <c r="H27" s="613" t="s">
        <v>1074</v>
      </c>
      <c r="I27" s="615">
        <v>5.81</v>
      </c>
      <c r="J27" s="615">
        <v>50</v>
      </c>
      <c r="K27" s="616">
        <v>290.39999999999998</v>
      </c>
    </row>
    <row r="28" spans="1:11" ht="14.4" customHeight="1" x14ac:dyDescent="0.3">
      <c r="A28" s="611" t="s">
        <v>527</v>
      </c>
      <c r="B28" s="612" t="s">
        <v>528</v>
      </c>
      <c r="C28" s="613" t="s">
        <v>533</v>
      </c>
      <c r="D28" s="614" t="s">
        <v>972</v>
      </c>
      <c r="E28" s="613" t="s">
        <v>1293</v>
      </c>
      <c r="F28" s="614" t="s">
        <v>1294</v>
      </c>
      <c r="G28" s="613" t="s">
        <v>1075</v>
      </c>
      <c r="H28" s="613" t="s">
        <v>1076</v>
      </c>
      <c r="I28" s="615">
        <v>297.04000000000002</v>
      </c>
      <c r="J28" s="615">
        <v>5</v>
      </c>
      <c r="K28" s="616">
        <v>1485.19</v>
      </c>
    </row>
    <row r="29" spans="1:11" ht="14.4" customHeight="1" x14ac:dyDescent="0.3">
      <c r="A29" s="611" t="s">
        <v>527</v>
      </c>
      <c r="B29" s="612" t="s">
        <v>528</v>
      </c>
      <c r="C29" s="613" t="s">
        <v>533</v>
      </c>
      <c r="D29" s="614" t="s">
        <v>972</v>
      </c>
      <c r="E29" s="613" t="s">
        <v>1293</v>
      </c>
      <c r="F29" s="614" t="s">
        <v>1294</v>
      </c>
      <c r="G29" s="613" t="s">
        <v>1077</v>
      </c>
      <c r="H29" s="613" t="s">
        <v>1078</v>
      </c>
      <c r="I29" s="615">
        <v>75.87</v>
      </c>
      <c r="J29" s="615">
        <v>10</v>
      </c>
      <c r="K29" s="616">
        <v>758.68</v>
      </c>
    </row>
    <row r="30" spans="1:11" ht="14.4" customHeight="1" x14ac:dyDescent="0.3">
      <c r="A30" s="611" t="s">
        <v>527</v>
      </c>
      <c r="B30" s="612" t="s">
        <v>528</v>
      </c>
      <c r="C30" s="613" t="s">
        <v>533</v>
      </c>
      <c r="D30" s="614" t="s">
        <v>972</v>
      </c>
      <c r="E30" s="613" t="s">
        <v>1293</v>
      </c>
      <c r="F30" s="614" t="s">
        <v>1294</v>
      </c>
      <c r="G30" s="613" t="s">
        <v>1079</v>
      </c>
      <c r="H30" s="613" t="s">
        <v>1080</v>
      </c>
      <c r="I30" s="615">
        <v>1</v>
      </c>
      <c r="J30" s="615">
        <v>200</v>
      </c>
      <c r="K30" s="616">
        <v>200</v>
      </c>
    </row>
    <row r="31" spans="1:11" ht="14.4" customHeight="1" x14ac:dyDescent="0.3">
      <c r="A31" s="611" t="s">
        <v>527</v>
      </c>
      <c r="B31" s="612" t="s">
        <v>528</v>
      </c>
      <c r="C31" s="613" t="s">
        <v>533</v>
      </c>
      <c r="D31" s="614" t="s">
        <v>972</v>
      </c>
      <c r="E31" s="613" t="s">
        <v>1293</v>
      </c>
      <c r="F31" s="614" t="s">
        <v>1294</v>
      </c>
      <c r="G31" s="613" t="s">
        <v>1081</v>
      </c>
      <c r="H31" s="613" t="s">
        <v>1082</v>
      </c>
      <c r="I31" s="615">
        <v>209.94</v>
      </c>
      <c r="J31" s="615">
        <v>10</v>
      </c>
      <c r="K31" s="616">
        <v>2099.35</v>
      </c>
    </row>
    <row r="32" spans="1:11" ht="14.4" customHeight="1" x14ac:dyDescent="0.3">
      <c r="A32" s="611" t="s">
        <v>527</v>
      </c>
      <c r="B32" s="612" t="s">
        <v>528</v>
      </c>
      <c r="C32" s="613" t="s">
        <v>533</v>
      </c>
      <c r="D32" s="614" t="s">
        <v>972</v>
      </c>
      <c r="E32" s="613" t="s">
        <v>1295</v>
      </c>
      <c r="F32" s="614" t="s">
        <v>1296</v>
      </c>
      <c r="G32" s="613" t="s">
        <v>1083</v>
      </c>
      <c r="H32" s="613" t="s">
        <v>1084</v>
      </c>
      <c r="I32" s="615">
        <v>0.30499999999999999</v>
      </c>
      <c r="J32" s="615">
        <v>200</v>
      </c>
      <c r="K32" s="616">
        <v>61</v>
      </c>
    </row>
    <row r="33" spans="1:11" ht="14.4" customHeight="1" x14ac:dyDescent="0.3">
      <c r="A33" s="611" t="s">
        <v>527</v>
      </c>
      <c r="B33" s="612" t="s">
        <v>528</v>
      </c>
      <c r="C33" s="613" t="s">
        <v>533</v>
      </c>
      <c r="D33" s="614" t="s">
        <v>972</v>
      </c>
      <c r="E33" s="613" t="s">
        <v>1295</v>
      </c>
      <c r="F33" s="614" t="s">
        <v>1296</v>
      </c>
      <c r="G33" s="613" t="s">
        <v>1085</v>
      </c>
      <c r="H33" s="613" t="s">
        <v>1086</v>
      </c>
      <c r="I33" s="615">
        <v>0.49</v>
      </c>
      <c r="J33" s="615">
        <v>100</v>
      </c>
      <c r="K33" s="616">
        <v>49</v>
      </c>
    </row>
    <row r="34" spans="1:11" ht="14.4" customHeight="1" x14ac:dyDescent="0.3">
      <c r="A34" s="611" t="s">
        <v>527</v>
      </c>
      <c r="B34" s="612" t="s">
        <v>528</v>
      </c>
      <c r="C34" s="613" t="s">
        <v>533</v>
      </c>
      <c r="D34" s="614" t="s">
        <v>972</v>
      </c>
      <c r="E34" s="613" t="s">
        <v>1297</v>
      </c>
      <c r="F34" s="614" t="s">
        <v>1298</v>
      </c>
      <c r="G34" s="613" t="s">
        <v>1087</v>
      </c>
      <c r="H34" s="613" t="s">
        <v>1088</v>
      </c>
      <c r="I34" s="615">
        <v>7.5</v>
      </c>
      <c r="J34" s="615">
        <v>200</v>
      </c>
      <c r="K34" s="616">
        <v>1500</v>
      </c>
    </row>
    <row r="35" spans="1:11" ht="14.4" customHeight="1" x14ac:dyDescent="0.3">
      <c r="A35" s="611" t="s">
        <v>527</v>
      </c>
      <c r="B35" s="612" t="s">
        <v>528</v>
      </c>
      <c r="C35" s="613" t="s">
        <v>533</v>
      </c>
      <c r="D35" s="614" t="s">
        <v>972</v>
      </c>
      <c r="E35" s="613" t="s">
        <v>1297</v>
      </c>
      <c r="F35" s="614" t="s">
        <v>1298</v>
      </c>
      <c r="G35" s="613" t="s">
        <v>1089</v>
      </c>
      <c r="H35" s="613" t="s">
        <v>1090</v>
      </c>
      <c r="I35" s="615">
        <v>7.5049999999999999</v>
      </c>
      <c r="J35" s="615">
        <v>200</v>
      </c>
      <c r="K35" s="616">
        <v>1501</v>
      </c>
    </row>
    <row r="36" spans="1:11" ht="14.4" customHeight="1" x14ac:dyDescent="0.3">
      <c r="A36" s="611" t="s">
        <v>527</v>
      </c>
      <c r="B36" s="612" t="s">
        <v>528</v>
      </c>
      <c r="C36" s="613" t="s">
        <v>533</v>
      </c>
      <c r="D36" s="614" t="s">
        <v>972</v>
      </c>
      <c r="E36" s="613" t="s">
        <v>1297</v>
      </c>
      <c r="F36" s="614" t="s">
        <v>1298</v>
      </c>
      <c r="G36" s="613" t="s">
        <v>1091</v>
      </c>
      <c r="H36" s="613" t="s">
        <v>1092</v>
      </c>
      <c r="I36" s="615">
        <v>0.71</v>
      </c>
      <c r="J36" s="615">
        <v>4000</v>
      </c>
      <c r="K36" s="616">
        <v>2831.51</v>
      </c>
    </row>
    <row r="37" spans="1:11" ht="14.4" customHeight="1" x14ac:dyDescent="0.3">
      <c r="A37" s="611" t="s">
        <v>527</v>
      </c>
      <c r="B37" s="612" t="s">
        <v>528</v>
      </c>
      <c r="C37" s="613" t="s">
        <v>538</v>
      </c>
      <c r="D37" s="614" t="s">
        <v>973</v>
      </c>
      <c r="E37" s="613" t="s">
        <v>1291</v>
      </c>
      <c r="F37" s="614" t="s">
        <v>1292</v>
      </c>
      <c r="G37" s="613" t="s">
        <v>1093</v>
      </c>
      <c r="H37" s="613" t="s">
        <v>1094</v>
      </c>
      <c r="I37" s="615">
        <v>4.3049999999999997</v>
      </c>
      <c r="J37" s="615">
        <v>48</v>
      </c>
      <c r="K37" s="616">
        <v>206.64</v>
      </c>
    </row>
    <row r="38" spans="1:11" ht="14.4" customHeight="1" x14ac:dyDescent="0.3">
      <c r="A38" s="611" t="s">
        <v>527</v>
      </c>
      <c r="B38" s="612" t="s">
        <v>528</v>
      </c>
      <c r="C38" s="613" t="s">
        <v>538</v>
      </c>
      <c r="D38" s="614" t="s">
        <v>973</v>
      </c>
      <c r="E38" s="613" t="s">
        <v>1291</v>
      </c>
      <c r="F38" s="614" t="s">
        <v>1292</v>
      </c>
      <c r="G38" s="613" t="s">
        <v>1095</v>
      </c>
      <c r="H38" s="613" t="s">
        <v>1096</v>
      </c>
      <c r="I38" s="615">
        <v>0.4</v>
      </c>
      <c r="J38" s="615">
        <v>200</v>
      </c>
      <c r="K38" s="616">
        <v>80</v>
      </c>
    </row>
    <row r="39" spans="1:11" ht="14.4" customHeight="1" x14ac:dyDescent="0.3">
      <c r="A39" s="611" t="s">
        <v>527</v>
      </c>
      <c r="B39" s="612" t="s">
        <v>528</v>
      </c>
      <c r="C39" s="613" t="s">
        <v>538</v>
      </c>
      <c r="D39" s="614" t="s">
        <v>973</v>
      </c>
      <c r="E39" s="613" t="s">
        <v>1291</v>
      </c>
      <c r="F39" s="614" t="s">
        <v>1292</v>
      </c>
      <c r="G39" s="613" t="s">
        <v>1097</v>
      </c>
      <c r="H39" s="613" t="s">
        <v>1098</v>
      </c>
      <c r="I39" s="615">
        <v>0.3</v>
      </c>
      <c r="J39" s="615">
        <v>900</v>
      </c>
      <c r="K39" s="616">
        <v>274.27999999999997</v>
      </c>
    </row>
    <row r="40" spans="1:11" ht="14.4" customHeight="1" x14ac:dyDescent="0.3">
      <c r="A40" s="611" t="s">
        <v>527</v>
      </c>
      <c r="B40" s="612" t="s">
        <v>528</v>
      </c>
      <c r="C40" s="613" t="s">
        <v>538</v>
      </c>
      <c r="D40" s="614" t="s">
        <v>973</v>
      </c>
      <c r="E40" s="613" t="s">
        <v>1291</v>
      </c>
      <c r="F40" s="614" t="s">
        <v>1292</v>
      </c>
      <c r="G40" s="613" t="s">
        <v>1099</v>
      </c>
      <c r="H40" s="613" t="s">
        <v>1100</v>
      </c>
      <c r="I40" s="615">
        <v>2.81</v>
      </c>
      <c r="J40" s="615">
        <v>100</v>
      </c>
      <c r="K40" s="616">
        <v>281</v>
      </c>
    </row>
    <row r="41" spans="1:11" ht="14.4" customHeight="1" x14ac:dyDescent="0.3">
      <c r="A41" s="611" t="s">
        <v>527</v>
      </c>
      <c r="B41" s="612" t="s">
        <v>528</v>
      </c>
      <c r="C41" s="613" t="s">
        <v>538</v>
      </c>
      <c r="D41" s="614" t="s">
        <v>973</v>
      </c>
      <c r="E41" s="613" t="s">
        <v>1291</v>
      </c>
      <c r="F41" s="614" t="s">
        <v>1292</v>
      </c>
      <c r="G41" s="613" t="s">
        <v>1101</v>
      </c>
      <c r="H41" s="613" t="s">
        <v>1102</v>
      </c>
      <c r="I41" s="615">
        <v>0.6</v>
      </c>
      <c r="J41" s="615">
        <v>500</v>
      </c>
      <c r="K41" s="616">
        <v>300</v>
      </c>
    </row>
    <row r="42" spans="1:11" ht="14.4" customHeight="1" x14ac:dyDescent="0.3">
      <c r="A42" s="611" t="s">
        <v>527</v>
      </c>
      <c r="B42" s="612" t="s">
        <v>528</v>
      </c>
      <c r="C42" s="613" t="s">
        <v>538</v>
      </c>
      <c r="D42" s="614" t="s">
        <v>973</v>
      </c>
      <c r="E42" s="613" t="s">
        <v>1291</v>
      </c>
      <c r="F42" s="614" t="s">
        <v>1292</v>
      </c>
      <c r="G42" s="613" t="s">
        <v>1103</v>
      </c>
      <c r="H42" s="613" t="s">
        <v>1104</v>
      </c>
      <c r="I42" s="615">
        <v>1.29</v>
      </c>
      <c r="J42" s="615">
        <v>200</v>
      </c>
      <c r="K42" s="616">
        <v>258</v>
      </c>
    </row>
    <row r="43" spans="1:11" ht="14.4" customHeight="1" x14ac:dyDescent="0.3">
      <c r="A43" s="611" t="s">
        <v>527</v>
      </c>
      <c r="B43" s="612" t="s">
        <v>528</v>
      </c>
      <c r="C43" s="613" t="s">
        <v>538</v>
      </c>
      <c r="D43" s="614" t="s">
        <v>973</v>
      </c>
      <c r="E43" s="613" t="s">
        <v>1291</v>
      </c>
      <c r="F43" s="614" t="s">
        <v>1292</v>
      </c>
      <c r="G43" s="613" t="s">
        <v>1105</v>
      </c>
      <c r="H43" s="613" t="s">
        <v>1106</v>
      </c>
      <c r="I43" s="615">
        <v>13.15</v>
      </c>
      <c r="J43" s="615">
        <v>24</v>
      </c>
      <c r="K43" s="616">
        <v>315.64999999999998</v>
      </c>
    </row>
    <row r="44" spans="1:11" ht="14.4" customHeight="1" x14ac:dyDescent="0.3">
      <c r="A44" s="611" t="s">
        <v>527</v>
      </c>
      <c r="B44" s="612" t="s">
        <v>528</v>
      </c>
      <c r="C44" s="613" t="s">
        <v>538</v>
      </c>
      <c r="D44" s="614" t="s">
        <v>973</v>
      </c>
      <c r="E44" s="613" t="s">
        <v>1293</v>
      </c>
      <c r="F44" s="614" t="s">
        <v>1294</v>
      </c>
      <c r="G44" s="613" t="s">
        <v>1107</v>
      </c>
      <c r="H44" s="613" t="s">
        <v>1108</v>
      </c>
      <c r="I44" s="615">
        <v>16.399999999999999</v>
      </c>
      <c r="J44" s="615">
        <v>800</v>
      </c>
      <c r="K44" s="616">
        <v>13120</v>
      </c>
    </row>
    <row r="45" spans="1:11" ht="14.4" customHeight="1" x14ac:dyDescent="0.3">
      <c r="A45" s="611" t="s">
        <v>527</v>
      </c>
      <c r="B45" s="612" t="s">
        <v>528</v>
      </c>
      <c r="C45" s="613" t="s">
        <v>538</v>
      </c>
      <c r="D45" s="614" t="s">
        <v>973</v>
      </c>
      <c r="E45" s="613" t="s">
        <v>1293</v>
      </c>
      <c r="F45" s="614" t="s">
        <v>1294</v>
      </c>
      <c r="G45" s="613" t="s">
        <v>1109</v>
      </c>
      <c r="H45" s="613" t="s">
        <v>1110</v>
      </c>
      <c r="I45" s="615">
        <v>1.42</v>
      </c>
      <c r="J45" s="615">
        <v>200</v>
      </c>
      <c r="K45" s="616">
        <v>284.55</v>
      </c>
    </row>
    <row r="46" spans="1:11" ht="14.4" customHeight="1" x14ac:dyDescent="0.3">
      <c r="A46" s="611" t="s">
        <v>527</v>
      </c>
      <c r="B46" s="612" t="s">
        <v>528</v>
      </c>
      <c r="C46" s="613" t="s">
        <v>538</v>
      </c>
      <c r="D46" s="614" t="s">
        <v>973</v>
      </c>
      <c r="E46" s="613" t="s">
        <v>1293</v>
      </c>
      <c r="F46" s="614" t="s">
        <v>1294</v>
      </c>
      <c r="G46" s="613" t="s">
        <v>1111</v>
      </c>
      <c r="H46" s="613" t="s">
        <v>1112</v>
      </c>
      <c r="I46" s="615">
        <v>15.92</v>
      </c>
      <c r="J46" s="615">
        <v>50</v>
      </c>
      <c r="K46" s="616">
        <v>796</v>
      </c>
    </row>
    <row r="47" spans="1:11" ht="14.4" customHeight="1" x14ac:dyDescent="0.3">
      <c r="A47" s="611" t="s">
        <v>527</v>
      </c>
      <c r="B47" s="612" t="s">
        <v>528</v>
      </c>
      <c r="C47" s="613" t="s">
        <v>538</v>
      </c>
      <c r="D47" s="614" t="s">
        <v>973</v>
      </c>
      <c r="E47" s="613" t="s">
        <v>1293</v>
      </c>
      <c r="F47" s="614" t="s">
        <v>1294</v>
      </c>
      <c r="G47" s="613" t="s">
        <v>1113</v>
      </c>
      <c r="H47" s="613" t="s">
        <v>1114</v>
      </c>
      <c r="I47" s="615">
        <v>30.25</v>
      </c>
      <c r="J47" s="615">
        <v>50</v>
      </c>
      <c r="K47" s="616">
        <v>1512.5</v>
      </c>
    </row>
    <row r="48" spans="1:11" ht="14.4" customHeight="1" x14ac:dyDescent="0.3">
      <c r="A48" s="611" t="s">
        <v>527</v>
      </c>
      <c r="B48" s="612" t="s">
        <v>528</v>
      </c>
      <c r="C48" s="613" t="s">
        <v>538</v>
      </c>
      <c r="D48" s="614" t="s">
        <v>973</v>
      </c>
      <c r="E48" s="613" t="s">
        <v>1293</v>
      </c>
      <c r="F48" s="614" t="s">
        <v>1294</v>
      </c>
      <c r="G48" s="613" t="s">
        <v>1047</v>
      </c>
      <c r="H48" s="613" t="s">
        <v>1048</v>
      </c>
      <c r="I48" s="615">
        <v>1.67</v>
      </c>
      <c r="J48" s="615">
        <v>2400</v>
      </c>
      <c r="K48" s="616">
        <v>4008</v>
      </c>
    </row>
    <row r="49" spans="1:11" ht="14.4" customHeight="1" x14ac:dyDescent="0.3">
      <c r="A49" s="611" t="s">
        <v>527</v>
      </c>
      <c r="B49" s="612" t="s">
        <v>528</v>
      </c>
      <c r="C49" s="613" t="s">
        <v>538</v>
      </c>
      <c r="D49" s="614" t="s">
        <v>973</v>
      </c>
      <c r="E49" s="613" t="s">
        <v>1293</v>
      </c>
      <c r="F49" s="614" t="s">
        <v>1294</v>
      </c>
      <c r="G49" s="613" t="s">
        <v>1049</v>
      </c>
      <c r="H49" s="613" t="s">
        <v>1050</v>
      </c>
      <c r="I49" s="615">
        <v>0.48</v>
      </c>
      <c r="J49" s="615">
        <v>1200</v>
      </c>
      <c r="K49" s="616">
        <v>576</v>
      </c>
    </row>
    <row r="50" spans="1:11" ht="14.4" customHeight="1" x14ac:dyDescent="0.3">
      <c r="A50" s="611" t="s">
        <v>527</v>
      </c>
      <c r="B50" s="612" t="s">
        <v>528</v>
      </c>
      <c r="C50" s="613" t="s">
        <v>538</v>
      </c>
      <c r="D50" s="614" t="s">
        <v>973</v>
      </c>
      <c r="E50" s="613" t="s">
        <v>1293</v>
      </c>
      <c r="F50" s="614" t="s">
        <v>1294</v>
      </c>
      <c r="G50" s="613" t="s">
        <v>1051</v>
      </c>
      <c r="H50" s="613" t="s">
        <v>1052</v>
      </c>
      <c r="I50" s="615">
        <v>0.67</v>
      </c>
      <c r="J50" s="615">
        <v>100</v>
      </c>
      <c r="K50" s="616">
        <v>67</v>
      </c>
    </row>
    <row r="51" spans="1:11" ht="14.4" customHeight="1" x14ac:dyDescent="0.3">
      <c r="A51" s="611" t="s">
        <v>527</v>
      </c>
      <c r="B51" s="612" t="s">
        <v>528</v>
      </c>
      <c r="C51" s="613" t="s">
        <v>538</v>
      </c>
      <c r="D51" s="614" t="s">
        <v>973</v>
      </c>
      <c r="E51" s="613" t="s">
        <v>1293</v>
      </c>
      <c r="F51" s="614" t="s">
        <v>1294</v>
      </c>
      <c r="G51" s="613" t="s">
        <v>1115</v>
      </c>
      <c r="H51" s="613" t="s">
        <v>1116</v>
      </c>
      <c r="I51" s="615">
        <v>26.02</v>
      </c>
      <c r="J51" s="615">
        <v>80</v>
      </c>
      <c r="K51" s="616">
        <v>2081.6</v>
      </c>
    </row>
    <row r="52" spans="1:11" ht="14.4" customHeight="1" x14ac:dyDescent="0.3">
      <c r="A52" s="611" t="s">
        <v>527</v>
      </c>
      <c r="B52" s="612" t="s">
        <v>528</v>
      </c>
      <c r="C52" s="613" t="s">
        <v>538</v>
      </c>
      <c r="D52" s="614" t="s">
        <v>973</v>
      </c>
      <c r="E52" s="613" t="s">
        <v>1293</v>
      </c>
      <c r="F52" s="614" t="s">
        <v>1294</v>
      </c>
      <c r="G52" s="613" t="s">
        <v>1117</v>
      </c>
      <c r="H52" s="613" t="s">
        <v>1118</v>
      </c>
      <c r="I52" s="615">
        <v>14.3</v>
      </c>
      <c r="J52" s="615">
        <v>20</v>
      </c>
      <c r="K52" s="616">
        <v>286.04000000000002</v>
      </c>
    </row>
    <row r="53" spans="1:11" ht="14.4" customHeight="1" x14ac:dyDescent="0.3">
      <c r="A53" s="611" t="s">
        <v>527</v>
      </c>
      <c r="B53" s="612" t="s">
        <v>528</v>
      </c>
      <c r="C53" s="613" t="s">
        <v>538</v>
      </c>
      <c r="D53" s="614" t="s">
        <v>973</v>
      </c>
      <c r="E53" s="613" t="s">
        <v>1293</v>
      </c>
      <c r="F53" s="614" t="s">
        <v>1294</v>
      </c>
      <c r="G53" s="613" t="s">
        <v>1055</v>
      </c>
      <c r="H53" s="613" t="s">
        <v>1056</v>
      </c>
      <c r="I53" s="615">
        <v>5.41</v>
      </c>
      <c r="J53" s="615">
        <v>200</v>
      </c>
      <c r="K53" s="616">
        <v>1081.94</v>
      </c>
    </row>
    <row r="54" spans="1:11" ht="14.4" customHeight="1" x14ac:dyDescent="0.3">
      <c r="A54" s="611" t="s">
        <v>527</v>
      </c>
      <c r="B54" s="612" t="s">
        <v>528</v>
      </c>
      <c r="C54" s="613" t="s">
        <v>538</v>
      </c>
      <c r="D54" s="614" t="s">
        <v>973</v>
      </c>
      <c r="E54" s="613" t="s">
        <v>1293</v>
      </c>
      <c r="F54" s="614" t="s">
        <v>1294</v>
      </c>
      <c r="G54" s="613" t="s">
        <v>1059</v>
      </c>
      <c r="H54" s="613" t="s">
        <v>1060</v>
      </c>
      <c r="I54" s="615">
        <v>58.78</v>
      </c>
      <c r="J54" s="615">
        <v>12</v>
      </c>
      <c r="K54" s="616">
        <v>705.38</v>
      </c>
    </row>
    <row r="55" spans="1:11" ht="14.4" customHeight="1" x14ac:dyDescent="0.3">
      <c r="A55" s="611" t="s">
        <v>527</v>
      </c>
      <c r="B55" s="612" t="s">
        <v>528</v>
      </c>
      <c r="C55" s="613" t="s">
        <v>538</v>
      </c>
      <c r="D55" s="614" t="s">
        <v>973</v>
      </c>
      <c r="E55" s="613" t="s">
        <v>1293</v>
      </c>
      <c r="F55" s="614" t="s">
        <v>1294</v>
      </c>
      <c r="G55" s="613" t="s">
        <v>1119</v>
      </c>
      <c r="H55" s="613" t="s">
        <v>1120</v>
      </c>
      <c r="I55" s="615">
        <v>2.12</v>
      </c>
      <c r="J55" s="615">
        <v>20</v>
      </c>
      <c r="K55" s="616">
        <v>42.4</v>
      </c>
    </row>
    <row r="56" spans="1:11" ht="14.4" customHeight="1" x14ac:dyDescent="0.3">
      <c r="A56" s="611" t="s">
        <v>527</v>
      </c>
      <c r="B56" s="612" t="s">
        <v>528</v>
      </c>
      <c r="C56" s="613" t="s">
        <v>538</v>
      </c>
      <c r="D56" s="614" t="s">
        <v>973</v>
      </c>
      <c r="E56" s="613" t="s">
        <v>1293</v>
      </c>
      <c r="F56" s="614" t="s">
        <v>1294</v>
      </c>
      <c r="G56" s="613" t="s">
        <v>1063</v>
      </c>
      <c r="H56" s="613" t="s">
        <v>1064</v>
      </c>
      <c r="I56" s="615">
        <v>12.11</v>
      </c>
      <c r="J56" s="615">
        <v>60</v>
      </c>
      <c r="K56" s="616">
        <v>726.6</v>
      </c>
    </row>
    <row r="57" spans="1:11" ht="14.4" customHeight="1" x14ac:dyDescent="0.3">
      <c r="A57" s="611" t="s">
        <v>527</v>
      </c>
      <c r="B57" s="612" t="s">
        <v>528</v>
      </c>
      <c r="C57" s="613" t="s">
        <v>538</v>
      </c>
      <c r="D57" s="614" t="s">
        <v>973</v>
      </c>
      <c r="E57" s="613" t="s">
        <v>1293</v>
      </c>
      <c r="F57" s="614" t="s">
        <v>1294</v>
      </c>
      <c r="G57" s="613" t="s">
        <v>1121</v>
      </c>
      <c r="H57" s="613" t="s">
        <v>1122</v>
      </c>
      <c r="I57" s="615">
        <v>21.24</v>
      </c>
      <c r="J57" s="615">
        <v>50</v>
      </c>
      <c r="K57" s="616">
        <v>1062</v>
      </c>
    </row>
    <row r="58" spans="1:11" ht="14.4" customHeight="1" x14ac:dyDescent="0.3">
      <c r="A58" s="611" t="s">
        <v>527</v>
      </c>
      <c r="B58" s="612" t="s">
        <v>528</v>
      </c>
      <c r="C58" s="613" t="s">
        <v>538</v>
      </c>
      <c r="D58" s="614" t="s">
        <v>973</v>
      </c>
      <c r="E58" s="613" t="s">
        <v>1293</v>
      </c>
      <c r="F58" s="614" t="s">
        <v>1294</v>
      </c>
      <c r="G58" s="613" t="s">
        <v>1123</v>
      </c>
      <c r="H58" s="613" t="s">
        <v>1124</v>
      </c>
      <c r="I58" s="615">
        <v>0.47499999999999998</v>
      </c>
      <c r="J58" s="615">
        <v>600</v>
      </c>
      <c r="K58" s="616">
        <v>285</v>
      </c>
    </row>
    <row r="59" spans="1:11" ht="14.4" customHeight="1" x14ac:dyDescent="0.3">
      <c r="A59" s="611" t="s">
        <v>527</v>
      </c>
      <c r="B59" s="612" t="s">
        <v>528</v>
      </c>
      <c r="C59" s="613" t="s">
        <v>538</v>
      </c>
      <c r="D59" s="614" t="s">
        <v>973</v>
      </c>
      <c r="E59" s="613" t="s">
        <v>1293</v>
      </c>
      <c r="F59" s="614" t="s">
        <v>1294</v>
      </c>
      <c r="G59" s="613" t="s">
        <v>1071</v>
      </c>
      <c r="H59" s="613" t="s">
        <v>1072</v>
      </c>
      <c r="I59" s="615">
        <v>403.77</v>
      </c>
      <c r="J59" s="615">
        <v>40</v>
      </c>
      <c r="K59" s="616">
        <v>16150.96</v>
      </c>
    </row>
    <row r="60" spans="1:11" ht="14.4" customHeight="1" x14ac:dyDescent="0.3">
      <c r="A60" s="611" t="s">
        <v>527</v>
      </c>
      <c r="B60" s="612" t="s">
        <v>528</v>
      </c>
      <c r="C60" s="613" t="s">
        <v>538</v>
      </c>
      <c r="D60" s="614" t="s">
        <v>973</v>
      </c>
      <c r="E60" s="613" t="s">
        <v>1293</v>
      </c>
      <c r="F60" s="614" t="s">
        <v>1294</v>
      </c>
      <c r="G60" s="613" t="s">
        <v>1125</v>
      </c>
      <c r="H60" s="613" t="s">
        <v>1126</v>
      </c>
      <c r="I60" s="615">
        <v>5</v>
      </c>
      <c r="J60" s="615">
        <v>100</v>
      </c>
      <c r="K60" s="616">
        <v>500.08</v>
      </c>
    </row>
    <row r="61" spans="1:11" ht="14.4" customHeight="1" x14ac:dyDescent="0.3">
      <c r="A61" s="611" t="s">
        <v>527</v>
      </c>
      <c r="B61" s="612" t="s">
        <v>528</v>
      </c>
      <c r="C61" s="613" t="s">
        <v>538</v>
      </c>
      <c r="D61" s="614" t="s">
        <v>973</v>
      </c>
      <c r="E61" s="613" t="s">
        <v>1293</v>
      </c>
      <c r="F61" s="614" t="s">
        <v>1294</v>
      </c>
      <c r="G61" s="613" t="s">
        <v>1127</v>
      </c>
      <c r="H61" s="613" t="s">
        <v>1128</v>
      </c>
      <c r="I61" s="615">
        <v>113</v>
      </c>
      <c r="J61" s="615">
        <v>5</v>
      </c>
      <c r="K61" s="616">
        <v>565</v>
      </c>
    </row>
    <row r="62" spans="1:11" ht="14.4" customHeight="1" x14ac:dyDescent="0.3">
      <c r="A62" s="611" t="s">
        <v>527</v>
      </c>
      <c r="B62" s="612" t="s">
        <v>528</v>
      </c>
      <c r="C62" s="613" t="s">
        <v>538</v>
      </c>
      <c r="D62" s="614" t="s">
        <v>973</v>
      </c>
      <c r="E62" s="613" t="s">
        <v>1293</v>
      </c>
      <c r="F62" s="614" t="s">
        <v>1294</v>
      </c>
      <c r="G62" s="613" t="s">
        <v>1129</v>
      </c>
      <c r="H62" s="613" t="s">
        <v>1130</v>
      </c>
      <c r="I62" s="615">
        <v>1316</v>
      </c>
      <c r="J62" s="615">
        <v>5</v>
      </c>
      <c r="K62" s="616">
        <v>6580</v>
      </c>
    </row>
    <row r="63" spans="1:11" ht="14.4" customHeight="1" x14ac:dyDescent="0.3">
      <c r="A63" s="611" t="s">
        <v>527</v>
      </c>
      <c r="B63" s="612" t="s">
        <v>528</v>
      </c>
      <c r="C63" s="613" t="s">
        <v>538</v>
      </c>
      <c r="D63" s="614" t="s">
        <v>973</v>
      </c>
      <c r="E63" s="613" t="s">
        <v>1293</v>
      </c>
      <c r="F63" s="614" t="s">
        <v>1294</v>
      </c>
      <c r="G63" s="613" t="s">
        <v>1131</v>
      </c>
      <c r="H63" s="613" t="s">
        <v>1132</v>
      </c>
      <c r="I63" s="615">
        <v>20.29</v>
      </c>
      <c r="J63" s="615">
        <v>480</v>
      </c>
      <c r="K63" s="616">
        <v>9740</v>
      </c>
    </row>
    <row r="64" spans="1:11" ht="14.4" customHeight="1" x14ac:dyDescent="0.3">
      <c r="A64" s="611" t="s">
        <v>527</v>
      </c>
      <c r="B64" s="612" t="s">
        <v>528</v>
      </c>
      <c r="C64" s="613" t="s">
        <v>538</v>
      </c>
      <c r="D64" s="614" t="s">
        <v>973</v>
      </c>
      <c r="E64" s="613" t="s">
        <v>1293</v>
      </c>
      <c r="F64" s="614" t="s">
        <v>1294</v>
      </c>
      <c r="G64" s="613" t="s">
        <v>1133</v>
      </c>
      <c r="H64" s="613" t="s">
        <v>1134</v>
      </c>
      <c r="I64" s="615">
        <v>14.16</v>
      </c>
      <c r="J64" s="615">
        <v>384</v>
      </c>
      <c r="K64" s="616">
        <v>5436.3</v>
      </c>
    </row>
    <row r="65" spans="1:11" ht="14.4" customHeight="1" x14ac:dyDescent="0.3">
      <c r="A65" s="611" t="s">
        <v>527</v>
      </c>
      <c r="B65" s="612" t="s">
        <v>528</v>
      </c>
      <c r="C65" s="613" t="s">
        <v>538</v>
      </c>
      <c r="D65" s="614" t="s">
        <v>973</v>
      </c>
      <c r="E65" s="613" t="s">
        <v>1293</v>
      </c>
      <c r="F65" s="614" t="s">
        <v>1294</v>
      </c>
      <c r="G65" s="613" t="s">
        <v>1135</v>
      </c>
      <c r="H65" s="613" t="s">
        <v>1136</v>
      </c>
      <c r="I65" s="615">
        <v>18.399999999999999</v>
      </c>
      <c r="J65" s="615">
        <v>1740</v>
      </c>
      <c r="K65" s="616">
        <v>32023.1</v>
      </c>
    </row>
    <row r="66" spans="1:11" ht="14.4" customHeight="1" x14ac:dyDescent="0.3">
      <c r="A66" s="611" t="s">
        <v>527</v>
      </c>
      <c r="B66" s="612" t="s">
        <v>528</v>
      </c>
      <c r="C66" s="613" t="s">
        <v>538</v>
      </c>
      <c r="D66" s="614" t="s">
        <v>973</v>
      </c>
      <c r="E66" s="613" t="s">
        <v>1293</v>
      </c>
      <c r="F66" s="614" t="s">
        <v>1294</v>
      </c>
      <c r="G66" s="613" t="s">
        <v>1137</v>
      </c>
      <c r="H66" s="613" t="s">
        <v>1138</v>
      </c>
      <c r="I66" s="615">
        <v>12.27</v>
      </c>
      <c r="J66" s="615">
        <v>2205</v>
      </c>
      <c r="K66" s="616">
        <v>27054</v>
      </c>
    </row>
    <row r="67" spans="1:11" ht="14.4" customHeight="1" x14ac:dyDescent="0.3">
      <c r="A67" s="611" t="s">
        <v>527</v>
      </c>
      <c r="B67" s="612" t="s">
        <v>528</v>
      </c>
      <c r="C67" s="613" t="s">
        <v>538</v>
      </c>
      <c r="D67" s="614" t="s">
        <v>973</v>
      </c>
      <c r="E67" s="613" t="s">
        <v>1293</v>
      </c>
      <c r="F67" s="614" t="s">
        <v>1294</v>
      </c>
      <c r="G67" s="613" t="s">
        <v>1139</v>
      </c>
      <c r="H67" s="613" t="s">
        <v>1140</v>
      </c>
      <c r="I67" s="615">
        <v>350.9</v>
      </c>
      <c r="J67" s="615">
        <v>2</v>
      </c>
      <c r="K67" s="616">
        <v>701.8</v>
      </c>
    </row>
    <row r="68" spans="1:11" ht="14.4" customHeight="1" x14ac:dyDescent="0.3">
      <c r="A68" s="611" t="s">
        <v>527</v>
      </c>
      <c r="B68" s="612" t="s">
        <v>528</v>
      </c>
      <c r="C68" s="613" t="s">
        <v>538</v>
      </c>
      <c r="D68" s="614" t="s">
        <v>973</v>
      </c>
      <c r="E68" s="613" t="s">
        <v>1297</v>
      </c>
      <c r="F68" s="614" t="s">
        <v>1298</v>
      </c>
      <c r="G68" s="613" t="s">
        <v>1091</v>
      </c>
      <c r="H68" s="613" t="s">
        <v>1092</v>
      </c>
      <c r="I68" s="615">
        <v>0.71</v>
      </c>
      <c r="J68" s="615">
        <v>4000</v>
      </c>
      <c r="K68" s="616">
        <v>2840</v>
      </c>
    </row>
    <row r="69" spans="1:11" ht="14.4" customHeight="1" x14ac:dyDescent="0.3">
      <c r="A69" s="611" t="s">
        <v>527</v>
      </c>
      <c r="B69" s="612" t="s">
        <v>528</v>
      </c>
      <c r="C69" s="613" t="s">
        <v>541</v>
      </c>
      <c r="D69" s="614" t="s">
        <v>974</v>
      </c>
      <c r="E69" s="613" t="s">
        <v>1291</v>
      </c>
      <c r="F69" s="614" t="s">
        <v>1292</v>
      </c>
      <c r="G69" s="613" t="s">
        <v>1095</v>
      </c>
      <c r="H69" s="613" t="s">
        <v>1096</v>
      </c>
      <c r="I69" s="615">
        <v>0.4</v>
      </c>
      <c r="J69" s="615">
        <v>100</v>
      </c>
      <c r="K69" s="616">
        <v>40</v>
      </c>
    </row>
    <row r="70" spans="1:11" ht="14.4" customHeight="1" x14ac:dyDescent="0.3">
      <c r="A70" s="611" t="s">
        <v>527</v>
      </c>
      <c r="B70" s="612" t="s">
        <v>528</v>
      </c>
      <c r="C70" s="613" t="s">
        <v>541</v>
      </c>
      <c r="D70" s="614" t="s">
        <v>974</v>
      </c>
      <c r="E70" s="613" t="s">
        <v>1291</v>
      </c>
      <c r="F70" s="614" t="s">
        <v>1292</v>
      </c>
      <c r="G70" s="613" t="s">
        <v>1031</v>
      </c>
      <c r="H70" s="613" t="s">
        <v>1032</v>
      </c>
      <c r="I70" s="615">
        <v>27.37</v>
      </c>
      <c r="J70" s="615">
        <v>1</v>
      </c>
      <c r="K70" s="616">
        <v>27.37</v>
      </c>
    </row>
    <row r="71" spans="1:11" ht="14.4" customHeight="1" x14ac:dyDescent="0.3">
      <c r="A71" s="611" t="s">
        <v>527</v>
      </c>
      <c r="B71" s="612" t="s">
        <v>528</v>
      </c>
      <c r="C71" s="613" t="s">
        <v>541</v>
      </c>
      <c r="D71" s="614" t="s">
        <v>974</v>
      </c>
      <c r="E71" s="613" t="s">
        <v>1291</v>
      </c>
      <c r="F71" s="614" t="s">
        <v>1292</v>
      </c>
      <c r="G71" s="613" t="s">
        <v>1033</v>
      </c>
      <c r="H71" s="613" t="s">
        <v>1034</v>
      </c>
      <c r="I71" s="615">
        <v>1.42</v>
      </c>
      <c r="J71" s="615">
        <v>1000</v>
      </c>
      <c r="K71" s="616">
        <v>1420.55</v>
      </c>
    </row>
    <row r="72" spans="1:11" ht="14.4" customHeight="1" x14ac:dyDescent="0.3">
      <c r="A72" s="611" t="s">
        <v>527</v>
      </c>
      <c r="B72" s="612" t="s">
        <v>528</v>
      </c>
      <c r="C72" s="613" t="s">
        <v>541</v>
      </c>
      <c r="D72" s="614" t="s">
        <v>974</v>
      </c>
      <c r="E72" s="613" t="s">
        <v>1291</v>
      </c>
      <c r="F72" s="614" t="s">
        <v>1292</v>
      </c>
      <c r="G72" s="613" t="s">
        <v>1097</v>
      </c>
      <c r="H72" s="613" t="s">
        <v>1098</v>
      </c>
      <c r="I72" s="615">
        <v>0.3</v>
      </c>
      <c r="J72" s="615">
        <v>1800</v>
      </c>
      <c r="K72" s="616">
        <v>548.54999999999995</v>
      </c>
    </row>
    <row r="73" spans="1:11" ht="14.4" customHeight="1" x14ac:dyDescent="0.3">
      <c r="A73" s="611" t="s">
        <v>527</v>
      </c>
      <c r="B73" s="612" t="s">
        <v>528</v>
      </c>
      <c r="C73" s="613" t="s">
        <v>541</v>
      </c>
      <c r="D73" s="614" t="s">
        <v>974</v>
      </c>
      <c r="E73" s="613" t="s">
        <v>1291</v>
      </c>
      <c r="F73" s="614" t="s">
        <v>1292</v>
      </c>
      <c r="G73" s="613" t="s">
        <v>1099</v>
      </c>
      <c r="H73" s="613" t="s">
        <v>1100</v>
      </c>
      <c r="I73" s="615">
        <v>2.82</v>
      </c>
      <c r="J73" s="615">
        <v>500</v>
      </c>
      <c r="K73" s="616">
        <v>1410</v>
      </c>
    </row>
    <row r="74" spans="1:11" ht="14.4" customHeight="1" x14ac:dyDescent="0.3">
      <c r="A74" s="611" t="s">
        <v>527</v>
      </c>
      <c r="B74" s="612" t="s">
        <v>528</v>
      </c>
      <c r="C74" s="613" t="s">
        <v>541</v>
      </c>
      <c r="D74" s="614" t="s">
        <v>974</v>
      </c>
      <c r="E74" s="613" t="s">
        <v>1291</v>
      </c>
      <c r="F74" s="614" t="s">
        <v>1292</v>
      </c>
      <c r="G74" s="613" t="s">
        <v>1101</v>
      </c>
      <c r="H74" s="613" t="s">
        <v>1102</v>
      </c>
      <c r="I74" s="615">
        <v>0.59499999999999997</v>
      </c>
      <c r="J74" s="615">
        <v>500</v>
      </c>
      <c r="K74" s="616">
        <v>297</v>
      </c>
    </row>
    <row r="75" spans="1:11" ht="14.4" customHeight="1" x14ac:dyDescent="0.3">
      <c r="A75" s="611" t="s">
        <v>527</v>
      </c>
      <c r="B75" s="612" t="s">
        <v>528</v>
      </c>
      <c r="C75" s="613" t="s">
        <v>541</v>
      </c>
      <c r="D75" s="614" t="s">
        <v>974</v>
      </c>
      <c r="E75" s="613" t="s">
        <v>1291</v>
      </c>
      <c r="F75" s="614" t="s">
        <v>1292</v>
      </c>
      <c r="G75" s="613" t="s">
        <v>1141</v>
      </c>
      <c r="H75" s="613" t="s">
        <v>1142</v>
      </c>
      <c r="I75" s="615">
        <v>52.84</v>
      </c>
      <c r="J75" s="615">
        <v>60</v>
      </c>
      <c r="K75" s="616">
        <v>3170.4</v>
      </c>
    </row>
    <row r="76" spans="1:11" ht="14.4" customHeight="1" x14ac:dyDescent="0.3">
      <c r="A76" s="611" t="s">
        <v>527</v>
      </c>
      <c r="B76" s="612" t="s">
        <v>528</v>
      </c>
      <c r="C76" s="613" t="s">
        <v>541</v>
      </c>
      <c r="D76" s="614" t="s">
        <v>974</v>
      </c>
      <c r="E76" s="613" t="s">
        <v>1291</v>
      </c>
      <c r="F76" s="614" t="s">
        <v>1292</v>
      </c>
      <c r="G76" s="613" t="s">
        <v>1143</v>
      </c>
      <c r="H76" s="613" t="s">
        <v>1144</v>
      </c>
      <c r="I76" s="615">
        <v>159.55000000000001</v>
      </c>
      <c r="J76" s="615">
        <v>10</v>
      </c>
      <c r="K76" s="616">
        <v>1595.5</v>
      </c>
    </row>
    <row r="77" spans="1:11" ht="14.4" customHeight="1" x14ac:dyDescent="0.3">
      <c r="A77" s="611" t="s">
        <v>527</v>
      </c>
      <c r="B77" s="612" t="s">
        <v>528</v>
      </c>
      <c r="C77" s="613" t="s">
        <v>541</v>
      </c>
      <c r="D77" s="614" t="s">
        <v>974</v>
      </c>
      <c r="E77" s="613" t="s">
        <v>1291</v>
      </c>
      <c r="F77" s="614" t="s">
        <v>1292</v>
      </c>
      <c r="G77" s="613" t="s">
        <v>1145</v>
      </c>
      <c r="H77" s="613" t="s">
        <v>1146</v>
      </c>
      <c r="I77" s="615">
        <v>120.69</v>
      </c>
      <c r="J77" s="615">
        <v>40</v>
      </c>
      <c r="K77" s="616">
        <v>4827.7</v>
      </c>
    </row>
    <row r="78" spans="1:11" ht="14.4" customHeight="1" x14ac:dyDescent="0.3">
      <c r="A78" s="611" t="s">
        <v>527</v>
      </c>
      <c r="B78" s="612" t="s">
        <v>528</v>
      </c>
      <c r="C78" s="613" t="s">
        <v>541</v>
      </c>
      <c r="D78" s="614" t="s">
        <v>974</v>
      </c>
      <c r="E78" s="613" t="s">
        <v>1291</v>
      </c>
      <c r="F78" s="614" t="s">
        <v>1292</v>
      </c>
      <c r="G78" s="613" t="s">
        <v>1147</v>
      </c>
      <c r="H78" s="613" t="s">
        <v>1148</v>
      </c>
      <c r="I78" s="615">
        <v>124.41</v>
      </c>
      <c r="J78" s="615">
        <v>10</v>
      </c>
      <c r="K78" s="616">
        <v>1244.0999999999999</v>
      </c>
    </row>
    <row r="79" spans="1:11" ht="14.4" customHeight="1" x14ac:dyDescent="0.3">
      <c r="A79" s="611" t="s">
        <v>527</v>
      </c>
      <c r="B79" s="612" t="s">
        <v>528</v>
      </c>
      <c r="C79" s="613" t="s">
        <v>541</v>
      </c>
      <c r="D79" s="614" t="s">
        <v>974</v>
      </c>
      <c r="E79" s="613" t="s">
        <v>1291</v>
      </c>
      <c r="F79" s="614" t="s">
        <v>1292</v>
      </c>
      <c r="G79" s="613" t="s">
        <v>1149</v>
      </c>
      <c r="H79" s="613" t="s">
        <v>1150</v>
      </c>
      <c r="I79" s="615">
        <v>0.85</v>
      </c>
      <c r="J79" s="615">
        <v>50</v>
      </c>
      <c r="K79" s="616">
        <v>42.5</v>
      </c>
    </row>
    <row r="80" spans="1:11" ht="14.4" customHeight="1" x14ac:dyDescent="0.3">
      <c r="A80" s="611" t="s">
        <v>527</v>
      </c>
      <c r="B80" s="612" t="s">
        <v>528</v>
      </c>
      <c r="C80" s="613" t="s">
        <v>541</v>
      </c>
      <c r="D80" s="614" t="s">
        <v>974</v>
      </c>
      <c r="E80" s="613" t="s">
        <v>1291</v>
      </c>
      <c r="F80" s="614" t="s">
        <v>1292</v>
      </c>
      <c r="G80" s="613" t="s">
        <v>1039</v>
      </c>
      <c r="H80" s="613" t="s">
        <v>1040</v>
      </c>
      <c r="I80" s="615">
        <v>0.3</v>
      </c>
      <c r="J80" s="615">
        <v>2400</v>
      </c>
      <c r="K80" s="616">
        <v>711.48</v>
      </c>
    </row>
    <row r="81" spans="1:11" ht="14.4" customHeight="1" x14ac:dyDescent="0.3">
      <c r="A81" s="611" t="s">
        <v>527</v>
      </c>
      <c r="B81" s="612" t="s">
        <v>528</v>
      </c>
      <c r="C81" s="613" t="s">
        <v>541</v>
      </c>
      <c r="D81" s="614" t="s">
        <v>974</v>
      </c>
      <c r="E81" s="613" t="s">
        <v>1291</v>
      </c>
      <c r="F81" s="614" t="s">
        <v>1292</v>
      </c>
      <c r="G81" s="613" t="s">
        <v>1151</v>
      </c>
      <c r="H81" s="613" t="s">
        <v>1152</v>
      </c>
      <c r="I81" s="615">
        <v>0.36</v>
      </c>
      <c r="J81" s="615">
        <v>1000</v>
      </c>
      <c r="K81" s="616">
        <v>362</v>
      </c>
    </row>
    <row r="82" spans="1:11" ht="14.4" customHeight="1" x14ac:dyDescent="0.3">
      <c r="A82" s="611" t="s">
        <v>527</v>
      </c>
      <c r="B82" s="612" t="s">
        <v>528</v>
      </c>
      <c r="C82" s="613" t="s">
        <v>541</v>
      </c>
      <c r="D82" s="614" t="s">
        <v>974</v>
      </c>
      <c r="E82" s="613" t="s">
        <v>1291</v>
      </c>
      <c r="F82" s="614" t="s">
        <v>1292</v>
      </c>
      <c r="G82" s="613" t="s">
        <v>1153</v>
      </c>
      <c r="H82" s="613" t="s">
        <v>1154</v>
      </c>
      <c r="I82" s="615">
        <v>61.754999999999995</v>
      </c>
      <c r="J82" s="615">
        <v>40</v>
      </c>
      <c r="K82" s="616">
        <v>2470.21</v>
      </c>
    </row>
    <row r="83" spans="1:11" ht="14.4" customHeight="1" x14ac:dyDescent="0.3">
      <c r="A83" s="611" t="s">
        <v>527</v>
      </c>
      <c r="B83" s="612" t="s">
        <v>528</v>
      </c>
      <c r="C83" s="613" t="s">
        <v>541</v>
      </c>
      <c r="D83" s="614" t="s">
        <v>974</v>
      </c>
      <c r="E83" s="613" t="s">
        <v>1293</v>
      </c>
      <c r="F83" s="614" t="s">
        <v>1294</v>
      </c>
      <c r="G83" s="613" t="s">
        <v>1155</v>
      </c>
      <c r="H83" s="613" t="s">
        <v>1156</v>
      </c>
      <c r="I83" s="615">
        <v>11.66</v>
      </c>
      <c r="J83" s="615">
        <v>40</v>
      </c>
      <c r="K83" s="616">
        <v>466.4</v>
      </c>
    </row>
    <row r="84" spans="1:11" ht="14.4" customHeight="1" x14ac:dyDescent="0.3">
      <c r="A84" s="611" t="s">
        <v>527</v>
      </c>
      <c r="B84" s="612" t="s">
        <v>528</v>
      </c>
      <c r="C84" s="613" t="s">
        <v>541</v>
      </c>
      <c r="D84" s="614" t="s">
        <v>974</v>
      </c>
      <c r="E84" s="613" t="s">
        <v>1293</v>
      </c>
      <c r="F84" s="614" t="s">
        <v>1294</v>
      </c>
      <c r="G84" s="613" t="s">
        <v>1107</v>
      </c>
      <c r="H84" s="613" t="s">
        <v>1108</v>
      </c>
      <c r="I84" s="615">
        <v>16.395</v>
      </c>
      <c r="J84" s="615">
        <v>800</v>
      </c>
      <c r="K84" s="616">
        <v>13114.61</v>
      </c>
    </row>
    <row r="85" spans="1:11" ht="14.4" customHeight="1" x14ac:dyDescent="0.3">
      <c r="A85" s="611" t="s">
        <v>527</v>
      </c>
      <c r="B85" s="612" t="s">
        <v>528</v>
      </c>
      <c r="C85" s="613" t="s">
        <v>541</v>
      </c>
      <c r="D85" s="614" t="s">
        <v>974</v>
      </c>
      <c r="E85" s="613" t="s">
        <v>1293</v>
      </c>
      <c r="F85" s="614" t="s">
        <v>1294</v>
      </c>
      <c r="G85" s="613" t="s">
        <v>1157</v>
      </c>
      <c r="H85" s="613" t="s">
        <v>1158</v>
      </c>
      <c r="I85" s="615">
        <v>260.14999999999998</v>
      </c>
      <c r="J85" s="615">
        <v>18</v>
      </c>
      <c r="K85" s="616">
        <v>4682.7</v>
      </c>
    </row>
    <row r="86" spans="1:11" ht="14.4" customHeight="1" x14ac:dyDescent="0.3">
      <c r="A86" s="611" t="s">
        <v>527</v>
      </c>
      <c r="B86" s="612" t="s">
        <v>528</v>
      </c>
      <c r="C86" s="613" t="s">
        <v>541</v>
      </c>
      <c r="D86" s="614" t="s">
        <v>974</v>
      </c>
      <c r="E86" s="613" t="s">
        <v>1293</v>
      </c>
      <c r="F86" s="614" t="s">
        <v>1294</v>
      </c>
      <c r="G86" s="613" t="s">
        <v>1159</v>
      </c>
      <c r="H86" s="613" t="s">
        <v>1160</v>
      </c>
      <c r="I86" s="615">
        <v>5.21</v>
      </c>
      <c r="J86" s="615">
        <v>80</v>
      </c>
      <c r="K86" s="616">
        <v>416.8</v>
      </c>
    </row>
    <row r="87" spans="1:11" ht="14.4" customHeight="1" x14ac:dyDescent="0.3">
      <c r="A87" s="611" t="s">
        <v>527</v>
      </c>
      <c r="B87" s="612" t="s">
        <v>528</v>
      </c>
      <c r="C87" s="613" t="s">
        <v>541</v>
      </c>
      <c r="D87" s="614" t="s">
        <v>974</v>
      </c>
      <c r="E87" s="613" t="s">
        <v>1293</v>
      </c>
      <c r="F87" s="614" t="s">
        <v>1294</v>
      </c>
      <c r="G87" s="613" t="s">
        <v>1161</v>
      </c>
      <c r="H87" s="613" t="s">
        <v>1162</v>
      </c>
      <c r="I87" s="615">
        <v>0.24</v>
      </c>
      <c r="J87" s="615">
        <v>100</v>
      </c>
      <c r="K87" s="616">
        <v>24</v>
      </c>
    </row>
    <row r="88" spans="1:11" ht="14.4" customHeight="1" x14ac:dyDescent="0.3">
      <c r="A88" s="611" t="s">
        <v>527</v>
      </c>
      <c r="B88" s="612" t="s">
        <v>528</v>
      </c>
      <c r="C88" s="613" t="s">
        <v>541</v>
      </c>
      <c r="D88" s="614" t="s">
        <v>974</v>
      </c>
      <c r="E88" s="613" t="s">
        <v>1293</v>
      </c>
      <c r="F88" s="614" t="s">
        <v>1294</v>
      </c>
      <c r="G88" s="613" t="s">
        <v>1111</v>
      </c>
      <c r="H88" s="613" t="s">
        <v>1112</v>
      </c>
      <c r="I88" s="615">
        <v>15.92</v>
      </c>
      <c r="J88" s="615">
        <v>250</v>
      </c>
      <c r="K88" s="616">
        <v>3980</v>
      </c>
    </row>
    <row r="89" spans="1:11" ht="14.4" customHeight="1" x14ac:dyDescent="0.3">
      <c r="A89" s="611" t="s">
        <v>527</v>
      </c>
      <c r="B89" s="612" t="s">
        <v>528</v>
      </c>
      <c r="C89" s="613" t="s">
        <v>541</v>
      </c>
      <c r="D89" s="614" t="s">
        <v>974</v>
      </c>
      <c r="E89" s="613" t="s">
        <v>1293</v>
      </c>
      <c r="F89" s="614" t="s">
        <v>1294</v>
      </c>
      <c r="G89" s="613" t="s">
        <v>1163</v>
      </c>
      <c r="H89" s="613" t="s">
        <v>1164</v>
      </c>
      <c r="I89" s="615">
        <v>2.41</v>
      </c>
      <c r="J89" s="615">
        <v>200</v>
      </c>
      <c r="K89" s="616">
        <v>482</v>
      </c>
    </row>
    <row r="90" spans="1:11" ht="14.4" customHeight="1" x14ac:dyDescent="0.3">
      <c r="A90" s="611" t="s">
        <v>527</v>
      </c>
      <c r="B90" s="612" t="s">
        <v>528</v>
      </c>
      <c r="C90" s="613" t="s">
        <v>541</v>
      </c>
      <c r="D90" s="614" t="s">
        <v>974</v>
      </c>
      <c r="E90" s="613" t="s">
        <v>1293</v>
      </c>
      <c r="F90" s="614" t="s">
        <v>1294</v>
      </c>
      <c r="G90" s="613" t="s">
        <v>1165</v>
      </c>
      <c r="H90" s="613" t="s">
        <v>1166</v>
      </c>
      <c r="I90" s="615">
        <v>2.75</v>
      </c>
      <c r="J90" s="615">
        <v>600</v>
      </c>
      <c r="K90" s="616">
        <v>1650</v>
      </c>
    </row>
    <row r="91" spans="1:11" ht="14.4" customHeight="1" x14ac:dyDescent="0.3">
      <c r="A91" s="611" t="s">
        <v>527</v>
      </c>
      <c r="B91" s="612" t="s">
        <v>528</v>
      </c>
      <c r="C91" s="613" t="s">
        <v>541</v>
      </c>
      <c r="D91" s="614" t="s">
        <v>974</v>
      </c>
      <c r="E91" s="613" t="s">
        <v>1293</v>
      </c>
      <c r="F91" s="614" t="s">
        <v>1294</v>
      </c>
      <c r="G91" s="613" t="s">
        <v>1167</v>
      </c>
      <c r="H91" s="613" t="s">
        <v>1168</v>
      </c>
      <c r="I91" s="615">
        <v>7.43</v>
      </c>
      <c r="J91" s="615">
        <v>613</v>
      </c>
      <c r="K91" s="616">
        <v>4552.79</v>
      </c>
    </row>
    <row r="92" spans="1:11" ht="14.4" customHeight="1" x14ac:dyDescent="0.3">
      <c r="A92" s="611" t="s">
        <v>527</v>
      </c>
      <c r="B92" s="612" t="s">
        <v>528</v>
      </c>
      <c r="C92" s="613" t="s">
        <v>541</v>
      </c>
      <c r="D92" s="614" t="s">
        <v>974</v>
      </c>
      <c r="E92" s="613" t="s">
        <v>1293</v>
      </c>
      <c r="F92" s="614" t="s">
        <v>1294</v>
      </c>
      <c r="G92" s="613" t="s">
        <v>1169</v>
      </c>
      <c r="H92" s="613" t="s">
        <v>1170</v>
      </c>
      <c r="I92" s="615">
        <v>6.31</v>
      </c>
      <c r="J92" s="615">
        <v>1000</v>
      </c>
      <c r="K92" s="616">
        <v>6311.72</v>
      </c>
    </row>
    <row r="93" spans="1:11" ht="14.4" customHeight="1" x14ac:dyDescent="0.3">
      <c r="A93" s="611" t="s">
        <v>527</v>
      </c>
      <c r="B93" s="612" t="s">
        <v>528</v>
      </c>
      <c r="C93" s="613" t="s">
        <v>541</v>
      </c>
      <c r="D93" s="614" t="s">
        <v>974</v>
      </c>
      <c r="E93" s="613" t="s">
        <v>1293</v>
      </c>
      <c r="F93" s="614" t="s">
        <v>1294</v>
      </c>
      <c r="G93" s="613" t="s">
        <v>1043</v>
      </c>
      <c r="H93" s="613" t="s">
        <v>1044</v>
      </c>
      <c r="I93" s="615">
        <v>4.1900000000000004</v>
      </c>
      <c r="J93" s="615">
        <v>50</v>
      </c>
      <c r="K93" s="616">
        <v>209.5</v>
      </c>
    </row>
    <row r="94" spans="1:11" ht="14.4" customHeight="1" x14ac:dyDescent="0.3">
      <c r="A94" s="611" t="s">
        <v>527</v>
      </c>
      <c r="B94" s="612" t="s">
        <v>528</v>
      </c>
      <c r="C94" s="613" t="s">
        <v>541</v>
      </c>
      <c r="D94" s="614" t="s">
        <v>974</v>
      </c>
      <c r="E94" s="613" t="s">
        <v>1293</v>
      </c>
      <c r="F94" s="614" t="s">
        <v>1294</v>
      </c>
      <c r="G94" s="613" t="s">
        <v>1045</v>
      </c>
      <c r="H94" s="613" t="s">
        <v>1046</v>
      </c>
      <c r="I94" s="615">
        <v>1.0900000000000001</v>
      </c>
      <c r="J94" s="615">
        <v>1200</v>
      </c>
      <c r="K94" s="616">
        <v>1308</v>
      </c>
    </row>
    <row r="95" spans="1:11" ht="14.4" customHeight="1" x14ac:dyDescent="0.3">
      <c r="A95" s="611" t="s">
        <v>527</v>
      </c>
      <c r="B95" s="612" t="s">
        <v>528</v>
      </c>
      <c r="C95" s="613" t="s">
        <v>541</v>
      </c>
      <c r="D95" s="614" t="s">
        <v>974</v>
      </c>
      <c r="E95" s="613" t="s">
        <v>1293</v>
      </c>
      <c r="F95" s="614" t="s">
        <v>1294</v>
      </c>
      <c r="G95" s="613" t="s">
        <v>1047</v>
      </c>
      <c r="H95" s="613" t="s">
        <v>1048</v>
      </c>
      <c r="I95" s="615">
        <v>1.6733333333333331</v>
      </c>
      <c r="J95" s="615">
        <v>3800</v>
      </c>
      <c r="K95" s="616">
        <v>6354</v>
      </c>
    </row>
    <row r="96" spans="1:11" ht="14.4" customHeight="1" x14ac:dyDescent="0.3">
      <c r="A96" s="611" t="s">
        <v>527</v>
      </c>
      <c r="B96" s="612" t="s">
        <v>528</v>
      </c>
      <c r="C96" s="613" t="s">
        <v>541</v>
      </c>
      <c r="D96" s="614" t="s">
        <v>974</v>
      </c>
      <c r="E96" s="613" t="s">
        <v>1293</v>
      </c>
      <c r="F96" s="614" t="s">
        <v>1294</v>
      </c>
      <c r="G96" s="613" t="s">
        <v>1049</v>
      </c>
      <c r="H96" s="613" t="s">
        <v>1050</v>
      </c>
      <c r="I96" s="615">
        <v>0.47499999999999998</v>
      </c>
      <c r="J96" s="615">
        <v>2800</v>
      </c>
      <c r="K96" s="616">
        <v>1326</v>
      </c>
    </row>
    <row r="97" spans="1:11" ht="14.4" customHeight="1" x14ac:dyDescent="0.3">
      <c r="A97" s="611" t="s">
        <v>527</v>
      </c>
      <c r="B97" s="612" t="s">
        <v>528</v>
      </c>
      <c r="C97" s="613" t="s">
        <v>541</v>
      </c>
      <c r="D97" s="614" t="s">
        <v>974</v>
      </c>
      <c r="E97" s="613" t="s">
        <v>1293</v>
      </c>
      <c r="F97" s="614" t="s">
        <v>1294</v>
      </c>
      <c r="G97" s="613" t="s">
        <v>1051</v>
      </c>
      <c r="H97" s="613" t="s">
        <v>1052</v>
      </c>
      <c r="I97" s="615">
        <v>0.67</v>
      </c>
      <c r="J97" s="615">
        <v>3200</v>
      </c>
      <c r="K97" s="616">
        <v>2144</v>
      </c>
    </row>
    <row r="98" spans="1:11" ht="14.4" customHeight="1" x14ac:dyDescent="0.3">
      <c r="A98" s="611" t="s">
        <v>527</v>
      </c>
      <c r="B98" s="612" t="s">
        <v>528</v>
      </c>
      <c r="C98" s="613" t="s">
        <v>541</v>
      </c>
      <c r="D98" s="614" t="s">
        <v>974</v>
      </c>
      <c r="E98" s="613" t="s">
        <v>1293</v>
      </c>
      <c r="F98" s="614" t="s">
        <v>1294</v>
      </c>
      <c r="G98" s="613" t="s">
        <v>1053</v>
      </c>
      <c r="H98" s="613" t="s">
        <v>1054</v>
      </c>
      <c r="I98" s="615">
        <v>3.4800000000000004</v>
      </c>
      <c r="J98" s="615">
        <v>250</v>
      </c>
      <c r="K98" s="616">
        <v>908.78</v>
      </c>
    </row>
    <row r="99" spans="1:11" ht="14.4" customHeight="1" x14ac:dyDescent="0.3">
      <c r="A99" s="611" t="s">
        <v>527</v>
      </c>
      <c r="B99" s="612" t="s">
        <v>528</v>
      </c>
      <c r="C99" s="613" t="s">
        <v>541</v>
      </c>
      <c r="D99" s="614" t="s">
        <v>974</v>
      </c>
      <c r="E99" s="613" t="s">
        <v>1293</v>
      </c>
      <c r="F99" s="614" t="s">
        <v>1294</v>
      </c>
      <c r="G99" s="613" t="s">
        <v>1171</v>
      </c>
      <c r="H99" s="613" t="s">
        <v>1172</v>
      </c>
      <c r="I99" s="615">
        <v>81.739999999999995</v>
      </c>
      <c r="J99" s="615">
        <v>45</v>
      </c>
      <c r="K99" s="616">
        <v>3678.3</v>
      </c>
    </row>
    <row r="100" spans="1:11" ht="14.4" customHeight="1" x14ac:dyDescent="0.3">
      <c r="A100" s="611" t="s">
        <v>527</v>
      </c>
      <c r="B100" s="612" t="s">
        <v>528</v>
      </c>
      <c r="C100" s="613" t="s">
        <v>541</v>
      </c>
      <c r="D100" s="614" t="s">
        <v>974</v>
      </c>
      <c r="E100" s="613" t="s">
        <v>1293</v>
      </c>
      <c r="F100" s="614" t="s">
        <v>1294</v>
      </c>
      <c r="G100" s="613" t="s">
        <v>1115</v>
      </c>
      <c r="H100" s="613" t="s">
        <v>1116</v>
      </c>
      <c r="I100" s="615">
        <v>26.015000000000001</v>
      </c>
      <c r="J100" s="615">
        <v>1000</v>
      </c>
      <c r="K100" s="616">
        <v>26014.6</v>
      </c>
    </row>
    <row r="101" spans="1:11" ht="14.4" customHeight="1" x14ac:dyDescent="0.3">
      <c r="A101" s="611" t="s">
        <v>527</v>
      </c>
      <c r="B101" s="612" t="s">
        <v>528</v>
      </c>
      <c r="C101" s="613" t="s">
        <v>541</v>
      </c>
      <c r="D101" s="614" t="s">
        <v>974</v>
      </c>
      <c r="E101" s="613" t="s">
        <v>1293</v>
      </c>
      <c r="F101" s="614" t="s">
        <v>1294</v>
      </c>
      <c r="G101" s="613" t="s">
        <v>1117</v>
      </c>
      <c r="H101" s="613" t="s">
        <v>1118</v>
      </c>
      <c r="I101" s="615">
        <v>14.3</v>
      </c>
      <c r="J101" s="615">
        <v>40</v>
      </c>
      <c r="K101" s="616">
        <v>572.09</v>
      </c>
    </row>
    <row r="102" spans="1:11" ht="14.4" customHeight="1" x14ac:dyDescent="0.3">
      <c r="A102" s="611" t="s">
        <v>527</v>
      </c>
      <c r="B102" s="612" t="s">
        <v>528</v>
      </c>
      <c r="C102" s="613" t="s">
        <v>541</v>
      </c>
      <c r="D102" s="614" t="s">
        <v>974</v>
      </c>
      <c r="E102" s="613" t="s">
        <v>1293</v>
      </c>
      <c r="F102" s="614" t="s">
        <v>1294</v>
      </c>
      <c r="G102" s="613" t="s">
        <v>1173</v>
      </c>
      <c r="H102" s="613" t="s">
        <v>1174</v>
      </c>
      <c r="I102" s="615">
        <v>9.15</v>
      </c>
      <c r="J102" s="615">
        <v>1200</v>
      </c>
      <c r="K102" s="616">
        <v>10975.81</v>
      </c>
    </row>
    <row r="103" spans="1:11" ht="14.4" customHeight="1" x14ac:dyDescent="0.3">
      <c r="A103" s="611" t="s">
        <v>527</v>
      </c>
      <c r="B103" s="612" t="s">
        <v>528</v>
      </c>
      <c r="C103" s="613" t="s">
        <v>541</v>
      </c>
      <c r="D103" s="614" t="s">
        <v>974</v>
      </c>
      <c r="E103" s="613" t="s">
        <v>1293</v>
      </c>
      <c r="F103" s="614" t="s">
        <v>1294</v>
      </c>
      <c r="G103" s="613" t="s">
        <v>1055</v>
      </c>
      <c r="H103" s="613" t="s">
        <v>1056</v>
      </c>
      <c r="I103" s="615">
        <v>5.41</v>
      </c>
      <c r="J103" s="615">
        <v>700</v>
      </c>
      <c r="K103" s="616">
        <v>3786.8</v>
      </c>
    </row>
    <row r="104" spans="1:11" ht="14.4" customHeight="1" x14ac:dyDescent="0.3">
      <c r="A104" s="611" t="s">
        <v>527</v>
      </c>
      <c r="B104" s="612" t="s">
        <v>528</v>
      </c>
      <c r="C104" s="613" t="s">
        <v>541</v>
      </c>
      <c r="D104" s="614" t="s">
        <v>974</v>
      </c>
      <c r="E104" s="613" t="s">
        <v>1293</v>
      </c>
      <c r="F104" s="614" t="s">
        <v>1294</v>
      </c>
      <c r="G104" s="613" t="s">
        <v>1175</v>
      </c>
      <c r="H104" s="613" t="s">
        <v>1176</v>
      </c>
      <c r="I104" s="615">
        <v>16.45</v>
      </c>
      <c r="J104" s="615">
        <v>10</v>
      </c>
      <c r="K104" s="616">
        <v>164.5</v>
      </c>
    </row>
    <row r="105" spans="1:11" ht="14.4" customHeight="1" x14ac:dyDescent="0.3">
      <c r="A105" s="611" t="s">
        <v>527</v>
      </c>
      <c r="B105" s="612" t="s">
        <v>528</v>
      </c>
      <c r="C105" s="613" t="s">
        <v>541</v>
      </c>
      <c r="D105" s="614" t="s">
        <v>974</v>
      </c>
      <c r="E105" s="613" t="s">
        <v>1293</v>
      </c>
      <c r="F105" s="614" t="s">
        <v>1294</v>
      </c>
      <c r="G105" s="613" t="s">
        <v>1059</v>
      </c>
      <c r="H105" s="613" t="s">
        <v>1060</v>
      </c>
      <c r="I105" s="615">
        <v>58.786666666666662</v>
      </c>
      <c r="J105" s="615">
        <v>36</v>
      </c>
      <c r="K105" s="616">
        <v>2116.29</v>
      </c>
    </row>
    <row r="106" spans="1:11" ht="14.4" customHeight="1" x14ac:dyDescent="0.3">
      <c r="A106" s="611" t="s">
        <v>527</v>
      </c>
      <c r="B106" s="612" t="s">
        <v>528</v>
      </c>
      <c r="C106" s="613" t="s">
        <v>541</v>
      </c>
      <c r="D106" s="614" t="s">
        <v>974</v>
      </c>
      <c r="E106" s="613" t="s">
        <v>1293</v>
      </c>
      <c r="F106" s="614" t="s">
        <v>1294</v>
      </c>
      <c r="G106" s="613" t="s">
        <v>1061</v>
      </c>
      <c r="H106" s="613" t="s">
        <v>1062</v>
      </c>
      <c r="I106" s="615">
        <v>2.46</v>
      </c>
      <c r="J106" s="615">
        <v>400</v>
      </c>
      <c r="K106" s="616">
        <v>984.8</v>
      </c>
    </row>
    <row r="107" spans="1:11" ht="14.4" customHeight="1" x14ac:dyDescent="0.3">
      <c r="A107" s="611" t="s">
        <v>527</v>
      </c>
      <c r="B107" s="612" t="s">
        <v>528</v>
      </c>
      <c r="C107" s="613" t="s">
        <v>541</v>
      </c>
      <c r="D107" s="614" t="s">
        <v>974</v>
      </c>
      <c r="E107" s="613" t="s">
        <v>1293</v>
      </c>
      <c r="F107" s="614" t="s">
        <v>1294</v>
      </c>
      <c r="G107" s="613" t="s">
        <v>1177</v>
      </c>
      <c r="H107" s="613" t="s">
        <v>1178</v>
      </c>
      <c r="I107" s="615">
        <v>4.95</v>
      </c>
      <c r="J107" s="615">
        <v>180</v>
      </c>
      <c r="K107" s="616">
        <v>890.1</v>
      </c>
    </row>
    <row r="108" spans="1:11" ht="14.4" customHeight="1" x14ac:dyDescent="0.3">
      <c r="A108" s="611" t="s">
        <v>527</v>
      </c>
      <c r="B108" s="612" t="s">
        <v>528</v>
      </c>
      <c r="C108" s="613" t="s">
        <v>541</v>
      </c>
      <c r="D108" s="614" t="s">
        <v>974</v>
      </c>
      <c r="E108" s="613" t="s">
        <v>1293</v>
      </c>
      <c r="F108" s="614" t="s">
        <v>1294</v>
      </c>
      <c r="G108" s="613" t="s">
        <v>1179</v>
      </c>
      <c r="H108" s="613" t="s">
        <v>1180</v>
      </c>
      <c r="I108" s="615">
        <v>5.42</v>
      </c>
      <c r="J108" s="615">
        <v>700</v>
      </c>
      <c r="K108" s="616">
        <v>3793.03</v>
      </c>
    </row>
    <row r="109" spans="1:11" ht="14.4" customHeight="1" x14ac:dyDescent="0.3">
      <c r="A109" s="611" t="s">
        <v>527</v>
      </c>
      <c r="B109" s="612" t="s">
        <v>528</v>
      </c>
      <c r="C109" s="613" t="s">
        <v>541</v>
      </c>
      <c r="D109" s="614" t="s">
        <v>974</v>
      </c>
      <c r="E109" s="613" t="s">
        <v>1293</v>
      </c>
      <c r="F109" s="614" t="s">
        <v>1294</v>
      </c>
      <c r="G109" s="613" t="s">
        <v>1063</v>
      </c>
      <c r="H109" s="613" t="s">
        <v>1064</v>
      </c>
      <c r="I109" s="615">
        <v>12.105</v>
      </c>
      <c r="J109" s="615">
        <v>240</v>
      </c>
      <c r="K109" s="616">
        <v>2905</v>
      </c>
    </row>
    <row r="110" spans="1:11" ht="14.4" customHeight="1" x14ac:dyDescent="0.3">
      <c r="A110" s="611" t="s">
        <v>527</v>
      </c>
      <c r="B110" s="612" t="s">
        <v>528</v>
      </c>
      <c r="C110" s="613" t="s">
        <v>541</v>
      </c>
      <c r="D110" s="614" t="s">
        <v>974</v>
      </c>
      <c r="E110" s="613" t="s">
        <v>1293</v>
      </c>
      <c r="F110" s="614" t="s">
        <v>1294</v>
      </c>
      <c r="G110" s="613" t="s">
        <v>1181</v>
      </c>
      <c r="H110" s="613" t="s">
        <v>1182</v>
      </c>
      <c r="I110" s="615">
        <v>1.5550000000000002</v>
      </c>
      <c r="J110" s="615">
        <v>300</v>
      </c>
      <c r="K110" s="616">
        <v>465.75</v>
      </c>
    </row>
    <row r="111" spans="1:11" ht="14.4" customHeight="1" x14ac:dyDescent="0.3">
      <c r="A111" s="611" t="s">
        <v>527</v>
      </c>
      <c r="B111" s="612" t="s">
        <v>528</v>
      </c>
      <c r="C111" s="613" t="s">
        <v>541</v>
      </c>
      <c r="D111" s="614" t="s">
        <v>974</v>
      </c>
      <c r="E111" s="613" t="s">
        <v>1293</v>
      </c>
      <c r="F111" s="614" t="s">
        <v>1294</v>
      </c>
      <c r="G111" s="613" t="s">
        <v>1121</v>
      </c>
      <c r="H111" s="613" t="s">
        <v>1122</v>
      </c>
      <c r="I111" s="615">
        <v>21.234999999999999</v>
      </c>
      <c r="J111" s="615">
        <v>250</v>
      </c>
      <c r="K111" s="616">
        <v>5309.5</v>
      </c>
    </row>
    <row r="112" spans="1:11" ht="14.4" customHeight="1" x14ac:dyDescent="0.3">
      <c r="A112" s="611" t="s">
        <v>527</v>
      </c>
      <c r="B112" s="612" t="s">
        <v>528</v>
      </c>
      <c r="C112" s="613" t="s">
        <v>541</v>
      </c>
      <c r="D112" s="614" t="s">
        <v>974</v>
      </c>
      <c r="E112" s="613" t="s">
        <v>1293</v>
      </c>
      <c r="F112" s="614" t="s">
        <v>1294</v>
      </c>
      <c r="G112" s="613" t="s">
        <v>1183</v>
      </c>
      <c r="H112" s="613" t="s">
        <v>1184</v>
      </c>
      <c r="I112" s="615">
        <v>21.24</v>
      </c>
      <c r="J112" s="615">
        <v>30</v>
      </c>
      <c r="K112" s="616">
        <v>637.20000000000005</v>
      </c>
    </row>
    <row r="113" spans="1:11" ht="14.4" customHeight="1" x14ac:dyDescent="0.3">
      <c r="A113" s="611" t="s">
        <v>527</v>
      </c>
      <c r="B113" s="612" t="s">
        <v>528</v>
      </c>
      <c r="C113" s="613" t="s">
        <v>541</v>
      </c>
      <c r="D113" s="614" t="s">
        <v>974</v>
      </c>
      <c r="E113" s="613" t="s">
        <v>1293</v>
      </c>
      <c r="F113" s="614" t="s">
        <v>1294</v>
      </c>
      <c r="G113" s="613" t="s">
        <v>1065</v>
      </c>
      <c r="H113" s="613" t="s">
        <v>1066</v>
      </c>
      <c r="I113" s="615">
        <v>3.01</v>
      </c>
      <c r="J113" s="615">
        <v>500</v>
      </c>
      <c r="K113" s="616">
        <v>1491.94</v>
      </c>
    </row>
    <row r="114" spans="1:11" ht="14.4" customHeight="1" x14ac:dyDescent="0.3">
      <c r="A114" s="611" t="s">
        <v>527</v>
      </c>
      <c r="B114" s="612" t="s">
        <v>528</v>
      </c>
      <c r="C114" s="613" t="s">
        <v>541</v>
      </c>
      <c r="D114" s="614" t="s">
        <v>974</v>
      </c>
      <c r="E114" s="613" t="s">
        <v>1293</v>
      </c>
      <c r="F114" s="614" t="s">
        <v>1294</v>
      </c>
      <c r="G114" s="613" t="s">
        <v>1185</v>
      </c>
      <c r="H114" s="613" t="s">
        <v>1186</v>
      </c>
      <c r="I114" s="615">
        <v>18.149999999999999</v>
      </c>
      <c r="J114" s="615">
        <v>100</v>
      </c>
      <c r="K114" s="616">
        <v>1815</v>
      </c>
    </row>
    <row r="115" spans="1:11" ht="14.4" customHeight="1" x14ac:dyDescent="0.3">
      <c r="A115" s="611" t="s">
        <v>527</v>
      </c>
      <c r="B115" s="612" t="s">
        <v>528</v>
      </c>
      <c r="C115" s="613" t="s">
        <v>541</v>
      </c>
      <c r="D115" s="614" t="s">
        <v>974</v>
      </c>
      <c r="E115" s="613" t="s">
        <v>1293</v>
      </c>
      <c r="F115" s="614" t="s">
        <v>1294</v>
      </c>
      <c r="G115" s="613" t="s">
        <v>1187</v>
      </c>
      <c r="H115" s="613" t="s">
        <v>1188</v>
      </c>
      <c r="I115" s="615">
        <v>0.47</v>
      </c>
      <c r="J115" s="615">
        <v>1500</v>
      </c>
      <c r="K115" s="616">
        <v>705</v>
      </c>
    </row>
    <row r="116" spans="1:11" ht="14.4" customHeight="1" x14ac:dyDescent="0.3">
      <c r="A116" s="611" t="s">
        <v>527</v>
      </c>
      <c r="B116" s="612" t="s">
        <v>528</v>
      </c>
      <c r="C116" s="613" t="s">
        <v>541</v>
      </c>
      <c r="D116" s="614" t="s">
        <v>974</v>
      </c>
      <c r="E116" s="613" t="s">
        <v>1293</v>
      </c>
      <c r="F116" s="614" t="s">
        <v>1294</v>
      </c>
      <c r="G116" s="613" t="s">
        <v>1189</v>
      </c>
      <c r="H116" s="613" t="s">
        <v>1190</v>
      </c>
      <c r="I116" s="615">
        <v>4.03</v>
      </c>
      <c r="J116" s="615">
        <v>800</v>
      </c>
      <c r="K116" s="616">
        <v>3224</v>
      </c>
    </row>
    <row r="117" spans="1:11" ht="14.4" customHeight="1" x14ac:dyDescent="0.3">
      <c r="A117" s="611" t="s">
        <v>527</v>
      </c>
      <c r="B117" s="612" t="s">
        <v>528</v>
      </c>
      <c r="C117" s="613" t="s">
        <v>541</v>
      </c>
      <c r="D117" s="614" t="s">
        <v>974</v>
      </c>
      <c r="E117" s="613" t="s">
        <v>1293</v>
      </c>
      <c r="F117" s="614" t="s">
        <v>1294</v>
      </c>
      <c r="G117" s="613" t="s">
        <v>1191</v>
      </c>
      <c r="H117" s="613" t="s">
        <v>1192</v>
      </c>
      <c r="I117" s="615">
        <v>5196.8399999999992</v>
      </c>
      <c r="J117" s="615">
        <v>6</v>
      </c>
      <c r="K117" s="616">
        <v>31181.059999999998</v>
      </c>
    </row>
    <row r="118" spans="1:11" ht="14.4" customHeight="1" x14ac:dyDescent="0.3">
      <c r="A118" s="611" t="s">
        <v>527</v>
      </c>
      <c r="B118" s="612" t="s">
        <v>528</v>
      </c>
      <c r="C118" s="613" t="s">
        <v>541</v>
      </c>
      <c r="D118" s="614" t="s">
        <v>974</v>
      </c>
      <c r="E118" s="613" t="s">
        <v>1293</v>
      </c>
      <c r="F118" s="614" t="s">
        <v>1294</v>
      </c>
      <c r="G118" s="613" t="s">
        <v>1193</v>
      </c>
      <c r="H118" s="613" t="s">
        <v>1194</v>
      </c>
      <c r="I118" s="615">
        <v>387.19499999999999</v>
      </c>
      <c r="J118" s="615">
        <v>60</v>
      </c>
      <c r="K118" s="616">
        <v>23231.760000000002</v>
      </c>
    </row>
    <row r="119" spans="1:11" ht="14.4" customHeight="1" x14ac:dyDescent="0.3">
      <c r="A119" s="611" t="s">
        <v>527</v>
      </c>
      <c r="B119" s="612" t="s">
        <v>528</v>
      </c>
      <c r="C119" s="613" t="s">
        <v>541</v>
      </c>
      <c r="D119" s="614" t="s">
        <v>974</v>
      </c>
      <c r="E119" s="613" t="s">
        <v>1293</v>
      </c>
      <c r="F119" s="614" t="s">
        <v>1294</v>
      </c>
      <c r="G119" s="613" t="s">
        <v>1195</v>
      </c>
      <c r="H119" s="613" t="s">
        <v>1196</v>
      </c>
      <c r="I119" s="615">
        <v>60.5</v>
      </c>
      <c r="J119" s="615">
        <v>10</v>
      </c>
      <c r="K119" s="616">
        <v>605</v>
      </c>
    </row>
    <row r="120" spans="1:11" ht="14.4" customHeight="1" x14ac:dyDescent="0.3">
      <c r="A120" s="611" t="s">
        <v>527</v>
      </c>
      <c r="B120" s="612" t="s">
        <v>528</v>
      </c>
      <c r="C120" s="613" t="s">
        <v>541</v>
      </c>
      <c r="D120" s="614" t="s">
        <v>974</v>
      </c>
      <c r="E120" s="613" t="s">
        <v>1293</v>
      </c>
      <c r="F120" s="614" t="s">
        <v>1294</v>
      </c>
      <c r="G120" s="613" t="s">
        <v>1197</v>
      </c>
      <c r="H120" s="613" t="s">
        <v>1198</v>
      </c>
      <c r="I120" s="615">
        <v>10.83</v>
      </c>
      <c r="J120" s="615">
        <v>240</v>
      </c>
      <c r="K120" s="616">
        <v>2599.08</v>
      </c>
    </row>
    <row r="121" spans="1:11" ht="14.4" customHeight="1" x14ac:dyDescent="0.3">
      <c r="A121" s="611" t="s">
        <v>527</v>
      </c>
      <c r="B121" s="612" t="s">
        <v>528</v>
      </c>
      <c r="C121" s="613" t="s">
        <v>541</v>
      </c>
      <c r="D121" s="614" t="s">
        <v>974</v>
      </c>
      <c r="E121" s="613" t="s">
        <v>1293</v>
      </c>
      <c r="F121" s="614" t="s">
        <v>1294</v>
      </c>
      <c r="G121" s="613" t="s">
        <v>1199</v>
      </c>
      <c r="H121" s="613" t="s">
        <v>1200</v>
      </c>
      <c r="I121" s="615">
        <v>15.73</v>
      </c>
      <c r="J121" s="615">
        <v>60</v>
      </c>
      <c r="K121" s="616">
        <v>943.8</v>
      </c>
    </row>
    <row r="122" spans="1:11" ht="14.4" customHeight="1" x14ac:dyDescent="0.3">
      <c r="A122" s="611" t="s">
        <v>527</v>
      </c>
      <c r="B122" s="612" t="s">
        <v>528</v>
      </c>
      <c r="C122" s="613" t="s">
        <v>541</v>
      </c>
      <c r="D122" s="614" t="s">
        <v>974</v>
      </c>
      <c r="E122" s="613" t="s">
        <v>1293</v>
      </c>
      <c r="F122" s="614" t="s">
        <v>1294</v>
      </c>
      <c r="G122" s="613" t="s">
        <v>1201</v>
      </c>
      <c r="H122" s="613" t="s">
        <v>1202</v>
      </c>
      <c r="I122" s="615">
        <v>14.16</v>
      </c>
      <c r="J122" s="615">
        <v>120</v>
      </c>
      <c r="K122" s="616">
        <v>1698.84</v>
      </c>
    </row>
    <row r="123" spans="1:11" ht="14.4" customHeight="1" x14ac:dyDescent="0.3">
      <c r="A123" s="611" t="s">
        <v>527</v>
      </c>
      <c r="B123" s="612" t="s">
        <v>528</v>
      </c>
      <c r="C123" s="613" t="s">
        <v>541</v>
      </c>
      <c r="D123" s="614" t="s">
        <v>974</v>
      </c>
      <c r="E123" s="613" t="s">
        <v>1293</v>
      </c>
      <c r="F123" s="614" t="s">
        <v>1294</v>
      </c>
      <c r="G123" s="613" t="s">
        <v>1203</v>
      </c>
      <c r="H123" s="613" t="s">
        <v>1204</v>
      </c>
      <c r="I123" s="615">
        <v>106.48</v>
      </c>
      <c r="J123" s="615">
        <v>10</v>
      </c>
      <c r="K123" s="616">
        <v>1064.8</v>
      </c>
    </row>
    <row r="124" spans="1:11" ht="14.4" customHeight="1" x14ac:dyDescent="0.3">
      <c r="A124" s="611" t="s">
        <v>527</v>
      </c>
      <c r="B124" s="612" t="s">
        <v>528</v>
      </c>
      <c r="C124" s="613" t="s">
        <v>541</v>
      </c>
      <c r="D124" s="614" t="s">
        <v>974</v>
      </c>
      <c r="E124" s="613" t="s">
        <v>1293</v>
      </c>
      <c r="F124" s="614" t="s">
        <v>1294</v>
      </c>
      <c r="G124" s="613" t="s">
        <v>1071</v>
      </c>
      <c r="H124" s="613" t="s">
        <v>1072</v>
      </c>
      <c r="I124" s="615">
        <v>403.77499999999998</v>
      </c>
      <c r="J124" s="615">
        <v>40</v>
      </c>
      <c r="K124" s="616">
        <v>16151.08</v>
      </c>
    </row>
    <row r="125" spans="1:11" ht="14.4" customHeight="1" x14ac:dyDescent="0.3">
      <c r="A125" s="611" t="s">
        <v>527</v>
      </c>
      <c r="B125" s="612" t="s">
        <v>528</v>
      </c>
      <c r="C125" s="613" t="s">
        <v>541</v>
      </c>
      <c r="D125" s="614" t="s">
        <v>974</v>
      </c>
      <c r="E125" s="613" t="s">
        <v>1293</v>
      </c>
      <c r="F125" s="614" t="s">
        <v>1294</v>
      </c>
      <c r="G125" s="613" t="s">
        <v>1205</v>
      </c>
      <c r="H125" s="613" t="s">
        <v>1206</v>
      </c>
      <c r="I125" s="615">
        <v>56.82</v>
      </c>
      <c r="J125" s="615">
        <v>10</v>
      </c>
      <c r="K125" s="616">
        <v>568.21</v>
      </c>
    </row>
    <row r="126" spans="1:11" ht="14.4" customHeight="1" x14ac:dyDescent="0.3">
      <c r="A126" s="611" t="s">
        <v>527</v>
      </c>
      <c r="B126" s="612" t="s">
        <v>528</v>
      </c>
      <c r="C126" s="613" t="s">
        <v>541</v>
      </c>
      <c r="D126" s="614" t="s">
        <v>974</v>
      </c>
      <c r="E126" s="613" t="s">
        <v>1293</v>
      </c>
      <c r="F126" s="614" t="s">
        <v>1294</v>
      </c>
      <c r="G126" s="613" t="s">
        <v>1207</v>
      </c>
      <c r="H126" s="613" t="s">
        <v>1208</v>
      </c>
      <c r="I126" s="615">
        <v>17.059999999999999</v>
      </c>
      <c r="J126" s="615">
        <v>10</v>
      </c>
      <c r="K126" s="616">
        <v>170.61</v>
      </c>
    </row>
    <row r="127" spans="1:11" ht="14.4" customHeight="1" x14ac:dyDescent="0.3">
      <c r="A127" s="611" t="s">
        <v>527</v>
      </c>
      <c r="B127" s="612" t="s">
        <v>528</v>
      </c>
      <c r="C127" s="613" t="s">
        <v>541</v>
      </c>
      <c r="D127" s="614" t="s">
        <v>974</v>
      </c>
      <c r="E127" s="613" t="s">
        <v>1293</v>
      </c>
      <c r="F127" s="614" t="s">
        <v>1294</v>
      </c>
      <c r="G127" s="613" t="s">
        <v>1209</v>
      </c>
      <c r="H127" s="613" t="s">
        <v>1210</v>
      </c>
      <c r="I127" s="615">
        <v>431.87</v>
      </c>
      <c r="J127" s="615">
        <v>20</v>
      </c>
      <c r="K127" s="616">
        <v>8637.42</v>
      </c>
    </row>
    <row r="128" spans="1:11" ht="14.4" customHeight="1" x14ac:dyDescent="0.3">
      <c r="A128" s="611" t="s">
        <v>527</v>
      </c>
      <c r="B128" s="612" t="s">
        <v>528</v>
      </c>
      <c r="C128" s="613" t="s">
        <v>541</v>
      </c>
      <c r="D128" s="614" t="s">
        <v>974</v>
      </c>
      <c r="E128" s="613" t="s">
        <v>1293</v>
      </c>
      <c r="F128" s="614" t="s">
        <v>1294</v>
      </c>
      <c r="G128" s="613" t="s">
        <v>1211</v>
      </c>
      <c r="H128" s="613" t="s">
        <v>1212</v>
      </c>
      <c r="I128" s="615">
        <v>175.45</v>
      </c>
      <c r="J128" s="615">
        <v>1</v>
      </c>
      <c r="K128" s="616">
        <v>175.45</v>
      </c>
    </row>
    <row r="129" spans="1:11" ht="14.4" customHeight="1" x14ac:dyDescent="0.3">
      <c r="A129" s="611" t="s">
        <v>527</v>
      </c>
      <c r="B129" s="612" t="s">
        <v>528</v>
      </c>
      <c r="C129" s="613" t="s">
        <v>541</v>
      </c>
      <c r="D129" s="614" t="s">
        <v>974</v>
      </c>
      <c r="E129" s="613" t="s">
        <v>1293</v>
      </c>
      <c r="F129" s="614" t="s">
        <v>1294</v>
      </c>
      <c r="G129" s="613" t="s">
        <v>1213</v>
      </c>
      <c r="H129" s="613" t="s">
        <v>1214</v>
      </c>
      <c r="I129" s="615">
        <v>283</v>
      </c>
      <c r="J129" s="615">
        <v>2</v>
      </c>
      <c r="K129" s="616">
        <v>565.99</v>
      </c>
    </row>
    <row r="130" spans="1:11" ht="14.4" customHeight="1" x14ac:dyDescent="0.3">
      <c r="A130" s="611" t="s">
        <v>527</v>
      </c>
      <c r="B130" s="612" t="s">
        <v>528</v>
      </c>
      <c r="C130" s="613" t="s">
        <v>541</v>
      </c>
      <c r="D130" s="614" t="s">
        <v>974</v>
      </c>
      <c r="E130" s="613" t="s">
        <v>1293</v>
      </c>
      <c r="F130" s="614" t="s">
        <v>1294</v>
      </c>
      <c r="G130" s="613" t="s">
        <v>1215</v>
      </c>
      <c r="H130" s="613" t="s">
        <v>1216</v>
      </c>
      <c r="I130" s="615">
        <v>2.0699999999999998</v>
      </c>
      <c r="J130" s="615">
        <v>400</v>
      </c>
      <c r="K130" s="616">
        <v>828</v>
      </c>
    </row>
    <row r="131" spans="1:11" ht="14.4" customHeight="1" x14ac:dyDescent="0.3">
      <c r="A131" s="611" t="s">
        <v>527</v>
      </c>
      <c r="B131" s="612" t="s">
        <v>528</v>
      </c>
      <c r="C131" s="613" t="s">
        <v>541</v>
      </c>
      <c r="D131" s="614" t="s">
        <v>974</v>
      </c>
      <c r="E131" s="613" t="s">
        <v>1293</v>
      </c>
      <c r="F131" s="614" t="s">
        <v>1294</v>
      </c>
      <c r="G131" s="613" t="s">
        <v>1217</v>
      </c>
      <c r="H131" s="613" t="s">
        <v>1218</v>
      </c>
      <c r="I131" s="615">
        <v>117.13</v>
      </c>
      <c r="J131" s="615">
        <v>10</v>
      </c>
      <c r="K131" s="616">
        <v>1171.28</v>
      </c>
    </row>
    <row r="132" spans="1:11" ht="14.4" customHeight="1" x14ac:dyDescent="0.3">
      <c r="A132" s="611" t="s">
        <v>527</v>
      </c>
      <c r="B132" s="612" t="s">
        <v>528</v>
      </c>
      <c r="C132" s="613" t="s">
        <v>541</v>
      </c>
      <c r="D132" s="614" t="s">
        <v>974</v>
      </c>
      <c r="E132" s="613" t="s">
        <v>1293</v>
      </c>
      <c r="F132" s="614" t="s">
        <v>1294</v>
      </c>
      <c r="G132" s="613" t="s">
        <v>1219</v>
      </c>
      <c r="H132" s="613" t="s">
        <v>1220</v>
      </c>
      <c r="I132" s="615">
        <v>204.49</v>
      </c>
      <c r="J132" s="615">
        <v>20</v>
      </c>
      <c r="K132" s="616">
        <v>4089.8</v>
      </c>
    </row>
    <row r="133" spans="1:11" ht="14.4" customHeight="1" x14ac:dyDescent="0.3">
      <c r="A133" s="611" t="s">
        <v>527</v>
      </c>
      <c r="B133" s="612" t="s">
        <v>528</v>
      </c>
      <c r="C133" s="613" t="s">
        <v>541</v>
      </c>
      <c r="D133" s="614" t="s">
        <v>974</v>
      </c>
      <c r="E133" s="613" t="s">
        <v>1293</v>
      </c>
      <c r="F133" s="614" t="s">
        <v>1294</v>
      </c>
      <c r="G133" s="613" t="s">
        <v>1129</v>
      </c>
      <c r="H133" s="613" t="s">
        <v>1130</v>
      </c>
      <c r="I133" s="615">
        <v>1315.99</v>
      </c>
      <c r="J133" s="615">
        <v>5</v>
      </c>
      <c r="K133" s="616">
        <v>6579.96</v>
      </c>
    </row>
    <row r="134" spans="1:11" ht="14.4" customHeight="1" x14ac:dyDescent="0.3">
      <c r="A134" s="611" t="s">
        <v>527</v>
      </c>
      <c r="B134" s="612" t="s">
        <v>528</v>
      </c>
      <c r="C134" s="613" t="s">
        <v>541</v>
      </c>
      <c r="D134" s="614" t="s">
        <v>974</v>
      </c>
      <c r="E134" s="613" t="s">
        <v>1293</v>
      </c>
      <c r="F134" s="614" t="s">
        <v>1294</v>
      </c>
      <c r="G134" s="613" t="s">
        <v>1221</v>
      </c>
      <c r="H134" s="613" t="s">
        <v>1222</v>
      </c>
      <c r="I134" s="615">
        <v>27.83</v>
      </c>
      <c r="J134" s="615">
        <v>20</v>
      </c>
      <c r="K134" s="616">
        <v>556.6</v>
      </c>
    </row>
    <row r="135" spans="1:11" ht="14.4" customHeight="1" x14ac:dyDescent="0.3">
      <c r="A135" s="611" t="s">
        <v>527</v>
      </c>
      <c r="B135" s="612" t="s">
        <v>528</v>
      </c>
      <c r="C135" s="613" t="s">
        <v>541</v>
      </c>
      <c r="D135" s="614" t="s">
        <v>974</v>
      </c>
      <c r="E135" s="613" t="s">
        <v>1293</v>
      </c>
      <c r="F135" s="614" t="s">
        <v>1294</v>
      </c>
      <c r="G135" s="613" t="s">
        <v>1223</v>
      </c>
      <c r="H135" s="613" t="s">
        <v>1224</v>
      </c>
      <c r="I135" s="615">
        <v>204.49</v>
      </c>
      <c r="J135" s="615">
        <v>20</v>
      </c>
      <c r="K135" s="616">
        <v>4089.8</v>
      </c>
    </row>
    <row r="136" spans="1:11" ht="14.4" customHeight="1" x14ac:dyDescent="0.3">
      <c r="A136" s="611" t="s">
        <v>527</v>
      </c>
      <c r="B136" s="612" t="s">
        <v>528</v>
      </c>
      <c r="C136" s="613" t="s">
        <v>541</v>
      </c>
      <c r="D136" s="614" t="s">
        <v>974</v>
      </c>
      <c r="E136" s="613" t="s">
        <v>1293</v>
      </c>
      <c r="F136" s="614" t="s">
        <v>1294</v>
      </c>
      <c r="G136" s="613" t="s">
        <v>1225</v>
      </c>
      <c r="H136" s="613" t="s">
        <v>1226</v>
      </c>
      <c r="I136" s="615">
        <v>2304.12</v>
      </c>
      <c r="J136" s="615">
        <v>40</v>
      </c>
      <c r="K136" s="616">
        <v>92164.88</v>
      </c>
    </row>
    <row r="137" spans="1:11" ht="14.4" customHeight="1" x14ac:dyDescent="0.3">
      <c r="A137" s="611" t="s">
        <v>527</v>
      </c>
      <c r="B137" s="612" t="s">
        <v>528</v>
      </c>
      <c r="C137" s="613" t="s">
        <v>541</v>
      </c>
      <c r="D137" s="614" t="s">
        <v>974</v>
      </c>
      <c r="E137" s="613" t="s">
        <v>1293</v>
      </c>
      <c r="F137" s="614" t="s">
        <v>1294</v>
      </c>
      <c r="G137" s="613" t="s">
        <v>1227</v>
      </c>
      <c r="H137" s="613" t="s">
        <v>1228</v>
      </c>
      <c r="I137" s="615">
        <v>4721.33</v>
      </c>
      <c r="J137" s="615">
        <v>6</v>
      </c>
      <c r="K137" s="616">
        <v>28328</v>
      </c>
    </row>
    <row r="138" spans="1:11" ht="14.4" customHeight="1" x14ac:dyDescent="0.3">
      <c r="A138" s="611" t="s">
        <v>527</v>
      </c>
      <c r="B138" s="612" t="s">
        <v>528</v>
      </c>
      <c r="C138" s="613" t="s">
        <v>541</v>
      </c>
      <c r="D138" s="614" t="s">
        <v>974</v>
      </c>
      <c r="E138" s="613" t="s">
        <v>1293</v>
      </c>
      <c r="F138" s="614" t="s">
        <v>1294</v>
      </c>
      <c r="G138" s="613" t="s">
        <v>1229</v>
      </c>
      <c r="H138" s="613" t="s">
        <v>1230</v>
      </c>
      <c r="I138" s="615">
        <v>356.59</v>
      </c>
      <c r="J138" s="615">
        <v>10</v>
      </c>
      <c r="K138" s="616">
        <v>3565.87</v>
      </c>
    </row>
    <row r="139" spans="1:11" ht="14.4" customHeight="1" x14ac:dyDescent="0.3">
      <c r="A139" s="611" t="s">
        <v>527</v>
      </c>
      <c r="B139" s="612" t="s">
        <v>528</v>
      </c>
      <c r="C139" s="613" t="s">
        <v>541</v>
      </c>
      <c r="D139" s="614" t="s">
        <v>974</v>
      </c>
      <c r="E139" s="613" t="s">
        <v>1293</v>
      </c>
      <c r="F139" s="614" t="s">
        <v>1294</v>
      </c>
      <c r="G139" s="613" t="s">
        <v>1231</v>
      </c>
      <c r="H139" s="613" t="s">
        <v>1232</v>
      </c>
      <c r="I139" s="615">
        <v>156.38</v>
      </c>
      <c r="J139" s="615">
        <v>25</v>
      </c>
      <c r="K139" s="616">
        <v>3909.41</v>
      </c>
    </row>
    <row r="140" spans="1:11" ht="14.4" customHeight="1" x14ac:dyDescent="0.3">
      <c r="A140" s="611" t="s">
        <v>527</v>
      </c>
      <c r="B140" s="612" t="s">
        <v>528</v>
      </c>
      <c r="C140" s="613" t="s">
        <v>541</v>
      </c>
      <c r="D140" s="614" t="s">
        <v>974</v>
      </c>
      <c r="E140" s="613" t="s">
        <v>1293</v>
      </c>
      <c r="F140" s="614" t="s">
        <v>1294</v>
      </c>
      <c r="G140" s="613" t="s">
        <v>1233</v>
      </c>
      <c r="H140" s="613" t="s">
        <v>1234</v>
      </c>
      <c r="I140" s="615">
        <v>180.29</v>
      </c>
      <c r="J140" s="615">
        <v>1</v>
      </c>
      <c r="K140" s="616">
        <v>180.29</v>
      </c>
    </row>
    <row r="141" spans="1:11" ht="14.4" customHeight="1" x14ac:dyDescent="0.3">
      <c r="A141" s="611" t="s">
        <v>527</v>
      </c>
      <c r="B141" s="612" t="s">
        <v>528</v>
      </c>
      <c r="C141" s="613" t="s">
        <v>541</v>
      </c>
      <c r="D141" s="614" t="s">
        <v>974</v>
      </c>
      <c r="E141" s="613" t="s">
        <v>1299</v>
      </c>
      <c r="F141" s="614" t="s">
        <v>1300</v>
      </c>
      <c r="G141" s="613" t="s">
        <v>1235</v>
      </c>
      <c r="H141" s="613" t="s">
        <v>1236</v>
      </c>
      <c r="I141" s="615">
        <v>4.9950000000000001</v>
      </c>
      <c r="J141" s="615">
        <v>150</v>
      </c>
      <c r="K141" s="616">
        <v>749.54</v>
      </c>
    </row>
    <row r="142" spans="1:11" ht="14.4" customHeight="1" x14ac:dyDescent="0.3">
      <c r="A142" s="611" t="s">
        <v>527</v>
      </c>
      <c r="B142" s="612" t="s">
        <v>528</v>
      </c>
      <c r="C142" s="613" t="s">
        <v>541</v>
      </c>
      <c r="D142" s="614" t="s">
        <v>974</v>
      </c>
      <c r="E142" s="613" t="s">
        <v>1301</v>
      </c>
      <c r="F142" s="614" t="s">
        <v>1302</v>
      </c>
      <c r="G142" s="613" t="s">
        <v>1237</v>
      </c>
      <c r="H142" s="613" t="s">
        <v>1238</v>
      </c>
      <c r="I142" s="615">
        <v>899.63</v>
      </c>
      <c r="J142" s="615">
        <v>10</v>
      </c>
      <c r="K142" s="616">
        <v>8996.35</v>
      </c>
    </row>
    <row r="143" spans="1:11" ht="14.4" customHeight="1" x14ac:dyDescent="0.3">
      <c r="A143" s="611" t="s">
        <v>527</v>
      </c>
      <c r="B143" s="612" t="s">
        <v>528</v>
      </c>
      <c r="C143" s="613" t="s">
        <v>541</v>
      </c>
      <c r="D143" s="614" t="s">
        <v>974</v>
      </c>
      <c r="E143" s="613" t="s">
        <v>1303</v>
      </c>
      <c r="F143" s="614" t="s">
        <v>1304</v>
      </c>
      <c r="G143" s="613" t="s">
        <v>1239</v>
      </c>
      <c r="H143" s="613" t="s">
        <v>1240</v>
      </c>
      <c r="I143" s="615">
        <v>24.18</v>
      </c>
      <c r="J143" s="615">
        <v>100</v>
      </c>
      <c r="K143" s="616">
        <v>2417.58</v>
      </c>
    </row>
    <row r="144" spans="1:11" ht="14.4" customHeight="1" x14ac:dyDescent="0.3">
      <c r="A144" s="611" t="s">
        <v>527</v>
      </c>
      <c r="B144" s="612" t="s">
        <v>528</v>
      </c>
      <c r="C144" s="613" t="s">
        <v>541</v>
      </c>
      <c r="D144" s="614" t="s">
        <v>974</v>
      </c>
      <c r="E144" s="613" t="s">
        <v>1305</v>
      </c>
      <c r="F144" s="614" t="s">
        <v>1306</v>
      </c>
      <c r="G144" s="613" t="s">
        <v>1241</v>
      </c>
      <c r="H144" s="613" t="s">
        <v>1242</v>
      </c>
      <c r="I144" s="615">
        <v>48.96</v>
      </c>
      <c r="J144" s="615">
        <v>24</v>
      </c>
      <c r="K144" s="616">
        <v>1174.96</v>
      </c>
    </row>
    <row r="145" spans="1:11" ht="14.4" customHeight="1" x14ac:dyDescent="0.3">
      <c r="A145" s="611" t="s">
        <v>527</v>
      </c>
      <c r="B145" s="612" t="s">
        <v>528</v>
      </c>
      <c r="C145" s="613" t="s">
        <v>541</v>
      </c>
      <c r="D145" s="614" t="s">
        <v>974</v>
      </c>
      <c r="E145" s="613" t="s">
        <v>1295</v>
      </c>
      <c r="F145" s="614" t="s">
        <v>1296</v>
      </c>
      <c r="G145" s="613" t="s">
        <v>1083</v>
      </c>
      <c r="H145" s="613" t="s">
        <v>1084</v>
      </c>
      <c r="I145" s="615">
        <v>0.30499999999999999</v>
      </c>
      <c r="J145" s="615">
        <v>1100</v>
      </c>
      <c r="K145" s="616">
        <v>336</v>
      </c>
    </row>
    <row r="146" spans="1:11" ht="14.4" customHeight="1" x14ac:dyDescent="0.3">
      <c r="A146" s="611" t="s">
        <v>527</v>
      </c>
      <c r="B146" s="612" t="s">
        <v>528</v>
      </c>
      <c r="C146" s="613" t="s">
        <v>541</v>
      </c>
      <c r="D146" s="614" t="s">
        <v>974</v>
      </c>
      <c r="E146" s="613" t="s">
        <v>1295</v>
      </c>
      <c r="F146" s="614" t="s">
        <v>1296</v>
      </c>
      <c r="G146" s="613" t="s">
        <v>1243</v>
      </c>
      <c r="H146" s="613" t="s">
        <v>1244</v>
      </c>
      <c r="I146" s="615">
        <v>0.3</v>
      </c>
      <c r="J146" s="615">
        <v>100</v>
      </c>
      <c r="K146" s="616">
        <v>30</v>
      </c>
    </row>
    <row r="147" spans="1:11" ht="14.4" customHeight="1" x14ac:dyDescent="0.3">
      <c r="A147" s="611" t="s">
        <v>527</v>
      </c>
      <c r="B147" s="612" t="s">
        <v>528</v>
      </c>
      <c r="C147" s="613" t="s">
        <v>541</v>
      </c>
      <c r="D147" s="614" t="s">
        <v>974</v>
      </c>
      <c r="E147" s="613" t="s">
        <v>1295</v>
      </c>
      <c r="F147" s="614" t="s">
        <v>1296</v>
      </c>
      <c r="G147" s="613" t="s">
        <v>1245</v>
      </c>
      <c r="H147" s="613" t="s">
        <v>1246</v>
      </c>
      <c r="I147" s="615">
        <v>0.48</v>
      </c>
      <c r="J147" s="615">
        <v>100</v>
      </c>
      <c r="K147" s="616">
        <v>48</v>
      </c>
    </row>
    <row r="148" spans="1:11" ht="14.4" customHeight="1" x14ac:dyDescent="0.3">
      <c r="A148" s="611" t="s">
        <v>527</v>
      </c>
      <c r="B148" s="612" t="s">
        <v>528</v>
      </c>
      <c r="C148" s="613" t="s">
        <v>541</v>
      </c>
      <c r="D148" s="614" t="s">
        <v>974</v>
      </c>
      <c r="E148" s="613" t="s">
        <v>1295</v>
      </c>
      <c r="F148" s="614" t="s">
        <v>1296</v>
      </c>
      <c r="G148" s="613" t="s">
        <v>1085</v>
      </c>
      <c r="H148" s="613" t="s">
        <v>1086</v>
      </c>
      <c r="I148" s="615">
        <v>0.48</v>
      </c>
      <c r="J148" s="615">
        <v>1700</v>
      </c>
      <c r="K148" s="616">
        <v>816</v>
      </c>
    </row>
    <row r="149" spans="1:11" ht="14.4" customHeight="1" x14ac:dyDescent="0.3">
      <c r="A149" s="611" t="s">
        <v>527</v>
      </c>
      <c r="B149" s="612" t="s">
        <v>528</v>
      </c>
      <c r="C149" s="613" t="s">
        <v>541</v>
      </c>
      <c r="D149" s="614" t="s">
        <v>974</v>
      </c>
      <c r="E149" s="613" t="s">
        <v>1295</v>
      </c>
      <c r="F149" s="614" t="s">
        <v>1296</v>
      </c>
      <c r="G149" s="613" t="s">
        <v>1247</v>
      </c>
      <c r="H149" s="613" t="s">
        <v>1248</v>
      </c>
      <c r="I149" s="615">
        <v>48.82</v>
      </c>
      <c r="J149" s="615">
        <v>25</v>
      </c>
      <c r="K149" s="616">
        <v>1220.5899999999999</v>
      </c>
    </row>
    <row r="150" spans="1:11" ht="14.4" customHeight="1" x14ac:dyDescent="0.3">
      <c r="A150" s="611" t="s">
        <v>527</v>
      </c>
      <c r="B150" s="612" t="s">
        <v>528</v>
      </c>
      <c r="C150" s="613" t="s">
        <v>541</v>
      </c>
      <c r="D150" s="614" t="s">
        <v>974</v>
      </c>
      <c r="E150" s="613" t="s">
        <v>1297</v>
      </c>
      <c r="F150" s="614" t="s">
        <v>1298</v>
      </c>
      <c r="G150" s="613" t="s">
        <v>1249</v>
      </c>
      <c r="H150" s="613" t="s">
        <v>1250</v>
      </c>
      <c r="I150" s="615">
        <v>11.01</v>
      </c>
      <c r="J150" s="615">
        <v>80</v>
      </c>
      <c r="K150" s="616">
        <v>880.8</v>
      </c>
    </row>
    <row r="151" spans="1:11" ht="14.4" customHeight="1" x14ac:dyDescent="0.3">
      <c r="A151" s="611" t="s">
        <v>527</v>
      </c>
      <c r="B151" s="612" t="s">
        <v>528</v>
      </c>
      <c r="C151" s="613" t="s">
        <v>541</v>
      </c>
      <c r="D151" s="614" t="s">
        <v>974</v>
      </c>
      <c r="E151" s="613" t="s">
        <v>1297</v>
      </c>
      <c r="F151" s="614" t="s">
        <v>1298</v>
      </c>
      <c r="G151" s="613" t="s">
        <v>1251</v>
      </c>
      <c r="H151" s="613" t="s">
        <v>1252</v>
      </c>
      <c r="I151" s="615">
        <v>11.015000000000001</v>
      </c>
      <c r="J151" s="615">
        <v>160</v>
      </c>
      <c r="K151" s="616">
        <v>1762.8000000000002</v>
      </c>
    </row>
    <row r="152" spans="1:11" ht="14.4" customHeight="1" x14ac:dyDescent="0.3">
      <c r="A152" s="611" t="s">
        <v>527</v>
      </c>
      <c r="B152" s="612" t="s">
        <v>528</v>
      </c>
      <c r="C152" s="613" t="s">
        <v>541</v>
      </c>
      <c r="D152" s="614" t="s">
        <v>974</v>
      </c>
      <c r="E152" s="613" t="s">
        <v>1297</v>
      </c>
      <c r="F152" s="614" t="s">
        <v>1298</v>
      </c>
      <c r="G152" s="613" t="s">
        <v>1253</v>
      </c>
      <c r="H152" s="613" t="s">
        <v>1254</v>
      </c>
      <c r="I152" s="615">
        <v>11.01</v>
      </c>
      <c r="J152" s="615">
        <v>160</v>
      </c>
      <c r="K152" s="616">
        <v>1761.6</v>
      </c>
    </row>
    <row r="153" spans="1:11" ht="14.4" customHeight="1" x14ac:dyDescent="0.3">
      <c r="A153" s="611" t="s">
        <v>527</v>
      </c>
      <c r="B153" s="612" t="s">
        <v>528</v>
      </c>
      <c r="C153" s="613" t="s">
        <v>541</v>
      </c>
      <c r="D153" s="614" t="s">
        <v>974</v>
      </c>
      <c r="E153" s="613" t="s">
        <v>1297</v>
      </c>
      <c r="F153" s="614" t="s">
        <v>1298</v>
      </c>
      <c r="G153" s="613" t="s">
        <v>1255</v>
      </c>
      <c r="H153" s="613" t="s">
        <v>1256</v>
      </c>
      <c r="I153" s="615">
        <v>11.01</v>
      </c>
      <c r="J153" s="615">
        <v>80</v>
      </c>
      <c r="K153" s="616">
        <v>880.8</v>
      </c>
    </row>
    <row r="154" spans="1:11" ht="14.4" customHeight="1" x14ac:dyDescent="0.3">
      <c r="A154" s="611" t="s">
        <v>527</v>
      </c>
      <c r="B154" s="612" t="s">
        <v>528</v>
      </c>
      <c r="C154" s="613" t="s">
        <v>541</v>
      </c>
      <c r="D154" s="614" t="s">
        <v>974</v>
      </c>
      <c r="E154" s="613" t="s">
        <v>1297</v>
      </c>
      <c r="F154" s="614" t="s">
        <v>1298</v>
      </c>
      <c r="G154" s="613" t="s">
        <v>1257</v>
      </c>
      <c r="H154" s="613" t="s">
        <v>1258</v>
      </c>
      <c r="I154" s="615">
        <v>11.02</v>
      </c>
      <c r="J154" s="615">
        <v>40</v>
      </c>
      <c r="K154" s="616">
        <v>440.8</v>
      </c>
    </row>
    <row r="155" spans="1:11" ht="14.4" customHeight="1" x14ac:dyDescent="0.3">
      <c r="A155" s="611" t="s">
        <v>527</v>
      </c>
      <c r="B155" s="612" t="s">
        <v>528</v>
      </c>
      <c r="C155" s="613" t="s">
        <v>541</v>
      </c>
      <c r="D155" s="614" t="s">
        <v>974</v>
      </c>
      <c r="E155" s="613" t="s">
        <v>1297</v>
      </c>
      <c r="F155" s="614" t="s">
        <v>1298</v>
      </c>
      <c r="G155" s="613" t="s">
        <v>1091</v>
      </c>
      <c r="H155" s="613" t="s">
        <v>1092</v>
      </c>
      <c r="I155" s="615">
        <v>0.71333333333333326</v>
      </c>
      <c r="J155" s="615">
        <v>13200</v>
      </c>
      <c r="K155" s="616">
        <v>9424</v>
      </c>
    </row>
    <row r="156" spans="1:11" ht="14.4" customHeight="1" x14ac:dyDescent="0.3">
      <c r="A156" s="611" t="s">
        <v>527</v>
      </c>
      <c r="B156" s="612" t="s">
        <v>528</v>
      </c>
      <c r="C156" s="613" t="s">
        <v>541</v>
      </c>
      <c r="D156" s="614" t="s">
        <v>974</v>
      </c>
      <c r="E156" s="613" t="s">
        <v>1307</v>
      </c>
      <c r="F156" s="614" t="s">
        <v>1308</v>
      </c>
      <c r="G156" s="613" t="s">
        <v>1259</v>
      </c>
      <c r="H156" s="613" t="s">
        <v>1260</v>
      </c>
      <c r="I156" s="615">
        <v>139.43</v>
      </c>
      <c r="J156" s="615">
        <v>20</v>
      </c>
      <c r="K156" s="616">
        <v>2788.62</v>
      </c>
    </row>
    <row r="157" spans="1:11" ht="14.4" customHeight="1" x14ac:dyDescent="0.3">
      <c r="A157" s="611" t="s">
        <v>527</v>
      </c>
      <c r="B157" s="612" t="s">
        <v>528</v>
      </c>
      <c r="C157" s="613" t="s">
        <v>541</v>
      </c>
      <c r="D157" s="614" t="s">
        <v>974</v>
      </c>
      <c r="E157" s="613" t="s">
        <v>1307</v>
      </c>
      <c r="F157" s="614" t="s">
        <v>1308</v>
      </c>
      <c r="G157" s="613" t="s">
        <v>1261</v>
      </c>
      <c r="H157" s="613" t="s">
        <v>1262</v>
      </c>
      <c r="I157" s="615">
        <v>11.65</v>
      </c>
      <c r="J157" s="615">
        <v>30</v>
      </c>
      <c r="K157" s="616">
        <v>349.56</v>
      </c>
    </row>
    <row r="158" spans="1:11" ht="14.4" customHeight="1" x14ac:dyDescent="0.3">
      <c r="A158" s="611" t="s">
        <v>527</v>
      </c>
      <c r="B158" s="612" t="s">
        <v>528</v>
      </c>
      <c r="C158" s="613" t="s">
        <v>541</v>
      </c>
      <c r="D158" s="614" t="s">
        <v>974</v>
      </c>
      <c r="E158" s="613" t="s">
        <v>1307</v>
      </c>
      <c r="F158" s="614" t="s">
        <v>1308</v>
      </c>
      <c r="G158" s="613" t="s">
        <v>1263</v>
      </c>
      <c r="H158" s="613" t="s">
        <v>1264</v>
      </c>
      <c r="I158" s="615">
        <v>152.46</v>
      </c>
      <c r="J158" s="615">
        <v>2</v>
      </c>
      <c r="K158" s="616">
        <v>304.92</v>
      </c>
    </row>
    <row r="159" spans="1:11" ht="14.4" customHeight="1" x14ac:dyDescent="0.3">
      <c r="A159" s="611" t="s">
        <v>527</v>
      </c>
      <c r="B159" s="612" t="s">
        <v>528</v>
      </c>
      <c r="C159" s="613" t="s">
        <v>541</v>
      </c>
      <c r="D159" s="614" t="s">
        <v>974</v>
      </c>
      <c r="E159" s="613" t="s">
        <v>1307</v>
      </c>
      <c r="F159" s="614" t="s">
        <v>1308</v>
      </c>
      <c r="G159" s="613" t="s">
        <v>1265</v>
      </c>
      <c r="H159" s="613" t="s">
        <v>1266</v>
      </c>
      <c r="I159" s="615">
        <v>2746.7</v>
      </c>
      <c r="J159" s="615">
        <v>1</v>
      </c>
      <c r="K159" s="616">
        <v>2746.7</v>
      </c>
    </row>
    <row r="160" spans="1:11" ht="14.4" customHeight="1" x14ac:dyDescent="0.3">
      <c r="A160" s="611" t="s">
        <v>527</v>
      </c>
      <c r="B160" s="612" t="s">
        <v>528</v>
      </c>
      <c r="C160" s="613" t="s">
        <v>541</v>
      </c>
      <c r="D160" s="614" t="s">
        <v>974</v>
      </c>
      <c r="E160" s="613" t="s">
        <v>1307</v>
      </c>
      <c r="F160" s="614" t="s">
        <v>1308</v>
      </c>
      <c r="G160" s="613" t="s">
        <v>1267</v>
      </c>
      <c r="H160" s="613" t="s">
        <v>1268</v>
      </c>
      <c r="I160" s="615">
        <v>6352.5</v>
      </c>
      <c r="J160" s="615">
        <v>2</v>
      </c>
      <c r="K160" s="616">
        <v>12705</v>
      </c>
    </row>
    <row r="161" spans="1:11" ht="14.4" customHeight="1" x14ac:dyDescent="0.3">
      <c r="A161" s="611" t="s">
        <v>527</v>
      </c>
      <c r="B161" s="612" t="s">
        <v>528</v>
      </c>
      <c r="C161" s="613" t="s">
        <v>541</v>
      </c>
      <c r="D161" s="614" t="s">
        <v>974</v>
      </c>
      <c r="E161" s="613" t="s">
        <v>1307</v>
      </c>
      <c r="F161" s="614" t="s">
        <v>1308</v>
      </c>
      <c r="G161" s="613" t="s">
        <v>1269</v>
      </c>
      <c r="H161" s="613" t="s">
        <v>1270</v>
      </c>
      <c r="I161" s="615">
        <v>8470</v>
      </c>
      <c r="J161" s="615">
        <v>1</v>
      </c>
      <c r="K161" s="616">
        <v>8470</v>
      </c>
    </row>
    <row r="162" spans="1:11" ht="14.4" customHeight="1" x14ac:dyDescent="0.3">
      <c r="A162" s="611" t="s">
        <v>527</v>
      </c>
      <c r="B162" s="612" t="s">
        <v>528</v>
      </c>
      <c r="C162" s="613" t="s">
        <v>541</v>
      </c>
      <c r="D162" s="614" t="s">
        <v>974</v>
      </c>
      <c r="E162" s="613" t="s">
        <v>1307</v>
      </c>
      <c r="F162" s="614" t="s">
        <v>1308</v>
      </c>
      <c r="G162" s="613" t="s">
        <v>1271</v>
      </c>
      <c r="H162" s="613" t="s">
        <v>1272</v>
      </c>
      <c r="I162" s="615">
        <v>363</v>
      </c>
      <c r="J162" s="615">
        <v>2</v>
      </c>
      <c r="K162" s="616">
        <v>726</v>
      </c>
    </row>
    <row r="163" spans="1:11" ht="14.4" customHeight="1" x14ac:dyDescent="0.3">
      <c r="A163" s="611" t="s">
        <v>527</v>
      </c>
      <c r="B163" s="612" t="s">
        <v>528</v>
      </c>
      <c r="C163" s="613" t="s">
        <v>541</v>
      </c>
      <c r="D163" s="614" t="s">
        <v>974</v>
      </c>
      <c r="E163" s="613" t="s">
        <v>1307</v>
      </c>
      <c r="F163" s="614" t="s">
        <v>1308</v>
      </c>
      <c r="G163" s="613" t="s">
        <v>1273</v>
      </c>
      <c r="H163" s="613" t="s">
        <v>1274</v>
      </c>
      <c r="I163" s="615">
        <v>4453.33</v>
      </c>
      <c r="J163" s="615">
        <v>3</v>
      </c>
      <c r="K163" s="616">
        <v>13360</v>
      </c>
    </row>
    <row r="164" spans="1:11" ht="14.4" customHeight="1" x14ac:dyDescent="0.3">
      <c r="A164" s="611" t="s">
        <v>527</v>
      </c>
      <c r="B164" s="612" t="s">
        <v>528</v>
      </c>
      <c r="C164" s="613" t="s">
        <v>541</v>
      </c>
      <c r="D164" s="614" t="s">
        <v>974</v>
      </c>
      <c r="E164" s="613" t="s">
        <v>1307</v>
      </c>
      <c r="F164" s="614" t="s">
        <v>1308</v>
      </c>
      <c r="G164" s="613" t="s">
        <v>1275</v>
      </c>
      <c r="H164" s="613" t="s">
        <v>1276</v>
      </c>
      <c r="I164" s="615">
        <v>786.5</v>
      </c>
      <c r="J164" s="615">
        <v>1</v>
      </c>
      <c r="K164" s="616">
        <v>786.5</v>
      </c>
    </row>
    <row r="165" spans="1:11" ht="14.4" customHeight="1" x14ac:dyDescent="0.3">
      <c r="A165" s="611" t="s">
        <v>527</v>
      </c>
      <c r="B165" s="612" t="s">
        <v>528</v>
      </c>
      <c r="C165" s="613" t="s">
        <v>541</v>
      </c>
      <c r="D165" s="614" t="s">
        <v>974</v>
      </c>
      <c r="E165" s="613" t="s">
        <v>1307</v>
      </c>
      <c r="F165" s="614" t="s">
        <v>1308</v>
      </c>
      <c r="G165" s="613" t="s">
        <v>1277</v>
      </c>
      <c r="H165" s="613" t="s">
        <v>1278</v>
      </c>
      <c r="I165" s="615">
        <v>3630</v>
      </c>
      <c r="J165" s="615">
        <v>1</v>
      </c>
      <c r="K165" s="616">
        <v>3630</v>
      </c>
    </row>
    <row r="166" spans="1:11" ht="14.4" customHeight="1" x14ac:dyDescent="0.3">
      <c r="A166" s="611" t="s">
        <v>527</v>
      </c>
      <c r="B166" s="612" t="s">
        <v>528</v>
      </c>
      <c r="C166" s="613" t="s">
        <v>541</v>
      </c>
      <c r="D166" s="614" t="s">
        <v>974</v>
      </c>
      <c r="E166" s="613" t="s">
        <v>1307</v>
      </c>
      <c r="F166" s="614" t="s">
        <v>1308</v>
      </c>
      <c r="G166" s="613" t="s">
        <v>1279</v>
      </c>
      <c r="H166" s="613" t="s">
        <v>1280</v>
      </c>
      <c r="I166" s="615">
        <v>847</v>
      </c>
      <c r="J166" s="615">
        <v>1</v>
      </c>
      <c r="K166" s="616">
        <v>847</v>
      </c>
    </row>
    <row r="167" spans="1:11" ht="14.4" customHeight="1" x14ac:dyDescent="0.3">
      <c r="A167" s="611" t="s">
        <v>527</v>
      </c>
      <c r="B167" s="612" t="s">
        <v>528</v>
      </c>
      <c r="C167" s="613" t="s">
        <v>541</v>
      </c>
      <c r="D167" s="614" t="s">
        <v>974</v>
      </c>
      <c r="E167" s="613" t="s">
        <v>1307</v>
      </c>
      <c r="F167" s="614" t="s">
        <v>1308</v>
      </c>
      <c r="G167" s="613" t="s">
        <v>1281</v>
      </c>
      <c r="H167" s="613" t="s">
        <v>1282</v>
      </c>
      <c r="I167" s="615">
        <v>60.5</v>
      </c>
      <c r="J167" s="615">
        <v>1</v>
      </c>
      <c r="K167" s="616">
        <v>60.5</v>
      </c>
    </row>
    <row r="168" spans="1:11" ht="14.4" customHeight="1" x14ac:dyDescent="0.3">
      <c r="A168" s="611" t="s">
        <v>527</v>
      </c>
      <c r="B168" s="612" t="s">
        <v>528</v>
      </c>
      <c r="C168" s="613" t="s">
        <v>541</v>
      </c>
      <c r="D168" s="614" t="s">
        <v>974</v>
      </c>
      <c r="E168" s="613" t="s">
        <v>1309</v>
      </c>
      <c r="F168" s="614" t="s">
        <v>1310</v>
      </c>
      <c r="G168" s="613" t="s">
        <v>1283</v>
      </c>
      <c r="H168" s="613" t="s">
        <v>1284</v>
      </c>
      <c r="I168" s="615">
        <v>229.9</v>
      </c>
      <c r="J168" s="615">
        <v>10</v>
      </c>
      <c r="K168" s="616">
        <v>2299</v>
      </c>
    </row>
    <row r="169" spans="1:11" ht="14.4" customHeight="1" x14ac:dyDescent="0.3">
      <c r="A169" s="611" t="s">
        <v>527</v>
      </c>
      <c r="B169" s="612" t="s">
        <v>528</v>
      </c>
      <c r="C169" s="613" t="s">
        <v>541</v>
      </c>
      <c r="D169" s="614" t="s">
        <v>974</v>
      </c>
      <c r="E169" s="613" t="s">
        <v>1309</v>
      </c>
      <c r="F169" s="614" t="s">
        <v>1310</v>
      </c>
      <c r="G169" s="613" t="s">
        <v>1285</v>
      </c>
      <c r="H169" s="613" t="s">
        <v>1286</v>
      </c>
      <c r="I169" s="615">
        <v>630</v>
      </c>
      <c r="J169" s="615">
        <v>10</v>
      </c>
      <c r="K169" s="616">
        <v>6300.05</v>
      </c>
    </row>
    <row r="170" spans="1:11" ht="14.4" customHeight="1" x14ac:dyDescent="0.3">
      <c r="A170" s="611" t="s">
        <v>527</v>
      </c>
      <c r="B170" s="612" t="s">
        <v>528</v>
      </c>
      <c r="C170" s="613" t="s">
        <v>541</v>
      </c>
      <c r="D170" s="614" t="s">
        <v>974</v>
      </c>
      <c r="E170" s="613" t="s">
        <v>1309</v>
      </c>
      <c r="F170" s="614" t="s">
        <v>1310</v>
      </c>
      <c r="G170" s="613" t="s">
        <v>1287</v>
      </c>
      <c r="H170" s="613" t="s">
        <v>1288</v>
      </c>
      <c r="I170" s="615">
        <v>377.71</v>
      </c>
      <c r="J170" s="615">
        <v>10</v>
      </c>
      <c r="K170" s="616">
        <v>3777.1</v>
      </c>
    </row>
    <row r="171" spans="1:11" ht="14.4" customHeight="1" thickBot="1" x14ac:dyDescent="0.35">
      <c r="A171" s="617" t="s">
        <v>527</v>
      </c>
      <c r="B171" s="618" t="s">
        <v>528</v>
      </c>
      <c r="C171" s="619" t="s">
        <v>541</v>
      </c>
      <c r="D171" s="620" t="s">
        <v>974</v>
      </c>
      <c r="E171" s="619" t="s">
        <v>1309</v>
      </c>
      <c r="F171" s="620" t="s">
        <v>1310</v>
      </c>
      <c r="G171" s="619" t="s">
        <v>1289</v>
      </c>
      <c r="H171" s="619" t="s">
        <v>1290</v>
      </c>
      <c r="I171" s="621">
        <v>43.37</v>
      </c>
      <c r="J171" s="621">
        <v>25</v>
      </c>
      <c r="K171" s="622">
        <v>1084.25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</row>
    <row r="2" spans="1:34" ht="15" thickBot="1" x14ac:dyDescent="0.35">
      <c r="A2" s="361" t="s">
        <v>305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</row>
    <row r="3" spans="1:34" x14ac:dyDescent="0.3">
      <c r="A3" s="380" t="s">
        <v>225</v>
      </c>
      <c r="B3" s="507" t="s">
        <v>206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408</v>
      </c>
      <c r="I3" s="383">
        <v>409</v>
      </c>
      <c r="J3" s="383">
        <v>410</v>
      </c>
      <c r="K3" s="383">
        <v>415</v>
      </c>
      <c r="L3" s="383">
        <v>416</v>
      </c>
      <c r="M3" s="383">
        <v>418</v>
      </c>
      <c r="N3" s="383">
        <v>419</v>
      </c>
      <c r="O3" s="383">
        <v>420</v>
      </c>
      <c r="P3" s="383">
        <v>421</v>
      </c>
      <c r="Q3" s="383">
        <v>522</v>
      </c>
      <c r="R3" s="383">
        <v>523</v>
      </c>
      <c r="S3" s="383">
        <v>524</v>
      </c>
      <c r="T3" s="383">
        <v>525</v>
      </c>
      <c r="U3" s="383">
        <v>526</v>
      </c>
      <c r="V3" s="383">
        <v>527</v>
      </c>
      <c r="W3" s="383">
        <v>528</v>
      </c>
      <c r="X3" s="383">
        <v>629</v>
      </c>
      <c r="Y3" s="383">
        <v>630</v>
      </c>
      <c r="Z3" s="383">
        <v>636</v>
      </c>
      <c r="AA3" s="383">
        <v>637</v>
      </c>
      <c r="AB3" s="383">
        <v>640</v>
      </c>
      <c r="AC3" s="383">
        <v>642</v>
      </c>
      <c r="AD3" s="383">
        <v>743</v>
      </c>
      <c r="AE3" s="364">
        <v>745</v>
      </c>
      <c r="AF3" s="364">
        <v>746</v>
      </c>
      <c r="AG3" s="674">
        <v>930</v>
      </c>
      <c r="AH3" s="690"/>
    </row>
    <row r="4" spans="1:34" ht="36.6" outlineLevel="1" thickBot="1" x14ac:dyDescent="0.35">
      <c r="A4" s="381">
        <v>2015</v>
      </c>
      <c r="B4" s="508"/>
      <c r="C4" s="365" t="s">
        <v>207</v>
      </c>
      <c r="D4" s="366" t="s">
        <v>208</v>
      </c>
      <c r="E4" s="366" t="s">
        <v>209</v>
      </c>
      <c r="F4" s="384" t="s">
        <v>237</v>
      </c>
      <c r="G4" s="384" t="s">
        <v>238</v>
      </c>
      <c r="H4" s="384" t="s">
        <v>239</v>
      </c>
      <c r="I4" s="384" t="s">
        <v>240</v>
      </c>
      <c r="J4" s="384" t="s">
        <v>241</v>
      </c>
      <c r="K4" s="384" t="s">
        <v>242</v>
      </c>
      <c r="L4" s="384" t="s">
        <v>243</v>
      </c>
      <c r="M4" s="384" t="s">
        <v>244</v>
      </c>
      <c r="N4" s="384" t="s">
        <v>245</v>
      </c>
      <c r="O4" s="384" t="s">
        <v>246</v>
      </c>
      <c r="P4" s="384" t="s">
        <v>247</v>
      </c>
      <c r="Q4" s="384" t="s">
        <v>248</v>
      </c>
      <c r="R4" s="384" t="s">
        <v>249</v>
      </c>
      <c r="S4" s="384" t="s">
        <v>250</v>
      </c>
      <c r="T4" s="384" t="s">
        <v>251</v>
      </c>
      <c r="U4" s="384" t="s">
        <v>252</v>
      </c>
      <c r="V4" s="384" t="s">
        <v>253</v>
      </c>
      <c r="W4" s="384" t="s">
        <v>262</v>
      </c>
      <c r="X4" s="384" t="s">
        <v>254</v>
      </c>
      <c r="Y4" s="384" t="s">
        <v>263</v>
      </c>
      <c r="Z4" s="384" t="s">
        <v>255</v>
      </c>
      <c r="AA4" s="384" t="s">
        <v>256</v>
      </c>
      <c r="AB4" s="384" t="s">
        <v>257</v>
      </c>
      <c r="AC4" s="384" t="s">
        <v>258</v>
      </c>
      <c r="AD4" s="384" t="s">
        <v>259</v>
      </c>
      <c r="AE4" s="366" t="s">
        <v>260</v>
      </c>
      <c r="AF4" s="366" t="s">
        <v>261</v>
      </c>
      <c r="AG4" s="675" t="s">
        <v>227</v>
      </c>
      <c r="AH4" s="690"/>
    </row>
    <row r="5" spans="1:34" x14ac:dyDescent="0.3">
      <c r="A5" s="367" t="s">
        <v>210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676"/>
      <c r="AH5" s="690"/>
    </row>
    <row r="6" spans="1:34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66.599999999999994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9.5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50.6</v>
      </c>
      <c r="G6" s="408">
        <f xml:space="preserve">
TRUNC(IF($A$4&lt;=12,SUMIFS('ON Data'!L:L,'ON Data'!$D:$D,$A$4,'ON Data'!$E:$E,1),SUMIFS('ON Data'!L:L,'ON Data'!$E:$E,1)/'ON Data'!$D$3),1)</f>
        <v>1.5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0</v>
      </c>
      <c r="AA6" s="408">
        <f xml:space="preserve">
TRUNC(IF($A$4&lt;=12,SUMIFS('ON Data'!AF:AF,'ON Data'!$D:$D,$A$4,'ON Data'!$E:$E,1),SUMIFS('ON Data'!AF:AF,'ON Data'!$E:$E,1)/'ON Data'!$D$3),1)</f>
        <v>0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4</v>
      </c>
      <c r="AD6" s="408">
        <f xml:space="preserve">
TRUNC(IF($A$4&lt;=12,SUMIFS('ON Data'!AI:AI,'ON Data'!$D:$D,$A$4,'ON Data'!$E:$E,1),SUMIFS('ON Data'!AI:AI,'ON Data'!$E:$E,1)/'ON Data'!$D$3),1)</f>
        <v>0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677">
        <f xml:space="preserve">
TRUNC(IF($A$4&lt;=12,SUMIFS('ON Data'!AM:AM,'ON Data'!$D:$D,$A$4,'ON Data'!$E:$E,1),SUMIFS('ON Data'!AM:AM,'ON Data'!$E:$E,1)/'ON Data'!$D$3),1)</f>
        <v>1</v>
      </c>
      <c r="AH6" s="690"/>
    </row>
    <row r="7" spans="1:34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677"/>
      <c r="AH7" s="690"/>
    </row>
    <row r="8" spans="1:34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677"/>
      <c r="AH8" s="690"/>
    </row>
    <row r="9" spans="1:34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678"/>
      <c r="AH9" s="690"/>
    </row>
    <row r="10" spans="1:34" x14ac:dyDescent="0.3">
      <c r="A10" s="370" t="s">
        <v>211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679"/>
      <c r="AH10" s="690"/>
    </row>
    <row r="11" spans="1:34" x14ac:dyDescent="0.3">
      <c r="A11" s="371" t="s">
        <v>212</v>
      </c>
      <c r="B11" s="388">
        <f xml:space="preserve">
IF($A$4&lt;=12,SUMIFS('ON Data'!F:F,'ON Data'!$D:$D,$A$4,'ON Data'!$E:$E,2),SUMIFS('ON Data'!F:F,'ON Data'!$E:$E,2))</f>
        <v>18876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3040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14540</v>
      </c>
      <c r="G11" s="390">
        <f xml:space="preserve">
IF($A$4&lt;=12,SUMIFS('ON Data'!L:L,'ON Data'!$D:$D,$A$4,'ON Data'!$E:$E,2),SUMIFS('ON Data'!L:L,'ON Data'!$E:$E,2))</f>
        <v>144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0</v>
      </c>
      <c r="AA11" s="390">
        <f xml:space="preserve">
IF($A$4&lt;=12,SUMIFS('ON Data'!AF:AF,'ON Data'!$D:$D,$A$4,'ON Data'!$E:$E,2),SUMIFS('ON Data'!AF:AF,'ON Data'!$E:$E,2))</f>
        <v>0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840</v>
      </c>
      <c r="AD11" s="390">
        <f xml:space="preserve">
IF($A$4&lt;=12,SUMIFS('ON Data'!AI:AI,'ON Data'!$D:$D,$A$4,'ON Data'!$E:$E,2),SUMIFS('ON Data'!AI:AI,'ON Data'!$E:$E,2))</f>
        <v>0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680">
        <f xml:space="preserve">
IF($A$4&lt;=12,SUMIFS('ON Data'!AM:AM,'ON Data'!$D:$D,$A$4,'ON Data'!$E:$E,2),SUMIFS('ON Data'!AM:AM,'ON Data'!$E:$E,2))</f>
        <v>312</v>
      </c>
      <c r="AH11" s="690"/>
    </row>
    <row r="12" spans="1:34" x14ac:dyDescent="0.3">
      <c r="A12" s="371" t="s">
        <v>213</v>
      </c>
      <c r="B12" s="388">
        <f xml:space="preserve">
IF($A$4&lt;=12,SUMIFS('ON Data'!F:F,'ON Data'!$D:$D,$A$4,'ON Data'!$E:$E,3),SUMIFS('ON Data'!F:F,'ON Data'!$E:$E,3))</f>
        <v>722.5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31.5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641</v>
      </c>
      <c r="G12" s="390">
        <f xml:space="preserve">
IF($A$4&lt;=12,SUMIFS('ON Data'!L:L,'ON Data'!$D:$D,$A$4,'ON Data'!$E:$E,3),SUMIFS('ON Data'!L:L,'ON Data'!$E:$E,3))</f>
        <v>50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680">
        <f xml:space="preserve">
IF($A$4&lt;=12,SUMIFS('ON Data'!AM:AM,'ON Data'!$D:$D,$A$4,'ON Data'!$E:$E,3),SUMIFS('ON Data'!AM:AM,'ON Data'!$E:$E,3))</f>
        <v>0</v>
      </c>
      <c r="AH12" s="690"/>
    </row>
    <row r="13" spans="1:34" x14ac:dyDescent="0.3">
      <c r="A13" s="371" t="s">
        <v>220</v>
      </c>
      <c r="B13" s="388">
        <f xml:space="preserve">
IF($A$4&lt;=12,SUMIFS('ON Data'!F:F,'ON Data'!$D:$D,$A$4,'ON Data'!$E:$E,4),SUMIFS('ON Data'!F:F,'ON Data'!$E:$E,4))</f>
        <v>865.13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534.38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250.25</v>
      </c>
      <c r="G13" s="390">
        <f xml:space="preserve">
IF($A$4&lt;=12,SUMIFS('ON Data'!L:L,'ON Data'!$D:$D,$A$4,'ON Data'!$E:$E,4),SUMIFS('ON Data'!L:L,'ON Data'!$E:$E,4))</f>
        <v>0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0</v>
      </c>
      <c r="AA13" s="390">
        <f xml:space="preserve">
IF($A$4&lt;=12,SUMIFS('ON Data'!AF:AF,'ON Data'!$D:$D,$A$4,'ON Data'!$E:$E,4),SUMIFS('ON Data'!AF:AF,'ON Data'!$E:$E,4))</f>
        <v>0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80.5</v>
      </c>
      <c r="AD13" s="390">
        <f xml:space="preserve">
IF($A$4&lt;=12,SUMIFS('ON Data'!AI:AI,'ON Data'!$D:$D,$A$4,'ON Data'!$E:$E,4),SUMIFS('ON Data'!AI:AI,'ON Data'!$E:$E,4))</f>
        <v>0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680">
        <f xml:space="preserve">
IF($A$4&lt;=12,SUMIFS('ON Data'!AM:AM,'ON Data'!$D:$D,$A$4,'ON Data'!$E:$E,4),SUMIFS('ON Data'!AM:AM,'ON Data'!$E:$E,4))</f>
        <v>0</v>
      </c>
      <c r="AH13" s="690"/>
    </row>
    <row r="14" spans="1:34" ht="15" thickBot="1" x14ac:dyDescent="0.35">
      <c r="A14" s="372" t="s">
        <v>214</v>
      </c>
      <c r="B14" s="391">
        <f xml:space="preserve">
IF($A$4&lt;=12,SUMIFS('ON Data'!F:F,'ON Data'!$D:$D,$A$4,'ON Data'!$E:$E,5),SUMIFS('ON Data'!F:F,'ON Data'!$E:$E,5))</f>
        <v>72.5</v>
      </c>
      <c r="C14" s="392">
        <f xml:space="preserve">
IF($A$4&lt;=12,SUMIFS('ON Data'!G:G,'ON Data'!$D:$D,$A$4,'ON Data'!$E:$E,5),SUMIFS('ON Data'!G:G,'ON Data'!$E:$E,5))</f>
        <v>72.5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681">
        <f xml:space="preserve">
IF($A$4&lt;=12,SUMIFS('ON Data'!AM:AM,'ON Data'!$D:$D,$A$4,'ON Data'!$E:$E,5),SUMIFS('ON Data'!AM:AM,'ON Data'!$E:$E,5))</f>
        <v>0</v>
      </c>
      <c r="AH14" s="690"/>
    </row>
    <row r="15" spans="1:34" x14ac:dyDescent="0.3">
      <c r="A15" s="271" t="s">
        <v>224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682"/>
      <c r="AH15" s="690"/>
    </row>
    <row r="16" spans="1:34" x14ac:dyDescent="0.3">
      <c r="A16" s="373" t="s">
        <v>215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680">
        <f xml:space="preserve">
IF($A$4&lt;=12,SUMIFS('ON Data'!AM:AM,'ON Data'!$D:$D,$A$4,'ON Data'!$E:$E,7),SUMIFS('ON Data'!AM:AM,'ON Data'!$E:$E,7))</f>
        <v>0</v>
      </c>
      <c r="AH16" s="690"/>
    </row>
    <row r="17" spans="1:34" x14ac:dyDescent="0.3">
      <c r="A17" s="373" t="s">
        <v>216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680">
        <f xml:space="preserve">
IF($A$4&lt;=12,SUMIFS('ON Data'!AM:AM,'ON Data'!$D:$D,$A$4,'ON Data'!$E:$E,8),SUMIFS('ON Data'!AM:AM,'ON Data'!$E:$E,8))</f>
        <v>0</v>
      </c>
      <c r="AH17" s="690"/>
    </row>
    <row r="18" spans="1:34" x14ac:dyDescent="0.3">
      <c r="A18" s="373" t="s">
        <v>217</v>
      </c>
      <c r="B18" s="388">
        <f xml:space="preserve">
B19-B16-B17</f>
        <v>40290</v>
      </c>
      <c r="C18" s="389">
        <f t="shared" ref="C18" si="0" xml:space="preserve">
C19-C16-C17</f>
        <v>0</v>
      </c>
      <c r="D18" s="390">
        <f t="shared" ref="D18:AG18" si="1" xml:space="preserve">
D19-D16-D17</f>
        <v>0</v>
      </c>
      <c r="E18" s="390">
        <f t="shared" si="1"/>
        <v>0</v>
      </c>
      <c r="F18" s="390">
        <f t="shared" si="1"/>
        <v>34066</v>
      </c>
      <c r="G18" s="390">
        <f t="shared" si="1"/>
        <v>924</v>
      </c>
      <c r="H18" s="390">
        <f t="shared" si="1"/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0</v>
      </c>
      <c r="AA18" s="390">
        <f t="shared" si="1"/>
        <v>0</v>
      </c>
      <c r="AB18" s="390">
        <f t="shared" si="1"/>
        <v>0</v>
      </c>
      <c r="AC18" s="390">
        <f t="shared" si="1"/>
        <v>5300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680">
        <f t="shared" si="1"/>
        <v>0</v>
      </c>
      <c r="AH18" s="690"/>
    </row>
    <row r="19" spans="1:34" ht="15" thickBot="1" x14ac:dyDescent="0.35">
      <c r="A19" s="374" t="s">
        <v>218</v>
      </c>
      <c r="B19" s="397">
        <f xml:space="preserve">
IF($A$4&lt;=12,SUMIFS('ON Data'!F:F,'ON Data'!$D:$D,$A$4,'ON Data'!$E:$E,9),SUMIFS('ON Data'!F:F,'ON Data'!$E:$E,9))</f>
        <v>40290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0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34066</v>
      </c>
      <c r="G19" s="399">
        <f xml:space="preserve">
IF($A$4&lt;=12,SUMIFS('ON Data'!L:L,'ON Data'!$D:$D,$A$4,'ON Data'!$E:$E,9),SUMIFS('ON Data'!L:L,'ON Data'!$E:$E,9))</f>
        <v>924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0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5300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683">
        <f xml:space="preserve">
IF($A$4&lt;=12,SUMIFS('ON Data'!AM:AM,'ON Data'!$D:$D,$A$4,'ON Data'!$E:$E,9),SUMIFS('ON Data'!AM:AM,'ON Data'!$E:$E,9))</f>
        <v>0</v>
      </c>
      <c r="AH19" s="690"/>
    </row>
    <row r="20" spans="1:34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5011066</v>
      </c>
      <c r="C20" s="401">
        <f xml:space="preserve">
IF($A$4&lt;=12,SUMIFS('ON Data'!G:G,'ON Data'!$D:$D,$A$4,'ON Data'!$E:$E,6),SUMIFS('ON Data'!G:G,'ON Data'!$E:$E,6))</f>
        <v>22105</v>
      </c>
      <c r="D20" s="402">
        <f xml:space="preserve">
IF($A$4&lt;=12,SUMIFS('ON Data'!H:H,'ON Data'!$D:$D,$A$4,'ON Data'!$E:$E,6),SUMIFS('ON Data'!H:H,'ON Data'!$E:$E,6))</f>
        <v>1511410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3293624</v>
      </c>
      <c r="G20" s="402">
        <f xml:space="preserve">
IF($A$4&lt;=12,SUMIFS('ON Data'!L:L,'ON Data'!$D:$D,$A$4,'ON Data'!$E:$E,6),SUMIFS('ON Data'!L:L,'ON Data'!$E:$E,6))</f>
        <v>37939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0</v>
      </c>
      <c r="AA20" s="402">
        <f xml:space="preserve">
IF($A$4&lt;=12,SUMIFS('ON Data'!AF:AF,'ON Data'!$D:$D,$A$4,'ON Data'!$E:$E,6),SUMIFS('ON Data'!AF:AF,'ON Data'!$E:$E,6))</f>
        <v>0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100883</v>
      </c>
      <c r="AD20" s="402">
        <f xml:space="preserve">
IF($A$4&lt;=12,SUMIFS('ON Data'!AI:AI,'ON Data'!$D:$D,$A$4,'ON Data'!$E:$E,6),SUMIFS('ON Data'!AI:AI,'ON Data'!$E:$E,6))</f>
        <v>0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684">
        <f xml:space="preserve">
IF($A$4&lt;=12,SUMIFS('ON Data'!AM:AM,'ON Data'!$D:$D,$A$4,'ON Data'!$E:$E,6),SUMIFS('ON Data'!AM:AM,'ON Data'!$E:$E,6))</f>
        <v>45105</v>
      </c>
      <c r="AH20" s="690"/>
    </row>
    <row r="21" spans="1:34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680">
        <f xml:space="preserve">
IF($A$4&lt;=12,SUMIFS('ON Data'!AM:AM,'ON Data'!$D:$D,$A$4,'ON Data'!$E:$E,12),SUMIFS('ON Data'!AM:AM,'ON Data'!$E:$E,12))</f>
        <v>0</v>
      </c>
      <c r="AH21" s="690"/>
    </row>
    <row r="22" spans="1:34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A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 t="str">
        <f t="shared" si="2"/>
        <v/>
      </c>
      <c r="N22" s="447" t="str">
        <f t="shared" si="2"/>
        <v/>
      </c>
      <c r="O22" s="447" t="str">
        <f t="shared" si="2"/>
        <v/>
      </c>
      <c r="P22" s="447" t="str">
        <f t="shared" si="2"/>
        <v/>
      </c>
      <c r="Q22" s="447" t="str">
        <f t="shared" si="2"/>
        <v/>
      </c>
      <c r="R22" s="447" t="str">
        <f t="shared" si="2"/>
        <v/>
      </c>
      <c r="S22" s="447" t="str">
        <f t="shared" si="2"/>
        <v/>
      </c>
      <c r="T22" s="447" t="str">
        <f t="shared" si="2"/>
        <v/>
      </c>
      <c r="U22" s="447" t="str">
        <f t="shared" si="2"/>
        <v/>
      </c>
      <c r="V22" s="447" t="str">
        <f t="shared" si="2"/>
        <v/>
      </c>
      <c r="W22" s="447" t="str">
        <f t="shared" si="2"/>
        <v/>
      </c>
      <c r="X22" s="447" t="str">
        <f t="shared" si="2"/>
        <v/>
      </c>
      <c r="Y22" s="447" t="str">
        <f t="shared" si="2"/>
        <v/>
      </c>
      <c r="Z22" s="447" t="str">
        <f t="shared" si="2"/>
        <v/>
      </c>
      <c r="AA22" s="447" t="str">
        <f t="shared" si="2"/>
        <v/>
      </c>
      <c r="AB22" s="447" t="str">
        <f t="shared" si="2"/>
        <v/>
      </c>
      <c r="AC22" s="447" t="str">
        <f t="shared" si="2"/>
        <v/>
      </c>
      <c r="AD22" s="447" t="str">
        <f t="shared" si="2"/>
        <v/>
      </c>
      <c r="AE22" s="447" t="str">
        <f t="shared" si="2"/>
        <v/>
      </c>
      <c r="AF22" s="447" t="str">
        <f t="shared" si="2"/>
        <v/>
      </c>
      <c r="AG22" s="685" t="str">
        <f t="shared" si="2"/>
        <v/>
      </c>
      <c r="AH22" s="690"/>
    </row>
    <row r="23" spans="1:34" ht="15" hidden="1" outlineLevel="1" thickBot="1" x14ac:dyDescent="0.35">
      <c r="A23" s="376" t="s">
        <v>56</v>
      </c>
      <c r="B23" s="391">
        <f xml:space="preserve">
IF(B21="","",B20-B21)</f>
        <v>5011066</v>
      </c>
      <c r="C23" s="392">
        <f t="shared" ref="C23:AG23" si="3" xml:space="preserve">
IF(C21="","",C20-C21)</f>
        <v>22105</v>
      </c>
      <c r="D23" s="393">
        <f t="shared" si="3"/>
        <v>1511410</v>
      </c>
      <c r="E23" s="393">
        <f t="shared" si="3"/>
        <v>0</v>
      </c>
      <c r="F23" s="393">
        <f t="shared" si="3"/>
        <v>3293624</v>
      </c>
      <c r="G23" s="393">
        <f t="shared" si="3"/>
        <v>37939</v>
      </c>
      <c r="H23" s="393">
        <f t="shared" si="3"/>
        <v>0</v>
      </c>
      <c r="I23" s="393">
        <f t="shared" si="3"/>
        <v>0</v>
      </c>
      <c r="J23" s="393">
        <f t="shared" si="3"/>
        <v>0</v>
      </c>
      <c r="K23" s="393">
        <f t="shared" si="3"/>
        <v>0</v>
      </c>
      <c r="L23" s="393">
        <f t="shared" si="3"/>
        <v>0</v>
      </c>
      <c r="M23" s="393">
        <f t="shared" si="3"/>
        <v>0</v>
      </c>
      <c r="N23" s="393">
        <f t="shared" si="3"/>
        <v>0</v>
      </c>
      <c r="O23" s="393">
        <f t="shared" si="3"/>
        <v>0</v>
      </c>
      <c r="P23" s="393">
        <f t="shared" si="3"/>
        <v>0</v>
      </c>
      <c r="Q23" s="393">
        <f t="shared" si="3"/>
        <v>0</v>
      </c>
      <c r="R23" s="393">
        <f t="shared" si="3"/>
        <v>0</v>
      </c>
      <c r="S23" s="393">
        <f t="shared" si="3"/>
        <v>0</v>
      </c>
      <c r="T23" s="393">
        <f t="shared" si="3"/>
        <v>0</v>
      </c>
      <c r="U23" s="393">
        <f t="shared" si="3"/>
        <v>0</v>
      </c>
      <c r="V23" s="393">
        <f t="shared" si="3"/>
        <v>0</v>
      </c>
      <c r="W23" s="393">
        <f t="shared" si="3"/>
        <v>0</v>
      </c>
      <c r="X23" s="393">
        <f t="shared" si="3"/>
        <v>0</v>
      </c>
      <c r="Y23" s="393">
        <f t="shared" si="3"/>
        <v>0</v>
      </c>
      <c r="Z23" s="393">
        <f t="shared" si="3"/>
        <v>0</v>
      </c>
      <c r="AA23" s="393">
        <f t="shared" si="3"/>
        <v>0</v>
      </c>
      <c r="AB23" s="393">
        <f t="shared" si="3"/>
        <v>0</v>
      </c>
      <c r="AC23" s="393">
        <f t="shared" si="3"/>
        <v>100883</v>
      </c>
      <c r="AD23" s="393">
        <f t="shared" si="3"/>
        <v>0</v>
      </c>
      <c r="AE23" s="393">
        <f t="shared" si="3"/>
        <v>0</v>
      </c>
      <c r="AF23" s="393">
        <f t="shared" si="3"/>
        <v>0</v>
      </c>
      <c r="AG23" s="681">
        <f t="shared" si="3"/>
        <v>45105</v>
      </c>
      <c r="AH23" s="690"/>
    </row>
    <row r="24" spans="1:34" x14ac:dyDescent="0.3">
      <c r="A24" s="370" t="s">
        <v>219</v>
      </c>
      <c r="B24" s="417" t="s">
        <v>3</v>
      </c>
      <c r="C24" s="691" t="s">
        <v>230</v>
      </c>
      <c r="D24" s="665"/>
      <c r="E24" s="666"/>
      <c r="F24" s="666" t="s">
        <v>231</v>
      </c>
      <c r="G24" s="666"/>
      <c r="H24" s="666"/>
      <c r="I24" s="666"/>
      <c r="J24" s="666"/>
      <c r="K24" s="666"/>
      <c r="L24" s="666"/>
      <c r="M24" s="666"/>
      <c r="N24" s="666"/>
      <c r="O24" s="666"/>
      <c r="P24" s="666"/>
      <c r="Q24" s="666"/>
      <c r="R24" s="666"/>
      <c r="S24" s="666"/>
      <c r="T24" s="666"/>
      <c r="U24" s="666"/>
      <c r="V24" s="666"/>
      <c r="W24" s="666"/>
      <c r="X24" s="666"/>
      <c r="Y24" s="666"/>
      <c r="Z24" s="666"/>
      <c r="AA24" s="666"/>
      <c r="AB24" s="666"/>
      <c r="AC24" s="666"/>
      <c r="AD24" s="666"/>
      <c r="AE24" s="666"/>
      <c r="AF24" s="666"/>
      <c r="AG24" s="686" t="s">
        <v>232</v>
      </c>
      <c r="AH24" s="690"/>
    </row>
    <row r="25" spans="1:34" x14ac:dyDescent="0.3">
      <c r="A25" s="371" t="s">
        <v>81</v>
      </c>
      <c r="B25" s="388">
        <f xml:space="preserve">
SUM(C25:AG25)</f>
        <v>4931</v>
      </c>
      <c r="C25" s="692">
        <f xml:space="preserve">
IF($A$4&lt;=12,SUMIFS('ON Data'!H:H,'ON Data'!$D:$D,$A$4,'ON Data'!$E:$E,10),SUMIFS('ON Data'!H:H,'ON Data'!$E:$E,10))</f>
        <v>0</v>
      </c>
      <c r="D25" s="667"/>
      <c r="E25" s="668"/>
      <c r="F25" s="668">
        <f xml:space="preserve">
IF($A$4&lt;=12,SUMIFS('ON Data'!K:K,'ON Data'!$D:$D,$A$4,'ON Data'!$E:$E,10),SUMIFS('ON Data'!K:K,'ON Data'!$E:$E,10))</f>
        <v>4931</v>
      </c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87">
        <f xml:space="preserve">
IF($A$4&lt;=12,SUMIFS('ON Data'!AM:AM,'ON Data'!$D:$D,$A$4,'ON Data'!$E:$E,10),SUMIFS('ON Data'!AM:AM,'ON Data'!$E:$E,10))</f>
        <v>0</v>
      </c>
      <c r="AH25" s="690"/>
    </row>
    <row r="26" spans="1:34" x14ac:dyDescent="0.3">
      <c r="A26" s="377" t="s">
        <v>229</v>
      </c>
      <c r="B26" s="397">
        <f xml:space="preserve">
SUM(C26:AG26)</f>
        <v>8939.6666666666661</v>
      </c>
      <c r="C26" s="692">
        <f xml:space="preserve">
IF($A$4&lt;=12,SUMIFS('ON Data'!H:H,'ON Data'!$D:$D,$A$4,'ON Data'!$E:$E,11),SUMIFS('ON Data'!H:H,'ON Data'!$E:$E,11))</f>
        <v>5606.333333333333</v>
      </c>
      <c r="D26" s="667"/>
      <c r="E26" s="668"/>
      <c r="F26" s="669">
        <f xml:space="preserve">
IF($A$4&lt;=12,SUMIFS('ON Data'!K:K,'ON Data'!$D:$D,$A$4,'ON Data'!$E:$E,11),SUMIFS('ON Data'!K:K,'ON Data'!$E:$E,11))</f>
        <v>3333.3333333333335</v>
      </c>
      <c r="G26" s="669"/>
      <c r="H26" s="669"/>
      <c r="I26" s="669"/>
      <c r="J26" s="669"/>
      <c r="K26" s="669"/>
      <c r="L26" s="669"/>
      <c r="M26" s="669"/>
      <c r="N26" s="669"/>
      <c r="O26" s="669"/>
      <c r="P26" s="669"/>
      <c r="Q26" s="669"/>
      <c r="R26" s="669"/>
      <c r="S26" s="669"/>
      <c r="T26" s="669"/>
      <c r="U26" s="669"/>
      <c r="V26" s="669"/>
      <c r="W26" s="669"/>
      <c r="X26" s="669"/>
      <c r="Y26" s="669"/>
      <c r="Z26" s="669"/>
      <c r="AA26" s="669"/>
      <c r="AB26" s="669"/>
      <c r="AC26" s="669"/>
      <c r="AD26" s="669"/>
      <c r="AE26" s="669"/>
      <c r="AF26" s="669"/>
      <c r="AG26" s="687">
        <f xml:space="preserve">
IF($A$4&lt;=12,SUMIFS('ON Data'!AM:AM,'ON Data'!$D:$D,$A$4,'ON Data'!$E:$E,11),SUMIFS('ON Data'!AM:AM,'ON Data'!$E:$E,11))</f>
        <v>0</v>
      </c>
      <c r="AH26" s="690"/>
    </row>
    <row r="27" spans="1:34" x14ac:dyDescent="0.3">
      <c r="A27" s="377" t="s">
        <v>83</v>
      </c>
      <c r="B27" s="418">
        <f xml:space="preserve">
IF(B26=0,0,B25/B26)</f>
        <v>0.55158656176591225</v>
      </c>
      <c r="C27" s="693">
        <f xml:space="preserve">
IF(C26=0,0,C25/C26)</f>
        <v>0</v>
      </c>
      <c r="D27" s="670"/>
      <c r="E27" s="671"/>
      <c r="F27" s="671">
        <f xml:space="preserve">
IF(F26=0,0,F25/F26)</f>
        <v>1.4792999999999998</v>
      </c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  <c r="S27" s="671"/>
      <c r="T27" s="671"/>
      <c r="U27" s="671"/>
      <c r="V27" s="671"/>
      <c r="W27" s="671"/>
      <c r="X27" s="671"/>
      <c r="Y27" s="671"/>
      <c r="Z27" s="671"/>
      <c r="AA27" s="671"/>
      <c r="AB27" s="671"/>
      <c r="AC27" s="671"/>
      <c r="AD27" s="671"/>
      <c r="AE27" s="671"/>
      <c r="AF27" s="671"/>
      <c r="AG27" s="688">
        <f xml:space="preserve">
IF(AG26=0,0,AG25/AG26)</f>
        <v>0</v>
      </c>
      <c r="AH27" s="690"/>
    </row>
    <row r="28" spans="1:34" ht="15" thickBot="1" x14ac:dyDescent="0.35">
      <c r="A28" s="377" t="s">
        <v>228</v>
      </c>
      <c r="B28" s="397">
        <f xml:space="preserve">
SUM(C28:AG28)</f>
        <v>4008.6666666666665</v>
      </c>
      <c r="C28" s="694">
        <f xml:space="preserve">
C26-C25</f>
        <v>5606.333333333333</v>
      </c>
      <c r="D28" s="672"/>
      <c r="E28" s="673"/>
      <c r="F28" s="673">
        <f xml:space="preserve">
F26-F25</f>
        <v>-1597.6666666666665</v>
      </c>
      <c r="G28" s="673"/>
      <c r="H28" s="673"/>
      <c r="I28" s="673"/>
      <c r="J28" s="673"/>
      <c r="K28" s="673"/>
      <c r="L28" s="673"/>
      <c r="M28" s="673"/>
      <c r="N28" s="673"/>
      <c r="O28" s="673"/>
      <c r="P28" s="673"/>
      <c r="Q28" s="673"/>
      <c r="R28" s="673"/>
      <c r="S28" s="673"/>
      <c r="T28" s="673"/>
      <c r="U28" s="673"/>
      <c r="V28" s="673"/>
      <c r="W28" s="673"/>
      <c r="X28" s="673"/>
      <c r="Y28" s="673"/>
      <c r="Z28" s="673"/>
      <c r="AA28" s="673"/>
      <c r="AB28" s="673"/>
      <c r="AC28" s="673"/>
      <c r="AD28" s="673"/>
      <c r="AE28" s="673"/>
      <c r="AF28" s="673"/>
      <c r="AG28" s="689">
        <f xml:space="preserve">
AG26-AG25</f>
        <v>0</v>
      </c>
      <c r="AH28" s="690"/>
    </row>
    <row r="29" spans="1:34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8"/>
      <c r="AF29" s="378"/>
      <c r="AG29" s="378"/>
    </row>
    <row r="30" spans="1:34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59"/>
    </row>
    <row r="31" spans="1:34" x14ac:dyDescent="0.3">
      <c r="A31" s="211" t="s">
        <v>226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59"/>
    </row>
    <row r="32" spans="1:34" ht="14.4" customHeight="1" x14ac:dyDescent="0.3">
      <c r="A32" s="414" t="s">
        <v>223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</row>
    <row r="33" spans="1:1" x14ac:dyDescent="0.3">
      <c r="A33" s="416" t="s">
        <v>233</v>
      </c>
    </row>
    <row r="34" spans="1:1" x14ac:dyDescent="0.3">
      <c r="A34" s="416" t="s">
        <v>234</v>
      </c>
    </row>
    <row r="35" spans="1:1" x14ac:dyDescent="0.3">
      <c r="A35" s="416" t="s">
        <v>235</v>
      </c>
    </row>
    <row r="36" spans="1:1" x14ac:dyDescent="0.3">
      <c r="A36" s="416" t="s">
        <v>236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1" priority="4" operator="greaterThan">
      <formula>1</formula>
    </cfRule>
  </conditionalFormatting>
  <conditionalFormatting sqref="C28 AG28 F28">
    <cfRule type="cellIs" dxfId="20" priority="3" operator="lessThan">
      <formula>0</formula>
    </cfRule>
  </conditionalFormatting>
  <conditionalFormatting sqref="B22:AG22">
    <cfRule type="cellIs" dxfId="19" priority="2" operator="greaterThan">
      <formula>1</formula>
    </cfRule>
  </conditionalFormatting>
  <conditionalFormatting sqref="B23:AG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2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0" x14ac:dyDescent="0.3">
      <c r="A1" s="357" t="s">
        <v>1312</v>
      </c>
    </row>
    <row r="2" spans="1:40" x14ac:dyDescent="0.3">
      <c r="A2" s="361" t="s">
        <v>305</v>
      </c>
    </row>
    <row r="3" spans="1:40" x14ac:dyDescent="0.3">
      <c r="A3" s="357" t="s">
        <v>193</v>
      </c>
      <c r="B3" s="382">
        <v>2015</v>
      </c>
      <c r="D3" s="358">
        <f>MAX(D5:D1048576)</f>
        <v>2</v>
      </c>
      <c r="F3" s="358">
        <f>SUMIF($E5:$E1048576,"&lt;10",F5:F1048576)</f>
        <v>5072025.38</v>
      </c>
      <c r="G3" s="358">
        <f t="shared" ref="G3:AN3" si="0">SUMIF($E5:$E1048576,"&lt;10",G5:G1048576)</f>
        <v>22177.5</v>
      </c>
      <c r="H3" s="358">
        <f t="shared" si="0"/>
        <v>1515034.88</v>
      </c>
      <c r="I3" s="358">
        <f t="shared" si="0"/>
        <v>0</v>
      </c>
      <c r="J3" s="358">
        <f t="shared" si="0"/>
        <v>0</v>
      </c>
      <c r="K3" s="358">
        <f t="shared" si="0"/>
        <v>3343222.5</v>
      </c>
      <c r="L3" s="358">
        <f t="shared" si="0"/>
        <v>39060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0</v>
      </c>
      <c r="AF3" s="358">
        <f t="shared" si="0"/>
        <v>0</v>
      </c>
      <c r="AG3" s="358">
        <f t="shared" si="0"/>
        <v>0</v>
      </c>
      <c r="AH3" s="358">
        <f t="shared" si="0"/>
        <v>107111.5</v>
      </c>
      <c r="AI3" s="358">
        <f t="shared" si="0"/>
        <v>0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45419</v>
      </c>
      <c r="AN3" s="358">
        <f t="shared" si="0"/>
        <v>0</v>
      </c>
    </row>
    <row r="4" spans="1:40" x14ac:dyDescent="0.3">
      <c r="A4" s="357" t="s">
        <v>194</v>
      </c>
      <c r="B4" s="382">
        <v>1</v>
      </c>
      <c r="C4" s="359" t="s">
        <v>5</v>
      </c>
      <c r="D4" s="360" t="s">
        <v>55</v>
      </c>
      <c r="E4" s="360" t="s">
        <v>188</v>
      </c>
      <c r="F4" s="360" t="s">
        <v>3</v>
      </c>
      <c r="G4" s="360" t="s">
        <v>189</v>
      </c>
      <c r="H4" s="360" t="s">
        <v>190</v>
      </c>
      <c r="I4" s="360" t="s">
        <v>191</v>
      </c>
      <c r="J4" s="360" t="s">
        <v>192</v>
      </c>
      <c r="K4" s="360">
        <v>305</v>
      </c>
      <c r="L4" s="360">
        <v>306</v>
      </c>
      <c r="M4" s="360">
        <v>408</v>
      </c>
      <c r="N4" s="360">
        <v>409</v>
      </c>
      <c r="O4" s="360">
        <v>410</v>
      </c>
      <c r="P4" s="360">
        <v>415</v>
      </c>
      <c r="Q4" s="360">
        <v>416</v>
      </c>
      <c r="R4" s="360">
        <v>418</v>
      </c>
      <c r="S4" s="360">
        <v>419</v>
      </c>
      <c r="T4" s="360">
        <v>420</v>
      </c>
      <c r="U4" s="360">
        <v>421</v>
      </c>
      <c r="V4" s="360">
        <v>522</v>
      </c>
      <c r="W4" s="360">
        <v>523</v>
      </c>
      <c r="X4" s="360">
        <v>524</v>
      </c>
      <c r="Y4" s="360">
        <v>525</v>
      </c>
      <c r="Z4" s="360">
        <v>526</v>
      </c>
      <c r="AA4" s="360">
        <v>527</v>
      </c>
      <c r="AB4" s="360">
        <v>528</v>
      </c>
      <c r="AC4" s="360">
        <v>629</v>
      </c>
      <c r="AD4" s="360">
        <v>630</v>
      </c>
      <c r="AE4" s="360">
        <v>636</v>
      </c>
      <c r="AF4" s="360">
        <v>637</v>
      </c>
      <c r="AG4" s="360">
        <v>640</v>
      </c>
      <c r="AH4" s="360">
        <v>642</v>
      </c>
      <c r="AI4" s="360">
        <v>743</v>
      </c>
      <c r="AJ4" s="360">
        <v>745</v>
      </c>
      <c r="AK4" s="360">
        <v>746</v>
      </c>
      <c r="AL4" s="360">
        <v>747</v>
      </c>
      <c r="AM4" s="360">
        <v>930</v>
      </c>
      <c r="AN4" s="360">
        <v>940</v>
      </c>
    </row>
    <row r="5" spans="1:40" x14ac:dyDescent="0.3">
      <c r="A5" s="357" t="s">
        <v>195</v>
      </c>
      <c r="B5" s="382">
        <v>2</v>
      </c>
      <c r="C5" s="357">
        <v>9</v>
      </c>
      <c r="D5" s="357">
        <v>1</v>
      </c>
      <c r="E5" s="357">
        <v>1</v>
      </c>
      <c r="F5" s="357">
        <v>66</v>
      </c>
      <c r="G5" s="357">
        <v>0</v>
      </c>
      <c r="H5" s="357">
        <v>9.5</v>
      </c>
      <c r="I5" s="357">
        <v>0</v>
      </c>
      <c r="J5" s="357">
        <v>0</v>
      </c>
      <c r="K5" s="357">
        <v>50</v>
      </c>
      <c r="L5" s="357">
        <v>1.5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0</v>
      </c>
      <c r="AF5" s="357">
        <v>0</v>
      </c>
      <c r="AG5" s="357">
        <v>0</v>
      </c>
      <c r="AH5" s="357">
        <v>4</v>
      </c>
      <c r="AI5" s="357">
        <v>0</v>
      </c>
      <c r="AJ5" s="357">
        <v>0</v>
      </c>
      <c r="AK5" s="357">
        <v>0</v>
      </c>
      <c r="AL5" s="357">
        <v>0</v>
      </c>
      <c r="AM5" s="357">
        <v>1</v>
      </c>
      <c r="AN5" s="357">
        <v>0</v>
      </c>
    </row>
    <row r="6" spans="1:40" x14ac:dyDescent="0.3">
      <c r="A6" s="357" t="s">
        <v>196</v>
      </c>
      <c r="B6" s="382">
        <v>3</v>
      </c>
      <c r="C6" s="357">
        <v>9</v>
      </c>
      <c r="D6" s="357">
        <v>1</v>
      </c>
      <c r="E6" s="357">
        <v>2</v>
      </c>
      <c r="F6" s="357">
        <v>10348.5</v>
      </c>
      <c r="G6" s="357">
        <v>0</v>
      </c>
      <c r="H6" s="357">
        <v>1560</v>
      </c>
      <c r="I6" s="357">
        <v>0</v>
      </c>
      <c r="J6" s="357">
        <v>0</v>
      </c>
      <c r="K6" s="357">
        <v>8016.5</v>
      </c>
      <c r="L6" s="357">
        <v>84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0</v>
      </c>
      <c r="AF6" s="357">
        <v>0</v>
      </c>
      <c r="AG6" s="357">
        <v>0</v>
      </c>
      <c r="AH6" s="357">
        <v>520</v>
      </c>
      <c r="AI6" s="357">
        <v>0</v>
      </c>
      <c r="AJ6" s="357">
        <v>0</v>
      </c>
      <c r="AK6" s="357">
        <v>0</v>
      </c>
      <c r="AL6" s="357">
        <v>0</v>
      </c>
      <c r="AM6" s="357">
        <v>168</v>
      </c>
      <c r="AN6" s="357">
        <v>0</v>
      </c>
    </row>
    <row r="7" spans="1:40" x14ac:dyDescent="0.3">
      <c r="A7" s="357" t="s">
        <v>197</v>
      </c>
      <c r="B7" s="382">
        <v>4</v>
      </c>
      <c r="C7" s="357">
        <v>9</v>
      </c>
      <c r="D7" s="357">
        <v>1</v>
      </c>
      <c r="E7" s="357">
        <v>3</v>
      </c>
      <c r="F7" s="357">
        <v>233</v>
      </c>
      <c r="G7" s="357">
        <v>0</v>
      </c>
      <c r="H7" s="357">
        <v>20</v>
      </c>
      <c r="I7" s="357">
        <v>0</v>
      </c>
      <c r="J7" s="357">
        <v>0</v>
      </c>
      <c r="K7" s="357">
        <v>193</v>
      </c>
      <c r="L7" s="357">
        <v>20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</row>
    <row r="8" spans="1:40" x14ac:dyDescent="0.3">
      <c r="A8" s="357" t="s">
        <v>198</v>
      </c>
      <c r="B8" s="382">
        <v>5</v>
      </c>
      <c r="C8" s="357">
        <v>9</v>
      </c>
      <c r="D8" s="357">
        <v>1</v>
      </c>
      <c r="E8" s="357">
        <v>4</v>
      </c>
      <c r="F8" s="357">
        <v>314.5</v>
      </c>
      <c r="G8" s="357">
        <v>0</v>
      </c>
      <c r="H8" s="357">
        <v>268</v>
      </c>
      <c r="I8" s="357">
        <v>0</v>
      </c>
      <c r="J8" s="357">
        <v>0</v>
      </c>
      <c r="K8" s="357">
        <v>16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30.5</v>
      </c>
      <c r="AI8" s="357">
        <v>0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</row>
    <row r="9" spans="1:40" x14ac:dyDescent="0.3">
      <c r="A9" s="357" t="s">
        <v>199</v>
      </c>
      <c r="B9" s="382">
        <v>6</v>
      </c>
      <c r="C9" s="357">
        <v>9</v>
      </c>
      <c r="D9" s="357">
        <v>1</v>
      </c>
      <c r="E9" s="357">
        <v>5</v>
      </c>
      <c r="F9" s="357">
        <v>46</v>
      </c>
      <c r="G9" s="357">
        <v>46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0</v>
      </c>
      <c r="AG9" s="357">
        <v>0</v>
      </c>
      <c r="AH9" s="357">
        <v>0</v>
      </c>
      <c r="AI9" s="357">
        <v>0</v>
      </c>
      <c r="AJ9" s="357">
        <v>0</v>
      </c>
      <c r="AK9" s="357">
        <v>0</v>
      </c>
      <c r="AL9" s="357">
        <v>0</v>
      </c>
      <c r="AM9" s="357">
        <v>0</v>
      </c>
      <c r="AN9" s="357">
        <v>0</v>
      </c>
    </row>
    <row r="10" spans="1:40" x14ac:dyDescent="0.3">
      <c r="A10" s="357" t="s">
        <v>200</v>
      </c>
      <c r="B10" s="382">
        <v>7</v>
      </c>
      <c r="C10" s="357">
        <v>9</v>
      </c>
      <c r="D10" s="357">
        <v>1</v>
      </c>
      <c r="E10" s="357">
        <v>6</v>
      </c>
      <c r="F10" s="357">
        <v>2489841</v>
      </c>
      <c r="G10" s="357">
        <v>11615</v>
      </c>
      <c r="H10" s="357">
        <v>767915</v>
      </c>
      <c r="I10" s="357">
        <v>0</v>
      </c>
      <c r="J10" s="357">
        <v>0</v>
      </c>
      <c r="K10" s="357">
        <v>1611408</v>
      </c>
      <c r="L10" s="357">
        <v>18458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0</v>
      </c>
      <c r="AF10" s="357">
        <v>0</v>
      </c>
      <c r="AG10" s="357">
        <v>0</v>
      </c>
      <c r="AH10" s="357">
        <v>57865</v>
      </c>
      <c r="AI10" s="357">
        <v>0</v>
      </c>
      <c r="AJ10" s="357">
        <v>0</v>
      </c>
      <c r="AK10" s="357">
        <v>0</v>
      </c>
      <c r="AL10" s="357">
        <v>0</v>
      </c>
      <c r="AM10" s="357">
        <v>22580</v>
      </c>
      <c r="AN10" s="357">
        <v>0</v>
      </c>
    </row>
    <row r="11" spans="1:40" x14ac:dyDescent="0.3">
      <c r="A11" s="357" t="s">
        <v>201</v>
      </c>
      <c r="B11" s="382">
        <v>8</v>
      </c>
      <c r="C11" s="357">
        <v>9</v>
      </c>
      <c r="D11" s="357">
        <v>1</v>
      </c>
      <c r="E11" s="357">
        <v>9</v>
      </c>
      <c r="F11" s="357">
        <v>7224</v>
      </c>
      <c r="G11" s="357">
        <v>0</v>
      </c>
      <c r="H11" s="357">
        <v>0</v>
      </c>
      <c r="I11" s="357">
        <v>0</v>
      </c>
      <c r="J11" s="357">
        <v>0</v>
      </c>
      <c r="K11" s="357">
        <v>6800</v>
      </c>
      <c r="L11" s="357">
        <v>424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</row>
    <row r="12" spans="1:40" x14ac:dyDescent="0.3">
      <c r="A12" s="357" t="s">
        <v>202</v>
      </c>
      <c r="B12" s="382">
        <v>9</v>
      </c>
      <c r="C12" s="357">
        <v>9</v>
      </c>
      <c r="D12" s="357">
        <v>1</v>
      </c>
      <c r="E12" s="357">
        <v>10</v>
      </c>
      <c r="F12" s="357">
        <v>3931</v>
      </c>
      <c r="G12" s="357">
        <v>0</v>
      </c>
      <c r="H12" s="357">
        <v>0</v>
      </c>
      <c r="I12" s="357">
        <v>0</v>
      </c>
      <c r="J12" s="357">
        <v>0</v>
      </c>
      <c r="K12" s="357">
        <v>3931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0</v>
      </c>
      <c r="AG12" s="357">
        <v>0</v>
      </c>
      <c r="AH12" s="357">
        <v>0</v>
      </c>
      <c r="AI12" s="357">
        <v>0</v>
      </c>
      <c r="AJ12" s="357">
        <v>0</v>
      </c>
      <c r="AK12" s="357">
        <v>0</v>
      </c>
      <c r="AL12" s="357">
        <v>0</v>
      </c>
      <c r="AM12" s="357">
        <v>0</v>
      </c>
      <c r="AN12" s="357">
        <v>0</v>
      </c>
    </row>
    <row r="13" spans="1:40" x14ac:dyDescent="0.3">
      <c r="A13" s="357" t="s">
        <v>203</v>
      </c>
      <c r="B13" s="382">
        <v>10</v>
      </c>
      <c r="C13" s="357">
        <v>9</v>
      </c>
      <c r="D13" s="357">
        <v>1</v>
      </c>
      <c r="E13" s="357">
        <v>11</v>
      </c>
      <c r="F13" s="357">
        <v>4469.833333333333</v>
      </c>
      <c r="G13" s="357">
        <v>0</v>
      </c>
      <c r="H13" s="357">
        <v>2803.1666666666665</v>
      </c>
      <c r="I13" s="357">
        <v>0</v>
      </c>
      <c r="J13" s="357">
        <v>0</v>
      </c>
      <c r="K13" s="357">
        <v>1666.6666666666667</v>
      </c>
      <c r="L13" s="357">
        <v>0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0</v>
      </c>
      <c r="AG13" s="357">
        <v>0</v>
      </c>
      <c r="AH13" s="357">
        <v>0</v>
      </c>
      <c r="AI13" s="357">
        <v>0</v>
      </c>
      <c r="AJ13" s="357">
        <v>0</v>
      </c>
      <c r="AK13" s="357">
        <v>0</v>
      </c>
      <c r="AL13" s="357">
        <v>0</v>
      </c>
      <c r="AM13" s="357">
        <v>0</v>
      </c>
      <c r="AN13" s="357">
        <v>0</v>
      </c>
    </row>
    <row r="14" spans="1:40" x14ac:dyDescent="0.3">
      <c r="A14" s="357" t="s">
        <v>204</v>
      </c>
      <c r="B14" s="382">
        <v>11</v>
      </c>
      <c r="C14" s="357">
        <v>9</v>
      </c>
      <c r="D14" s="357">
        <v>2</v>
      </c>
      <c r="E14" s="357">
        <v>1</v>
      </c>
      <c r="F14" s="357">
        <v>67.25</v>
      </c>
      <c r="G14" s="357">
        <v>0</v>
      </c>
      <c r="H14" s="357">
        <v>9.5</v>
      </c>
      <c r="I14" s="357">
        <v>0</v>
      </c>
      <c r="J14" s="357">
        <v>0</v>
      </c>
      <c r="K14" s="357">
        <v>51.25</v>
      </c>
      <c r="L14" s="357">
        <v>1.5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0</v>
      </c>
      <c r="AF14" s="357">
        <v>0</v>
      </c>
      <c r="AG14" s="357">
        <v>0</v>
      </c>
      <c r="AH14" s="357">
        <v>4</v>
      </c>
      <c r="AI14" s="357">
        <v>0</v>
      </c>
      <c r="AJ14" s="357">
        <v>0</v>
      </c>
      <c r="AK14" s="357">
        <v>0</v>
      </c>
      <c r="AL14" s="357">
        <v>0</v>
      </c>
      <c r="AM14" s="357">
        <v>1</v>
      </c>
      <c r="AN14" s="357">
        <v>0</v>
      </c>
    </row>
    <row r="15" spans="1:40" x14ac:dyDescent="0.3">
      <c r="A15" s="357" t="s">
        <v>205</v>
      </c>
      <c r="B15" s="382">
        <v>12</v>
      </c>
      <c r="C15" s="357">
        <v>9</v>
      </c>
      <c r="D15" s="357">
        <v>2</v>
      </c>
      <c r="E15" s="357">
        <v>2</v>
      </c>
      <c r="F15" s="357">
        <v>8527.5</v>
      </c>
      <c r="G15" s="357">
        <v>0</v>
      </c>
      <c r="H15" s="357">
        <v>1480</v>
      </c>
      <c r="I15" s="357">
        <v>0</v>
      </c>
      <c r="J15" s="357">
        <v>0</v>
      </c>
      <c r="K15" s="357">
        <v>6523.5</v>
      </c>
      <c r="L15" s="357">
        <v>60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0</v>
      </c>
      <c r="AF15" s="357">
        <v>0</v>
      </c>
      <c r="AG15" s="357">
        <v>0</v>
      </c>
      <c r="AH15" s="357">
        <v>320</v>
      </c>
      <c r="AI15" s="357">
        <v>0</v>
      </c>
      <c r="AJ15" s="357">
        <v>0</v>
      </c>
      <c r="AK15" s="357">
        <v>0</v>
      </c>
      <c r="AL15" s="357">
        <v>0</v>
      </c>
      <c r="AM15" s="357">
        <v>144</v>
      </c>
      <c r="AN15" s="357">
        <v>0</v>
      </c>
    </row>
    <row r="16" spans="1:40" x14ac:dyDescent="0.3">
      <c r="A16" s="357" t="s">
        <v>193</v>
      </c>
      <c r="B16" s="382">
        <v>2015</v>
      </c>
      <c r="C16" s="357">
        <v>9</v>
      </c>
      <c r="D16" s="357">
        <v>2</v>
      </c>
      <c r="E16" s="357">
        <v>3</v>
      </c>
      <c r="F16" s="357">
        <v>489.5</v>
      </c>
      <c r="G16" s="357">
        <v>0</v>
      </c>
      <c r="H16" s="357">
        <v>11.5</v>
      </c>
      <c r="I16" s="357">
        <v>0</v>
      </c>
      <c r="J16" s="357">
        <v>0</v>
      </c>
      <c r="K16" s="357">
        <v>448</v>
      </c>
      <c r="L16" s="357">
        <v>30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0</v>
      </c>
      <c r="AG16" s="357">
        <v>0</v>
      </c>
      <c r="AH16" s="357">
        <v>0</v>
      </c>
      <c r="AI16" s="357">
        <v>0</v>
      </c>
      <c r="AJ16" s="357">
        <v>0</v>
      </c>
      <c r="AK16" s="357">
        <v>0</v>
      </c>
      <c r="AL16" s="357">
        <v>0</v>
      </c>
      <c r="AM16" s="357">
        <v>0</v>
      </c>
      <c r="AN16" s="357">
        <v>0</v>
      </c>
    </row>
    <row r="17" spans="3:40" x14ac:dyDescent="0.3">
      <c r="C17" s="357">
        <v>9</v>
      </c>
      <c r="D17" s="357">
        <v>2</v>
      </c>
      <c r="E17" s="357">
        <v>4</v>
      </c>
      <c r="F17" s="357">
        <v>550.63</v>
      </c>
      <c r="G17" s="357">
        <v>0</v>
      </c>
      <c r="H17" s="357">
        <v>266.38</v>
      </c>
      <c r="I17" s="357">
        <v>0</v>
      </c>
      <c r="J17" s="357">
        <v>0</v>
      </c>
      <c r="K17" s="357">
        <v>234.25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0</v>
      </c>
      <c r="AF17" s="357">
        <v>0</v>
      </c>
      <c r="AG17" s="357">
        <v>0</v>
      </c>
      <c r="AH17" s="357">
        <v>50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</row>
    <row r="18" spans="3:40" x14ac:dyDescent="0.3">
      <c r="C18" s="357">
        <v>9</v>
      </c>
      <c r="D18" s="357">
        <v>2</v>
      </c>
      <c r="E18" s="357">
        <v>5</v>
      </c>
      <c r="F18" s="357">
        <v>26.5</v>
      </c>
      <c r="G18" s="357">
        <v>26.5</v>
      </c>
      <c r="H18" s="357">
        <v>0</v>
      </c>
      <c r="I18" s="357">
        <v>0</v>
      </c>
      <c r="J18" s="357">
        <v>0</v>
      </c>
      <c r="K18" s="357">
        <v>0</v>
      </c>
      <c r="L18" s="357">
        <v>0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0</v>
      </c>
      <c r="AG18" s="357">
        <v>0</v>
      </c>
      <c r="AH18" s="357">
        <v>0</v>
      </c>
      <c r="AI18" s="357">
        <v>0</v>
      </c>
      <c r="AJ18" s="357">
        <v>0</v>
      </c>
      <c r="AK18" s="357">
        <v>0</v>
      </c>
      <c r="AL18" s="357">
        <v>0</v>
      </c>
      <c r="AM18" s="357">
        <v>0</v>
      </c>
      <c r="AN18" s="357">
        <v>0</v>
      </c>
    </row>
    <row r="19" spans="3:40" x14ac:dyDescent="0.3">
      <c r="C19" s="357">
        <v>9</v>
      </c>
      <c r="D19" s="357">
        <v>2</v>
      </c>
      <c r="E19" s="357">
        <v>6</v>
      </c>
      <c r="F19" s="357">
        <v>2521225</v>
      </c>
      <c r="G19" s="357">
        <v>10490</v>
      </c>
      <c r="H19" s="357">
        <v>743495</v>
      </c>
      <c r="I19" s="357">
        <v>0</v>
      </c>
      <c r="J19" s="357">
        <v>0</v>
      </c>
      <c r="K19" s="357">
        <v>1682216</v>
      </c>
      <c r="L19" s="357">
        <v>19481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0</v>
      </c>
      <c r="AF19" s="357">
        <v>0</v>
      </c>
      <c r="AG19" s="357">
        <v>0</v>
      </c>
      <c r="AH19" s="357">
        <v>43018</v>
      </c>
      <c r="AI19" s="357">
        <v>0</v>
      </c>
      <c r="AJ19" s="357">
        <v>0</v>
      </c>
      <c r="AK19" s="357">
        <v>0</v>
      </c>
      <c r="AL19" s="357">
        <v>0</v>
      </c>
      <c r="AM19" s="357">
        <v>22525</v>
      </c>
      <c r="AN19" s="357">
        <v>0</v>
      </c>
    </row>
    <row r="20" spans="3:40" x14ac:dyDescent="0.3">
      <c r="C20" s="357">
        <v>9</v>
      </c>
      <c r="D20" s="357">
        <v>2</v>
      </c>
      <c r="E20" s="357">
        <v>9</v>
      </c>
      <c r="F20" s="357">
        <v>33066</v>
      </c>
      <c r="G20" s="357">
        <v>0</v>
      </c>
      <c r="H20" s="357">
        <v>0</v>
      </c>
      <c r="I20" s="357">
        <v>0</v>
      </c>
      <c r="J20" s="357">
        <v>0</v>
      </c>
      <c r="K20" s="357">
        <v>27266</v>
      </c>
      <c r="L20" s="357">
        <v>500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5300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</row>
    <row r="21" spans="3:40" x14ac:dyDescent="0.3">
      <c r="C21" s="357">
        <v>9</v>
      </c>
      <c r="D21" s="357">
        <v>2</v>
      </c>
      <c r="E21" s="357">
        <v>10</v>
      </c>
      <c r="F21" s="357">
        <v>1000</v>
      </c>
      <c r="G21" s="357">
        <v>0</v>
      </c>
      <c r="H21" s="357">
        <v>0</v>
      </c>
      <c r="I21" s="357">
        <v>0</v>
      </c>
      <c r="J21" s="357">
        <v>0</v>
      </c>
      <c r="K21" s="357">
        <v>1000</v>
      </c>
      <c r="L21" s="357">
        <v>0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0</v>
      </c>
      <c r="AG21" s="357">
        <v>0</v>
      </c>
      <c r="AH21" s="357">
        <v>0</v>
      </c>
      <c r="AI21" s="357">
        <v>0</v>
      </c>
      <c r="AJ21" s="357">
        <v>0</v>
      </c>
      <c r="AK21" s="357">
        <v>0</v>
      </c>
      <c r="AL21" s="357">
        <v>0</v>
      </c>
      <c r="AM21" s="357">
        <v>0</v>
      </c>
      <c r="AN21" s="357">
        <v>0</v>
      </c>
    </row>
    <row r="22" spans="3:40" x14ac:dyDescent="0.3">
      <c r="C22" s="357">
        <v>9</v>
      </c>
      <c r="D22" s="357">
        <v>2</v>
      </c>
      <c r="E22" s="357">
        <v>11</v>
      </c>
      <c r="F22" s="357">
        <v>4469.833333333333</v>
      </c>
      <c r="G22" s="357">
        <v>0</v>
      </c>
      <c r="H22" s="357">
        <v>2803.1666666666665</v>
      </c>
      <c r="I22" s="357">
        <v>0</v>
      </c>
      <c r="J22" s="357">
        <v>0</v>
      </c>
      <c r="K22" s="357">
        <v>1666.6666666666667</v>
      </c>
      <c r="L22" s="357">
        <v>0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0</v>
      </c>
      <c r="AF22" s="357">
        <v>0</v>
      </c>
      <c r="AG22" s="357">
        <v>0</v>
      </c>
      <c r="AH22" s="357">
        <v>0</v>
      </c>
      <c r="AI22" s="357">
        <v>0</v>
      </c>
      <c r="AJ22" s="357">
        <v>0</v>
      </c>
      <c r="AK22" s="357">
        <v>0</v>
      </c>
      <c r="AL22" s="357">
        <v>0</v>
      </c>
      <c r="AM22" s="357">
        <v>0</v>
      </c>
      <c r="AN22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11158045</v>
      </c>
      <c r="C3" s="330">
        <f t="shared" ref="C3:R3" si="0">SUBTOTAL(9,C6:C1048576)</f>
        <v>1</v>
      </c>
      <c r="D3" s="330">
        <f t="shared" si="0"/>
        <v>9848065</v>
      </c>
      <c r="E3" s="330">
        <f t="shared" si="0"/>
        <v>0.8825977131298538</v>
      </c>
      <c r="F3" s="330">
        <f t="shared" si="0"/>
        <v>8779168</v>
      </c>
      <c r="G3" s="333">
        <f>IF(B3&lt;&gt;0,F3/B3,"")</f>
        <v>0.78680163057238073</v>
      </c>
      <c r="H3" s="329">
        <f t="shared" si="0"/>
        <v>95768.930000000008</v>
      </c>
      <c r="I3" s="330">
        <f t="shared" si="0"/>
        <v>1</v>
      </c>
      <c r="J3" s="330">
        <f t="shared" si="0"/>
        <v>128662.54</v>
      </c>
      <c r="K3" s="330">
        <f t="shared" si="0"/>
        <v>1.3434684923387992</v>
      </c>
      <c r="L3" s="330">
        <f t="shared" si="0"/>
        <v>79136.510000000009</v>
      </c>
      <c r="M3" s="331">
        <f>IF(H3&lt;&gt;0,L3/H3,"")</f>
        <v>0.82632759914932752</v>
      </c>
      <c r="N3" s="332">
        <f t="shared" si="0"/>
        <v>0</v>
      </c>
      <c r="O3" s="330">
        <f t="shared" si="0"/>
        <v>0</v>
      </c>
      <c r="P3" s="330">
        <f t="shared" si="0"/>
        <v>0</v>
      </c>
      <c r="Q3" s="330">
        <f t="shared" si="0"/>
        <v>0</v>
      </c>
      <c r="R3" s="330">
        <f t="shared" si="0"/>
        <v>0</v>
      </c>
      <c r="S3" s="331" t="str">
        <f>IF(N3&lt;&gt;0,R3/N3,"")</f>
        <v/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5"/>
      <c r="B5" s="696">
        <v>2013</v>
      </c>
      <c r="C5" s="697"/>
      <c r="D5" s="697">
        <v>2014</v>
      </c>
      <c r="E5" s="697"/>
      <c r="F5" s="697">
        <v>2015</v>
      </c>
      <c r="G5" s="698" t="s">
        <v>2</v>
      </c>
      <c r="H5" s="696">
        <v>2013</v>
      </c>
      <c r="I5" s="697"/>
      <c r="J5" s="697">
        <v>2014</v>
      </c>
      <c r="K5" s="697"/>
      <c r="L5" s="697">
        <v>2015</v>
      </c>
      <c r="M5" s="698" t="s">
        <v>2</v>
      </c>
      <c r="N5" s="696">
        <v>2013</v>
      </c>
      <c r="O5" s="697"/>
      <c r="P5" s="697">
        <v>2014</v>
      </c>
      <c r="Q5" s="697"/>
      <c r="R5" s="697">
        <v>2015</v>
      </c>
      <c r="S5" s="698" t="s">
        <v>2</v>
      </c>
    </row>
    <row r="6" spans="1:19" ht="14.4" customHeight="1" thickBot="1" x14ac:dyDescent="0.35">
      <c r="A6" s="701" t="s">
        <v>1024</v>
      </c>
      <c r="B6" s="699">
        <v>11158045</v>
      </c>
      <c r="C6" s="700">
        <v>1</v>
      </c>
      <c r="D6" s="699">
        <v>9848065</v>
      </c>
      <c r="E6" s="700">
        <v>0.8825977131298538</v>
      </c>
      <c r="F6" s="699">
        <v>8779168</v>
      </c>
      <c r="G6" s="434">
        <v>0.78680163057238073</v>
      </c>
      <c r="H6" s="699">
        <v>95768.930000000008</v>
      </c>
      <c r="I6" s="700">
        <v>1</v>
      </c>
      <c r="J6" s="699">
        <v>128662.54</v>
      </c>
      <c r="K6" s="700">
        <v>1.3434684923387992</v>
      </c>
      <c r="L6" s="699">
        <v>79136.510000000009</v>
      </c>
      <c r="M6" s="434">
        <v>0.82632759914932752</v>
      </c>
      <c r="N6" s="699"/>
      <c r="O6" s="700"/>
      <c r="P6" s="699"/>
      <c r="Q6" s="700"/>
      <c r="R6" s="699"/>
      <c r="S6" s="43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1427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5169.68</v>
      </c>
      <c r="G3" s="196">
        <f t="shared" si="0"/>
        <v>11253813.93</v>
      </c>
      <c r="H3" s="196"/>
      <c r="I3" s="196"/>
      <c r="J3" s="196">
        <f t="shared" si="0"/>
        <v>4298.0599999999995</v>
      </c>
      <c r="K3" s="196">
        <f t="shared" si="0"/>
        <v>9976727.5399999991</v>
      </c>
      <c r="L3" s="196"/>
      <c r="M3" s="196"/>
      <c r="N3" s="196">
        <f t="shared" si="0"/>
        <v>4710.84</v>
      </c>
      <c r="O3" s="196">
        <f t="shared" si="0"/>
        <v>8858304.5099999998</v>
      </c>
      <c r="P3" s="70">
        <f>IF(G3=0,0,O3/G3)</f>
        <v>0.78713799295951214</v>
      </c>
      <c r="Q3" s="197">
        <f>IF(N3=0,0,O3/N3)</f>
        <v>1880.4086978118551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108</v>
      </c>
      <c r="E4" s="517" t="s">
        <v>68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5" t="s">
        <v>527</v>
      </c>
      <c r="B6" s="606" t="s">
        <v>1313</v>
      </c>
      <c r="C6" s="606" t="s">
        <v>1314</v>
      </c>
      <c r="D6" s="606" t="s">
        <v>1315</v>
      </c>
      <c r="E6" s="606" t="s">
        <v>1011</v>
      </c>
      <c r="F6" s="609"/>
      <c r="G6" s="609"/>
      <c r="H6" s="609"/>
      <c r="I6" s="609"/>
      <c r="J6" s="609"/>
      <c r="K6" s="609"/>
      <c r="L6" s="609"/>
      <c r="M6" s="609"/>
      <c r="N6" s="609">
        <v>1</v>
      </c>
      <c r="O6" s="609">
        <v>38.61</v>
      </c>
      <c r="P6" s="627"/>
      <c r="Q6" s="610">
        <v>38.61</v>
      </c>
    </row>
    <row r="7" spans="1:17" ht="14.4" customHeight="1" x14ac:dyDescent="0.3">
      <c r="A7" s="611" t="s">
        <v>527</v>
      </c>
      <c r="B7" s="612" t="s">
        <v>1313</v>
      </c>
      <c r="C7" s="612" t="s">
        <v>1314</v>
      </c>
      <c r="D7" s="612" t="s">
        <v>1316</v>
      </c>
      <c r="E7" s="612" t="s">
        <v>1017</v>
      </c>
      <c r="F7" s="615"/>
      <c r="G7" s="615"/>
      <c r="H7" s="615"/>
      <c r="I7" s="615"/>
      <c r="J7" s="615"/>
      <c r="K7" s="615"/>
      <c r="L7" s="615"/>
      <c r="M7" s="615"/>
      <c r="N7" s="615">
        <v>0.1</v>
      </c>
      <c r="O7" s="615">
        <v>4.54</v>
      </c>
      <c r="P7" s="628"/>
      <c r="Q7" s="616">
        <v>45.4</v>
      </c>
    </row>
    <row r="8" spans="1:17" ht="14.4" customHeight="1" x14ac:dyDescent="0.3">
      <c r="A8" s="611" t="s">
        <v>527</v>
      </c>
      <c r="B8" s="612" t="s">
        <v>1313</v>
      </c>
      <c r="C8" s="612" t="s">
        <v>1314</v>
      </c>
      <c r="D8" s="612" t="s">
        <v>1317</v>
      </c>
      <c r="E8" s="612" t="s">
        <v>997</v>
      </c>
      <c r="F8" s="615">
        <v>1.6</v>
      </c>
      <c r="G8" s="615">
        <v>188.64</v>
      </c>
      <c r="H8" s="615">
        <v>1</v>
      </c>
      <c r="I8" s="615">
        <v>117.89999999999999</v>
      </c>
      <c r="J8" s="615">
        <v>0.3</v>
      </c>
      <c r="K8" s="615">
        <v>42.36</v>
      </c>
      <c r="L8" s="615">
        <v>0.22455470737913488</v>
      </c>
      <c r="M8" s="615">
        <v>141.20000000000002</v>
      </c>
      <c r="N8" s="615">
        <v>1.8</v>
      </c>
      <c r="O8" s="615">
        <v>243.18</v>
      </c>
      <c r="P8" s="628">
        <v>1.2891221374045803</v>
      </c>
      <c r="Q8" s="616">
        <v>135.1</v>
      </c>
    </row>
    <row r="9" spans="1:17" ht="14.4" customHeight="1" x14ac:dyDescent="0.3">
      <c r="A9" s="611" t="s">
        <v>527</v>
      </c>
      <c r="B9" s="612" t="s">
        <v>1313</v>
      </c>
      <c r="C9" s="612" t="s">
        <v>1314</v>
      </c>
      <c r="D9" s="612" t="s">
        <v>1318</v>
      </c>
      <c r="E9" s="612" t="s">
        <v>950</v>
      </c>
      <c r="F9" s="615"/>
      <c r="G9" s="615"/>
      <c r="H9" s="615"/>
      <c r="I9" s="615"/>
      <c r="J9" s="615">
        <v>0.4</v>
      </c>
      <c r="K9" s="615">
        <v>100.6</v>
      </c>
      <c r="L9" s="615"/>
      <c r="M9" s="615">
        <v>251.49999999999997</v>
      </c>
      <c r="N9" s="615"/>
      <c r="O9" s="615"/>
      <c r="P9" s="628"/>
      <c r="Q9" s="616"/>
    </row>
    <row r="10" spans="1:17" ht="14.4" customHeight="1" x14ac:dyDescent="0.3">
      <c r="A10" s="611" t="s">
        <v>527</v>
      </c>
      <c r="B10" s="612" t="s">
        <v>1313</v>
      </c>
      <c r="C10" s="612" t="s">
        <v>1314</v>
      </c>
      <c r="D10" s="612" t="s">
        <v>1319</v>
      </c>
      <c r="E10" s="612" t="s">
        <v>1320</v>
      </c>
      <c r="F10" s="615">
        <v>0.2</v>
      </c>
      <c r="G10" s="615">
        <v>88.64</v>
      </c>
      <c r="H10" s="615">
        <v>1</v>
      </c>
      <c r="I10" s="615">
        <v>443.2</v>
      </c>
      <c r="J10" s="615"/>
      <c r="K10" s="615"/>
      <c r="L10" s="615"/>
      <c r="M10" s="615"/>
      <c r="N10" s="615"/>
      <c r="O10" s="615"/>
      <c r="P10" s="628"/>
      <c r="Q10" s="616"/>
    </row>
    <row r="11" spans="1:17" ht="14.4" customHeight="1" x14ac:dyDescent="0.3">
      <c r="A11" s="611" t="s">
        <v>527</v>
      </c>
      <c r="B11" s="612" t="s">
        <v>1313</v>
      </c>
      <c r="C11" s="612" t="s">
        <v>1314</v>
      </c>
      <c r="D11" s="612" t="s">
        <v>1321</v>
      </c>
      <c r="E11" s="612" t="s">
        <v>934</v>
      </c>
      <c r="F11" s="615">
        <v>1</v>
      </c>
      <c r="G11" s="615">
        <v>114.58</v>
      </c>
      <c r="H11" s="615">
        <v>1</v>
      </c>
      <c r="I11" s="615">
        <v>114.58</v>
      </c>
      <c r="J11" s="615"/>
      <c r="K11" s="615"/>
      <c r="L11" s="615"/>
      <c r="M11" s="615"/>
      <c r="N11" s="615"/>
      <c r="O11" s="615"/>
      <c r="P11" s="628"/>
      <c r="Q11" s="616"/>
    </row>
    <row r="12" spans="1:17" ht="14.4" customHeight="1" x14ac:dyDescent="0.3">
      <c r="A12" s="611" t="s">
        <v>527</v>
      </c>
      <c r="B12" s="612" t="s">
        <v>1313</v>
      </c>
      <c r="C12" s="612" t="s">
        <v>1314</v>
      </c>
      <c r="D12" s="612" t="s">
        <v>1322</v>
      </c>
      <c r="E12" s="612" t="s">
        <v>1008</v>
      </c>
      <c r="F12" s="615">
        <v>1.7</v>
      </c>
      <c r="G12" s="615">
        <v>82.279999999999987</v>
      </c>
      <c r="H12" s="615">
        <v>1</v>
      </c>
      <c r="I12" s="615">
        <v>48.399999999999991</v>
      </c>
      <c r="J12" s="615">
        <v>0.4</v>
      </c>
      <c r="K12" s="615">
        <v>19.36</v>
      </c>
      <c r="L12" s="615">
        <v>0.23529411764705885</v>
      </c>
      <c r="M12" s="615">
        <v>48.4</v>
      </c>
      <c r="N12" s="615">
        <v>1.6</v>
      </c>
      <c r="O12" s="615">
        <v>74.08</v>
      </c>
      <c r="P12" s="628">
        <v>0.90034030140982024</v>
      </c>
      <c r="Q12" s="616">
        <v>46.3</v>
      </c>
    </row>
    <row r="13" spans="1:17" ht="14.4" customHeight="1" x14ac:dyDescent="0.3">
      <c r="A13" s="611" t="s">
        <v>527</v>
      </c>
      <c r="B13" s="612" t="s">
        <v>1313</v>
      </c>
      <c r="C13" s="612" t="s">
        <v>1314</v>
      </c>
      <c r="D13" s="612" t="s">
        <v>1323</v>
      </c>
      <c r="E13" s="612" t="s">
        <v>701</v>
      </c>
      <c r="F13" s="615"/>
      <c r="G13" s="615"/>
      <c r="H13" s="615"/>
      <c r="I13" s="615"/>
      <c r="J13" s="615"/>
      <c r="K13" s="615"/>
      <c r="L13" s="615"/>
      <c r="M13" s="615"/>
      <c r="N13" s="615">
        <v>2</v>
      </c>
      <c r="O13" s="615">
        <v>184.98</v>
      </c>
      <c r="P13" s="628"/>
      <c r="Q13" s="616">
        <v>92.49</v>
      </c>
    </row>
    <row r="14" spans="1:17" ht="14.4" customHeight="1" x14ac:dyDescent="0.3">
      <c r="A14" s="611" t="s">
        <v>527</v>
      </c>
      <c r="B14" s="612" t="s">
        <v>1313</v>
      </c>
      <c r="C14" s="612" t="s">
        <v>1314</v>
      </c>
      <c r="D14" s="612" t="s">
        <v>1324</v>
      </c>
      <c r="E14" s="612" t="s">
        <v>1325</v>
      </c>
      <c r="F14" s="615">
        <v>0.4</v>
      </c>
      <c r="G14" s="615">
        <v>1451.2</v>
      </c>
      <c r="H14" s="615">
        <v>1</v>
      </c>
      <c r="I14" s="615">
        <v>3628</v>
      </c>
      <c r="J14" s="615"/>
      <c r="K14" s="615"/>
      <c r="L14" s="615"/>
      <c r="M14" s="615"/>
      <c r="N14" s="615">
        <v>0.08</v>
      </c>
      <c r="O14" s="615">
        <v>277.62</v>
      </c>
      <c r="P14" s="628">
        <v>0.19130374862183019</v>
      </c>
      <c r="Q14" s="616">
        <v>3470.25</v>
      </c>
    </row>
    <row r="15" spans="1:17" ht="14.4" customHeight="1" x14ac:dyDescent="0.3">
      <c r="A15" s="611" t="s">
        <v>527</v>
      </c>
      <c r="B15" s="612" t="s">
        <v>1313</v>
      </c>
      <c r="C15" s="612" t="s">
        <v>1326</v>
      </c>
      <c r="D15" s="612" t="s">
        <v>1327</v>
      </c>
      <c r="E15" s="612" t="s">
        <v>1328</v>
      </c>
      <c r="F15" s="615">
        <v>2</v>
      </c>
      <c r="G15" s="615">
        <v>3092.48</v>
      </c>
      <c r="H15" s="615">
        <v>1</v>
      </c>
      <c r="I15" s="615">
        <v>1546.24</v>
      </c>
      <c r="J15" s="615"/>
      <c r="K15" s="615"/>
      <c r="L15" s="615"/>
      <c r="M15" s="615"/>
      <c r="N15" s="615"/>
      <c r="O15" s="615"/>
      <c r="P15" s="628"/>
      <c r="Q15" s="616"/>
    </row>
    <row r="16" spans="1:17" ht="14.4" customHeight="1" x14ac:dyDescent="0.3">
      <c r="A16" s="611" t="s">
        <v>527</v>
      </c>
      <c r="B16" s="612" t="s">
        <v>1313</v>
      </c>
      <c r="C16" s="612" t="s">
        <v>1326</v>
      </c>
      <c r="D16" s="612" t="s">
        <v>1329</v>
      </c>
      <c r="E16" s="612" t="s">
        <v>1330</v>
      </c>
      <c r="F16" s="615">
        <v>2</v>
      </c>
      <c r="G16" s="615">
        <v>470.38</v>
      </c>
      <c r="H16" s="615">
        <v>1</v>
      </c>
      <c r="I16" s="615">
        <v>235.19</v>
      </c>
      <c r="J16" s="615"/>
      <c r="K16" s="615"/>
      <c r="L16" s="615"/>
      <c r="M16" s="615"/>
      <c r="N16" s="615"/>
      <c r="O16" s="615"/>
      <c r="P16" s="628"/>
      <c r="Q16" s="616"/>
    </row>
    <row r="17" spans="1:17" ht="14.4" customHeight="1" x14ac:dyDescent="0.3">
      <c r="A17" s="611" t="s">
        <v>527</v>
      </c>
      <c r="B17" s="612" t="s">
        <v>1313</v>
      </c>
      <c r="C17" s="612" t="s">
        <v>1331</v>
      </c>
      <c r="D17" s="612" t="s">
        <v>1332</v>
      </c>
      <c r="E17" s="612" t="s">
        <v>1333</v>
      </c>
      <c r="F17" s="615">
        <v>81</v>
      </c>
      <c r="G17" s="615">
        <v>14013</v>
      </c>
      <c r="H17" s="615">
        <v>1</v>
      </c>
      <c r="I17" s="615">
        <v>173</v>
      </c>
      <c r="J17" s="615">
        <v>117</v>
      </c>
      <c r="K17" s="615">
        <v>20241</v>
      </c>
      <c r="L17" s="615">
        <v>1.4444444444444444</v>
      </c>
      <c r="M17" s="615">
        <v>173</v>
      </c>
      <c r="N17" s="615">
        <v>98</v>
      </c>
      <c r="O17" s="615">
        <v>17346</v>
      </c>
      <c r="P17" s="628">
        <v>1.2378505673303362</v>
      </c>
      <c r="Q17" s="616">
        <v>177</v>
      </c>
    </row>
    <row r="18" spans="1:17" ht="14.4" customHeight="1" x14ac:dyDescent="0.3">
      <c r="A18" s="611" t="s">
        <v>527</v>
      </c>
      <c r="B18" s="612" t="s">
        <v>1313</v>
      </c>
      <c r="C18" s="612" t="s">
        <v>1331</v>
      </c>
      <c r="D18" s="612" t="s">
        <v>1334</v>
      </c>
      <c r="E18" s="612" t="s">
        <v>1335</v>
      </c>
      <c r="F18" s="615">
        <v>2</v>
      </c>
      <c r="G18" s="615">
        <v>370</v>
      </c>
      <c r="H18" s="615">
        <v>1</v>
      </c>
      <c r="I18" s="615">
        <v>185</v>
      </c>
      <c r="J18" s="615"/>
      <c r="K18" s="615"/>
      <c r="L18" s="615"/>
      <c r="M18" s="615"/>
      <c r="N18" s="615"/>
      <c r="O18" s="615"/>
      <c r="P18" s="628"/>
      <c r="Q18" s="616"/>
    </row>
    <row r="19" spans="1:17" ht="14.4" customHeight="1" x14ac:dyDescent="0.3">
      <c r="A19" s="611" t="s">
        <v>527</v>
      </c>
      <c r="B19" s="612" t="s">
        <v>1313</v>
      </c>
      <c r="C19" s="612" t="s">
        <v>1331</v>
      </c>
      <c r="D19" s="612" t="s">
        <v>1336</v>
      </c>
      <c r="E19" s="612" t="s">
        <v>1337</v>
      </c>
      <c r="F19" s="615">
        <v>4</v>
      </c>
      <c r="G19" s="615">
        <v>3920</v>
      </c>
      <c r="H19" s="615">
        <v>1</v>
      </c>
      <c r="I19" s="615">
        <v>980</v>
      </c>
      <c r="J19" s="615"/>
      <c r="K19" s="615"/>
      <c r="L19" s="615"/>
      <c r="M19" s="615"/>
      <c r="N19" s="615"/>
      <c r="O19" s="615"/>
      <c r="P19" s="628"/>
      <c r="Q19" s="616"/>
    </row>
    <row r="20" spans="1:17" ht="14.4" customHeight="1" x14ac:dyDescent="0.3">
      <c r="A20" s="611" t="s">
        <v>527</v>
      </c>
      <c r="B20" s="612" t="s">
        <v>1313</v>
      </c>
      <c r="C20" s="612" t="s">
        <v>1331</v>
      </c>
      <c r="D20" s="612" t="s">
        <v>1338</v>
      </c>
      <c r="E20" s="612" t="s">
        <v>1339</v>
      </c>
      <c r="F20" s="615">
        <v>0</v>
      </c>
      <c r="G20" s="615">
        <v>0</v>
      </c>
      <c r="H20" s="615"/>
      <c r="I20" s="615"/>
      <c r="J20" s="615">
        <v>0</v>
      </c>
      <c r="K20" s="615">
        <v>0</v>
      </c>
      <c r="L20" s="615"/>
      <c r="M20" s="615"/>
      <c r="N20" s="615">
        <v>0</v>
      </c>
      <c r="O20" s="615">
        <v>0</v>
      </c>
      <c r="P20" s="628"/>
      <c r="Q20" s="616"/>
    </row>
    <row r="21" spans="1:17" ht="14.4" customHeight="1" x14ac:dyDescent="0.3">
      <c r="A21" s="611" t="s">
        <v>527</v>
      </c>
      <c r="B21" s="612" t="s">
        <v>1313</v>
      </c>
      <c r="C21" s="612" t="s">
        <v>1331</v>
      </c>
      <c r="D21" s="612" t="s">
        <v>1340</v>
      </c>
      <c r="E21" s="612" t="s">
        <v>1341</v>
      </c>
      <c r="F21" s="615">
        <v>767</v>
      </c>
      <c r="G21" s="615">
        <v>0</v>
      </c>
      <c r="H21" s="615"/>
      <c r="I21" s="615">
        <v>0</v>
      </c>
      <c r="J21" s="615">
        <v>552</v>
      </c>
      <c r="K21" s="615">
        <v>0</v>
      </c>
      <c r="L21" s="615"/>
      <c r="M21" s="615">
        <v>0</v>
      </c>
      <c r="N21" s="615">
        <v>734</v>
      </c>
      <c r="O21" s="615">
        <v>0</v>
      </c>
      <c r="P21" s="628"/>
      <c r="Q21" s="616">
        <v>0</v>
      </c>
    </row>
    <row r="22" spans="1:17" ht="14.4" customHeight="1" x14ac:dyDescent="0.3">
      <c r="A22" s="611" t="s">
        <v>527</v>
      </c>
      <c r="B22" s="612" t="s">
        <v>1313</v>
      </c>
      <c r="C22" s="612" t="s">
        <v>1331</v>
      </c>
      <c r="D22" s="612" t="s">
        <v>1342</v>
      </c>
      <c r="E22" s="612" t="s">
        <v>1343</v>
      </c>
      <c r="F22" s="615">
        <v>24</v>
      </c>
      <c r="G22" s="615">
        <v>0</v>
      </c>
      <c r="H22" s="615"/>
      <c r="I22" s="615">
        <v>0</v>
      </c>
      <c r="J22" s="615">
        <v>8</v>
      </c>
      <c r="K22" s="615">
        <v>0</v>
      </c>
      <c r="L22" s="615"/>
      <c r="M22" s="615">
        <v>0</v>
      </c>
      <c r="N22" s="615">
        <v>16</v>
      </c>
      <c r="O22" s="615">
        <v>0</v>
      </c>
      <c r="P22" s="628"/>
      <c r="Q22" s="616">
        <v>0</v>
      </c>
    </row>
    <row r="23" spans="1:17" ht="14.4" customHeight="1" x14ac:dyDescent="0.3">
      <c r="A23" s="611" t="s">
        <v>527</v>
      </c>
      <c r="B23" s="612" t="s">
        <v>1313</v>
      </c>
      <c r="C23" s="612" t="s">
        <v>1331</v>
      </c>
      <c r="D23" s="612" t="s">
        <v>1344</v>
      </c>
      <c r="E23" s="612" t="s">
        <v>1345</v>
      </c>
      <c r="F23" s="615">
        <v>299</v>
      </c>
      <c r="G23" s="615">
        <v>0</v>
      </c>
      <c r="H23" s="615"/>
      <c r="I23" s="615">
        <v>0</v>
      </c>
      <c r="J23" s="615">
        <v>276</v>
      </c>
      <c r="K23" s="615">
        <v>0</v>
      </c>
      <c r="L23" s="615"/>
      <c r="M23" s="615">
        <v>0</v>
      </c>
      <c r="N23" s="615">
        <v>287</v>
      </c>
      <c r="O23" s="615">
        <v>0</v>
      </c>
      <c r="P23" s="628"/>
      <c r="Q23" s="616">
        <v>0</v>
      </c>
    </row>
    <row r="24" spans="1:17" ht="14.4" customHeight="1" x14ac:dyDescent="0.3">
      <c r="A24" s="611" t="s">
        <v>527</v>
      </c>
      <c r="B24" s="612" t="s">
        <v>1313</v>
      </c>
      <c r="C24" s="612" t="s">
        <v>1331</v>
      </c>
      <c r="D24" s="612" t="s">
        <v>1346</v>
      </c>
      <c r="E24" s="612" t="s">
        <v>1347</v>
      </c>
      <c r="F24" s="615">
        <v>1</v>
      </c>
      <c r="G24" s="615">
        <v>0</v>
      </c>
      <c r="H24" s="615"/>
      <c r="I24" s="615">
        <v>0</v>
      </c>
      <c r="J24" s="615"/>
      <c r="K24" s="615"/>
      <c r="L24" s="615"/>
      <c r="M24" s="615"/>
      <c r="N24" s="615"/>
      <c r="O24" s="615"/>
      <c r="P24" s="628"/>
      <c r="Q24" s="616"/>
    </row>
    <row r="25" spans="1:17" ht="14.4" customHeight="1" x14ac:dyDescent="0.3">
      <c r="A25" s="611" t="s">
        <v>527</v>
      </c>
      <c r="B25" s="612" t="s">
        <v>1313</v>
      </c>
      <c r="C25" s="612" t="s">
        <v>1331</v>
      </c>
      <c r="D25" s="612" t="s">
        <v>1348</v>
      </c>
      <c r="E25" s="612" t="s">
        <v>1349</v>
      </c>
      <c r="F25" s="615">
        <v>347</v>
      </c>
      <c r="G25" s="615">
        <v>113470</v>
      </c>
      <c r="H25" s="615">
        <v>1</v>
      </c>
      <c r="I25" s="615">
        <v>327.0028818443804</v>
      </c>
      <c r="J25" s="615">
        <v>317</v>
      </c>
      <c r="K25" s="615">
        <v>103659</v>
      </c>
      <c r="L25" s="615">
        <v>0.91353661760817839</v>
      </c>
      <c r="M25" s="615">
        <v>327</v>
      </c>
      <c r="N25" s="615">
        <v>328</v>
      </c>
      <c r="O25" s="615">
        <v>108568</v>
      </c>
      <c r="P25" s="628">
        <v>0.95679915396139947</v>
      </c>
      <c r="Q25" s="616">
        <v>331</v>
      </c>
    </row>
    <row r="26" spans="1:17" ht="14.4" customHeight="1" x14ac:dyDescent="0.3">
      <c r="A26" s="611" t="s">
        <v>527</v>
      </c>
      <c r="B26" s="612" t="s">
        <v>1313</v>
      </c>
      <c r="C26" s="612" t="s">
        <v>1331</v>
      </c>
      <c r="D26" s="612" t="s">
        <v>1350</v>
      </c>
      <c r="E26" s="612" t="s">
        <v>1351</v>
      </c>
      <c r="F26" s="615">
        <v>321</v>
      </c>
      <c r="G26" s="615">
        <v>207028</v>
      </c>
      <c r="H26" s="615">
        <v>1</v>
      </c>
      <c r="I26" s="615">
        <v>644.94704049844233</v>
      </c>
      <c r="J26" s="615">
        <v>285</v>
      </c>
      <c r="K26" s="615">
        <v>183825</v>
      </c>
      <c r="L26" s="615">
        <v>0.88792337268388821</v>
      </c>
      <c r="M26" s="615">
        <v>645</v>
      </c>
      <c r="N26" s="615">
        <v>304</v>
      </c>
      <c r="O26" s="615">
        <v>198472</v>
      </c>
      <c r="P26" s="628">
        <v>0.95867225689278746</v>
      </c>
      <c r="Q26" s="616">
        <v>652.86842105263156</v>
      </c>
    </row>
    <row r="27" spans="1:17" ht="14.4" customHeight="1" x14ac:dyDescent="0.3">
      <c r="A27" s="611" t="s">
        <v>527</v>
      </c>
      <c r="B27" s="612" t="s">
        <v>1313</v>
      </c>
      <c r="C27" s="612" t="s">
        <v>1331</v>
      </c>
      <c r="D27" s="612" t="s">
        <v>1352</v>
      </c>
      <c r="E27" s="612" t="s">
        <v>1353</v>
      </c>
      <c r="F27" s="615">
        <v>5</v>
      </c>
      <c r="G27" s="615">
        <v>0</v>
      </c>
      <c r="H27" s="615"/>
      <c r="I27" s="615">
        <v>0</v>
      </c>
      <c r="J27" s="615">
        <v>2</v>
      </c>
      <c r="K27" s="615">
        <v>0</v>
      </c>
      <c r="L27" s="615"/>
      <c r="M27" s="615">
        <v>0</v>
      </c>
      <c r="N27" s="615">
        <v>1</v>
      </c>
      <c r="O27" s="615">
        <v>0</v>
      </c>
      <c r="P27" s="628"/>
      <c r="Q27" s="616">
        <v>0</v>
      </c>
    </row>
    <row r="28" spans="1:17" ht="14.4" customHeight="1" x14ac:dyDescent="0.3">
      <c r="A28" s="611" t="s">
        <v>527</v>
      </c>
      <c r="B28" s="612" t="s">
        <v>1313</v>
      </c>
      <c r="C28" s="612" t="s">
        <v>1331</v>
      </c>
      <c r="D28" s="612" t="s">
        <v>1354</v>
      </c>
      <c r="E28" s="612" t="s">
        <v>1355</v>
      </c>
      <c r="F28" s="615">
        <v>46</v>
      </c>
      <c r="G28" s="615">
        <v>6669</v>
      </c>
      <c r="H28" s="615">
        <v>1</v>
      </c>
      <c r="I28" s="615">
        <v>144.97826086956522</v>
      </c>
      <c r="J28" s="615">
        <v>65</v>
      </c>
      <c r="K28" s="615">
        <v>9425</v>
      </c>
      <c r="L28" s="615">
        <v>1.4132553606237817</v>
      </c>
      <c r="M28" s="615">
        <v>145</v>
      </c>
      <c r="N28" s="615">
        <v>54</v>
      </c>
      <c r="O28" s="615">
        <v>7990</v>
      </c>
      <c r="P28" s="628">
        <v>1.1980806717648822</v>
      </c>
      <c r="Q28" s="616">
        <v>147.96296296296296</v>
      </c>
    </row>
    <row r="29" spans="1:17" ht="14.4" customHeight="1" x14ac:dyDescent="0.3">
      <c r="A29" s="611" t="s">
        <v>527</v>
      </c>
      <c r="B29" s="612" t="s">
        <v>1313</v>
      </c>
      <c r="C29" s="612" t="s">
        <v>1331</v>
      </c>
      <c r="D29" s="612" t="s">
        <v>1356</v>
      </c>
      <c r="E29" s="612" t="s">
        <v>1357</v>
      </c>
      <c r="F29" s="615">
        <v>1657</v>
      </c>
      <c r="G29" s="615">
        <v>1570699</v>
      </c>
      <c r="H29" s="615">
        <v>1</v>
      </c>
      <c r="I29" s="615">
        <v>947.91732045866024</v>
      </c>
      <c r="J29" s="615">
        <v>1323</v>
      </c>
      <c r="K29" s="615">
        <v>1255527</v>
      </c>
      <c r="L29" s="615">
        <v>0.79934284035324399</v>
      </c>
      <c r="M29" s="615">
        <v>949</v>
      </c>
      <c r="N29" s="615">
        <v>1406</v>
      </c>
      <c r="O29" s="615">
        <v>1346631</v>
      </c>
      <c r="P29" s="628">
        <v>0.85734504192082628</v>
      </c>
      <c r="Q29" s="616">
        <v>957.77453769559031</v>
      </c>
    </row>
    <row r="30" spans="1:17" ht="14.4" customHeight="1" x14ac:dyDescent="0.3">
      <c r="A30" s="611" t="s">
        <v>527</v>
      </c>
      <c r="B30" s="612" t="s">
        <v>1358</v>
      </c>
      <c r="C30" s="612" t="s">
        <v>1314</v>
      </c>
      <c r="D30" s="612" t="s">
        <v>1359</v>
      </c>
      <c r="E30" s="612" t="s">
        <v>1014</v>
      </c>
      <c r="F30" s="615">
        <v>25</v>
      </c>
      <c r="G30" s="615">
        <v>13280.9</v>
      </c>
      <c r="H30" s="615">
        <v>1</v>
      </c>
      <c r="I30" s="615">
        <v>531.23599999999999</v>
      </c>
      <c r="J30" s="615">
        <v>10</v>
      </c>
      <c r="K30" s="615">
        <v>5321.6</v>
      </c>
      <c r="L30" s="615">
        <v>0.40069573598174824</v>
      </c>
      <c r="M30" s="615">
        <v>532.16000000000008</v>
      </c>
      <c r="N30" s="615">
        <v>17</v>
      </c>
      <c r="O30" s="615">
        <v>7649.67</v>
      </c>
      <c r="P30" s="628">
        <v>0.57599033198051341</v>
      </c>
      <c r="Q30" s="616">
        <v>449.98058823529414</v>
      </c>
    </row>
    <row r="31" spans="1:17" ht="14.4" customHeight="1" x14ac:dyDescent="0.3">
      <c r="A31" s="611" t="s">
        <v>527</v>
      </c>
      <c r="B31" s="612" t="s">
        <v>1358</v>
      </c>
      <c r="C31" s="612" t="s">
        <v>1314</v>
      </c>
      <c r="D31" s="612" t="s">
        <v>1360</v>
      </c>
      <c r="E31" s="612" t="s">
        <v>1361</v>
      </c>
      <c r="F31" s="615"/>
      <c r="G31" s="615"/>
      <c r="H31" s="615"/>
      <c r="I31" s="615"/>
      <c r="J31" s="615">
        <v>0.5</v>
      </c>
      <c r="K31" s="615">
        <v>319.95999999999998</v>
      </c>
      <c r="L31" s="615"/>
      <c r="M31" s="615">
        <v>639.91999999999996</v>
      </c>
      <c r="N31" s="615"/>
      <c r="O31" s="615"/>
      <c r="P31" s="628"/>
      <c r="Q31" s="616"/>
    </row>
    <row r="32" spans="1:17" ht="14.4" customHeight="1" x14ac:dyDescent="0.3">
      <c r="A32" s="611" t="s">
        <v>527</v>
      </c>
      <c r="B32" s="612" t="s">
        <v>1358</v>
      </c>
      <c r="C32" s="612" t="s">
        <v>1314</v>
      </c>
      <c r="D32" s="612" t="s">
        <v>1362</v>
      </c>
      <c r="E32" s="612" t="s">
        <v>1363</v>
      </c>
      <c r="F32" s="615">
        <v>5.4</v>
      </c>
      <c r="G32" s="615">
        <v>5828.2199999999993</v>
      </c>
      <c r="H32" s="615">
        <v>1</v>
      </c>
      <c r="I32" s="615">
        <v>1079.2999999999997</v>
      </c>
      <c r="J32" s="615">
        <v>3.6</v>
      </c>
      <c r="K32" s="615">
        <v>3885.4800000000005</v>
      </c>
      <c r="L32" s="615">
        <v>0.66666666666666685</v>
      </c>
      <c r="M32" s="615">
        <v>1079.3000000000002</v>
      </c>
      <c r="N32" s="615"/>
      <c r="O32" s="615"/>
      <c r="P32" s="628"/>
      <c r="Q32" s="616"/>
    </row>
    <row r="33" spans="1:17" ht="14.4" customHeight="1" x14ac:dyDescent="0.3">
      <c r="A33" s="611" t="s">
        <v>527</v>
      </c>
      <c r="B33" s="612" t="s">
        <v>1358</v>
      </c>
      <c r="C33" s="612" t="s">
        <v>1314</v>
      </c>
      <c r="D33" s="612" t="s">
        <v>1364</v>
      </c>
      <c r="E33" s="612" t="s">
        <v>1365</v>
      </c>
      <c r="F33" s="615"/>
      <c r="G33" s="615"/>
      <c r="H33" s="615"/>
      <c r="I33" s="615"/>
      <c r="J33" s="615">
        <v>3</v>
      </c>
      <c r="K33" s="615">
        <v>3882</v>
      </c>
      <c r="L33" s="615"/>
      <c r="M33" s="615">
        <v>1294</v>
      </c>
      <c r="N33" s="615"/>
      <c r="O33" s="615"/>
      <c r="P33" s="628"/>
      <c r="Q33" s="616"/>
    </row>
    <row r="34" spans="1:17" ht="14.4" customHeight="1" x14ac:dyDescent="0.3">
      <c r="A34" s="611" t="s">
        <v>527</v>
      </c>
      <c r="B34" s="612" t="s">
        <v>1358</v>
      </c>
      <c r="C34" s="612" t="s">
        <v>1314</v>
      </c>
      <c r="D34" s="612" t="s">
        <v>1366</v>
      </c>
      <c r="E34" s="612" t="s">
        <v>1367</v>
      </c>
      <c r="F34" s="615">
        <v>7</v>
      </c>
      <c r="G34" s="615">
        <v>942.13000000000011</v>
      </c>
      <c r="H34" s="615">
        <v>1</v>
      </c>
      <c r="I34" s="615">
        <v>134.59</v>
      </c>
      <c r="J34" s="615">
        <v>18</v>
      </c>
      <c r="K34" s="615">
        <v>2422.62</v>
      </c>
      <c r="L34" s="615">
        <v>2.5714285714285712</v>
      </c>
      <c r="M34" s="615">
        <v>134.59</v>
      </c>
      <c r="N34" s="615">
        <v>5</v>
      </c>
      <c r="O34" s="615">
        <v>649.55000000000007</v>
      </c>
      <c r="P34" s="628">
        <v>0.68944837761243138</v>
      </c>
      <c r="Q34" s="616">
        <v>129.91000000000003</v>
      </c>
    </row>
    <row r="35" spans="1:17" ht="14.4" customHeight="1" x14ac:dyDescent="0.3">
      <c r="A35" s="611" t="s">
        <v>527</v>
      </c>
      <c r="B35" s="612" t="s">
        <v>1358</v>
      </c>
      <c r="C35" s="612" t="s">
        <v>1314</v>
      </c>
      <c r="D35" s="612" t="s">
        <v>1315</v>
      </c>
      <c r="E35" s="612" t="s">
        <v>1011</v>
      </c>
      <c r="F35" s="615"/>
      <c r="G35" s="615"/>
      <c r="H35" s="615"/>
      <c r="I35" s="615"/>
      <c r="J35" s="615"/>
      <c r="K35" s="615"/>
      <c r="L35" s="615"/>
      <c r="M35" s="615"/>
      <c r="N35" s="615">
        <v>4</v>
      </c>
      <c r="O35" s="615">
        <v>154.44</v>
      </c>
      <c r="P35" s="628"/>
      <c r="Q35" s="616">
        <v>38.61</v>
      </c>
    </row>
    <row r="36" spans="1:17" ht="14.4" customHeight="1" x14ac:dyDescent="0.3">
      <c r="A36" s="611" t="s">
        <v>527</v>
      </c>
      <c r="B36" s="612" t="s">
        <v>1358</v>
      </c>
      <c r="C36" s="612" t="s">
        <v>1314</v>
      </c>
      <c r="D36" s="612" t="s">
        <v>1316</v>
      </c>
      <c r="E36" s="612" t="s">
        <v>1017</v>
      </c>
      <c r="F36" s="615">
        <v>1.6</v>
      </c>
      <c r="G36" s="615">
        <v>76</v>
      </c>
      <c r="H36" s="615">
        <v>1</v>
      </c>
      <c r="I36" s="615">
        <v>47.5</v>
      </c>
      <c r="J36" s="615"/>
      <c r="K36" s="615"/>
      <c r="L36" s="615"/>
      <c r="M36" s="615"/>
      <c r="N36" s="615">
        <v>2</v>
      </c>
      <c r="O36" s="615">
        <v>92.9</v>
      </c>
      <c r="P36" s="628">
        <v>1.2223684210526315</v>
      </c>
      <c r="Q36" s="616">
        <v>46.45</v>
      </c>
    </row>
    <row r="37" spans="1:17" ht="14.4" customHeight="1" x14ac:dyDescent="0.3">
      <c r="A37" s="611" t="s">
        <v>527</v>
      </c>
      <c r="B37" s="612" t="s">
        <v>1358</v>
      </c>
      <c r="C37" s="612" t="s">
        <v>1314</v>
      </c>
      <c r="D37" s="612" t="s">
        <v>1368</v>
      </c>
      <c r="E37" s="612" t="s">
        <v>1369</v>
      </c>
      <c r="F37" s="615"/>
      <c r="G37" s="615"/>
      <c r="H37" s="615"/>
      <c r="I37" s="615"/>
      <c r="J37" s="615"/>
      <c r="K37" s="615"/>
      <c r="L37" s="615"/>
      <c r="M37" s="615"/>
      <c r="N37" s="615">
        <v>1.92</v>
      </c>
      <c r="O37" s="615">
        <v>4093.91</v>
      </c>
      <c r="P37" s="628"/>
      <c r="Q37" s="616">
        <v>2132.2447916666665</v>
      </c>
    </row>
    <row r="38" spans="1:17" ht="14.4" customHeight="1" x14ac:dyDescent="0.3">
      <c r="A38" s="611" t="s">
        <v>527</v>
      </c>
      <c r="B38" s="612" t="s">
        <v>1358</v>
      </c>
      <c r="C38" s="612" t="s">
        <v>1314</v>
      </c>
      <c r="D38" s="612" t="s">
        <v>1370</v>
      </c>
      <c r="E38" s="612" t="s">
        <v>851</v>
      </c>
      <c r="F38" s="615">
        <v>1.5</v>
      </c>
      <c r="G38" s="615">
        <v>24384.05</v>
      </c>
      <c r="H38" s="615">
        <v>1</v>
      </c>
      <c r="I38" s="615">
        <v>16256.033333333333</v>
      </c>
      <c r="J38" s="615">
        <v>3.5</v>
      </c>
      <c r="K38" s="615">
        <v>57156.79</v>
      </c>
      <c r="L38" s="615">
        <v>2.3440236548071383</v>
      </c>
      <c r="M38" s="615">
        <v>16330.511428571428</v>
      </c>
      <c r="N38" s="615">
        <v>1.5</v>
      </c>
      <c r="O38" s="615">
        <v>23747.329999999998</v>
      </c>
      <c r="P38" s="628">
        <v>0.97388784881920754</v>
      </c>
      <c r="Q38" s="616">
        <v>15831.553333333331</v>
      </c>
    </row>
    <row r="39" spans="1:17" ht="14.4" customHeight="1" x14ac:dyDescent="0.3">
      <c r="A39" s="611" t="s">
        <v>527</v>
      </c>
      <c r="B39" s="612" t="s">
        <v>1358</v>
      </c>
      <c r="C39" s="612" t="s">
        <v>1314</v>
      </c>
      <c r="D39" s="612" t="s">
        <v>1319</v>
      </c>
      <c r="E39" s="612" t="s">
        <v>1320</v>
      </c>
      <c r="F39" s="615">
        <v>0.5</v>
      </c>
      <c r="G39" s="615">
        <v>224.11</v>
      </c>
      <c r="H39" s="615">
        <v>1</v>
      </c>
      <c r="I39" s="615">
        <v>448.22</v>
      </c>
      <c r="J39" s="615">
        <v>0.5</v>
      </c>
      <c r="K39" s="615">
        <v>221.6</v>
      </c>
      <c r="L39" s="615">
        <v>0.98880014278702411</v>
      </c>
      <c r="M39" s="615">
        <v>443.2</v>
      </c>
      <c r="N39" s="615">
        <v>3</v>
      </c>
      <c r="O39" s="615">
        <v>1279.58</v>
      </c>
      <c r="P39" s="628">
        <v>5.7096068894739185</v>
      </c>
      <c r="Q39" s="616">
        <v>426.52666666666664</v>
      </c>
    </row>
    <row r="40" spans="1:17" ht="14.4" customHeight="1" x14ac:dyDescent="0.3">
      <c r="A40" s="611" t="s">
        <v>527</v>
      </c>
      <c r="B40" s="612" t="s">
        <v>1358</v>
      </c>
      <c r="C40" s="612" t="s">
        <v>1314</v>
      </c>
      <c r="D40" s="612" t="s">
        <v>1321</v>
      </c>
      <c r="E40" s="612" t="s">
        <v>934</v>
      </c>
      <c r="F40" s="615">
        <v>8.1</v>
      </c>
      <c r="G40" s="615">
        <v>928.09</v>
      </c>
      <c r="H40" s="615">
        <v>1</v>
      </c>
      <c r="I40" s="615">
        <v>114.57901234567902</v>
      </c>
      <c r="J40" s="615">
        <v>1</v>
      </c>
      <c r="K40" s="615">
        <v>114.58</v>
      </c>
      <c r="L40" s="615">
        <v>0.12345785430292321</v>
      </c>
      <c r="M40" s="615">
        <v>114.58</v>
      </c>
      <c r="N40" s="615">
        <v>10</v>
      </c>
      <c r="O40" s="615">
        <v>1115.92</v>
      </c>
      <c r="P40" s="628">
        <v>1.2023833895419627</v>
      </c>
      <c r="Q40" s="616">
        <v>111.59200000000001</v>
      </c>
    </row>
    <row r="41" spans="1:17" ht="14.4" customHeight="1" x14ac:dyDescent="0.3">
      <c r="A41" s="611" t="s">
        <v>527</v>
      </c>
      <c r="B41" s="612" t="s">
        <v>1358</v>
      </c>
      <c r="C41" s="612" t="s">
        <v>1314</v>
      </c>
      <c r="D41" s="612" t="s">
        <v>1322</v>
      </c>
      <c r="E41" s="612" t="s">
        <v>1008</v>
      </c>
      <c r="F41" s="615">
        <v>5.6000000000000005</v>
      </c>
      <c r="G41" s="615">
        <v>269.84000000000003</v>
      </c>
      <c r="H41" s="615">
        <v>1</v>
      </c>
      <c r="I41" s="615">
        <v>48.185714285714283</v>
      </c>
      <c r="J41" s="615">
        <v>5.7000000000000011</v>
      </c>
      <c r="K41" s="615">
        <v>275.88</v>
      </c>
      <c r="L41" s="615">
        <v>1.0223836347465163</v>
      </c>
      <c r="M41" s="615">
        <v>48.399999999999991</v>
      </c>
      <c r="N41" s="615">
        <v>4.6999999999999993</v>
      </c>
      <c r="O41" s="615">
        <v>220.76</v>
      </c>
      <c r="P41" s="628">
        <v>0.81811443818559137</v>
      </c>
      <c r="Q41" s="616">
        <v>46.970212765957449</v>
      </c>
    </row>
    <row r="42" spans="1:17" ht="14.4" customHeight="1" x14ac:dyDescent="0.3">
      <c r="A42" s="611" t="s">
        <v>527</v>
      </c>
      <c r="B42" s="612" t="s">
        <v>1358</v>
      </c>
      <c r="C42" s="612" t="s">
        <v>1314</v>
      </c>
      <c r="D42" s="612" t="s">
        <v>1323</v>
      </c>
      <c r="E42" s="612" t="s">
        <v>701</v>
      </c>
      <c r="F42" s="615"/>
      <c r="G42" s="615"/>
      <c r="H42" s="615"/>
      <c r="I42" s="615"/>
      <c r="J42" s="615"/>
      <c r="K42" s="615"/>
      <c r="L42" s="615"/>
      <c r="M42" s="615"/>
      <c r="N42" s="615">
        <v>13</v>
      </c>
      <c r="O42" s="615">
        <v>1202.3699999999999</v>
      </c>
      <c r="P42" s="628"/>
      <c r="Q42" s="616">
        <v>92.49</v>
      </c>
    </row>
    <row r="43" spans="1:17" ht="14.4" customHeight="1" x14ac:dyDescent="0.3">
      <c r="A43" s="611" t="s">
        <v>527</v>
      </c>
      <c r="B43" s="612" t="s">
        <v>1358</v>
      </c>
      <c r="C43" s="612" t="s">
        <v>1314</v>
      </c>
      <c r="D43" s="612" t="s">
        <v>1371</v>
      </c>
      <c r="E43" s="612" t="s">
        <v>954</v>
      </c>
      <c r="F43" s="615"/>
      <c r="G43" s="615"/>
      <c r="H43" s="615"/>
      <c r="I43" s="615"/>
      <c r="J43" s="615"/>
      <c r="K43" s="615"/>
      <c r="L43" s="615"/>
      <c r="M43" s="615"/>
      <c r="N43" s="615">
        <v>2.5</v>
      </c>
      <c r="O43" s="615">
        <v>5293.21</v>
      </c>
      <c r="P43" s="628"/>
      <c r="Q43" s="616">
        <v>2117.2840000000001</v>
      </c>
    </row>
    <row r="44" spans="1:17" ht="14.4" customHeight="1" x14ac:dyDescent="0.3">
      <c r="A44" s="611" t="s">
        <v>527</v>
      </c>
      <c r="B44" s="612" t="s">
        <v>1358</v>
      </c>
      <c r="C44" s="612" t="s">
        <v>1314</v>
      </c>
      <c r="D44" s="612" t="s">
        <v>1324</v>
      </c>
      <c r="E44" s="612" t="s">
        <v>1325</v>
      </c>
      <c r="F44" s="615">
        <v>0.08</v>
      </c>
      <c r="G44" s="615">
        <v>290.24</v>
      </c>
      <c r="H44" s="615">
        <v>1</v>
      </c>
      <c r="I44" s="615">
        <v>3628</v>
      </c>
      <c r="J44" s="615">
        <v>0.16</v>
      </c>
      <c r="K44" s="615">
        <v>580.48</v>
      </c>
      <c r="L44" s="615">
        <v>2</v>
      </c>
      <c r="M44" s="615">
        <v>3628</v>
      </c>
      <c r="N44" s="615">
        <v>0.64</v>
      </c>
      <c r="O44" s="615">
        <v>2246.1999999999998</v>
      </c>
      <c r="P44" s="628">
        <v>7.7391124586549056</v>
      </c>
      <c r="Q44" s="616">
        <v>3509.6874999999995</v>
      </c>
    </row>
    <row r="45" spans="1:17" ht="14.4" customHeight="1" x14ac:dyDescent="0.3">
      <c r="A45" s="611" t="s">
        <v>527</v>
      </c>
      <c r="B45" s="612" t="s">
        <v>1358</v>
      </c>
      <c r="C45" s="612" t="s">
        <v>1314</v>
      </c>
      <c r="D45" s="612" t="s">
        <v>1372</v>
      </c>
      <c r="E45" s="612" t="s">
        <v>1373</v>
      </c>
      <c r="F45" s="615"/>
      <c r="G45" s="615"/>
      <c r="H45" s="615"/>
      <c r="I45" s="615"/>
      <c r="J45" s="615">
        <v>1</v>
      </c>
      <c r="K45" s="615">
        <v>3503.39</v>
      </c>
      <c r="L45" s="615"/>
      <c r="M45" s="615">
        <v>3503.39</v>
      </c>
      <c r="N45" s="615"/>
      <c r="O45" s="615"/>
      <c r="P45" s="628"/>
      <c r="Q45" s="616"/>
    </row>
    <row r="46" spans="1:17" ht="14.4" customHeight="1" x14ac:dyDescent="0.3">
      <c r="A46" s="611" t="s">
        <v>527</v>
      </c>
      <c r="B46" s="612" t="s">
        <v>1358</v>
      </c>
      <c r="C46" s="612" t="s">
        <v>1326</v>
      </c>
      <c r="D46" s="612" t="s">
        <v>1327</v>
      </c>
      <c r="E46" s="612" t="s">
        <v>1328</v>
      </c>
      <c r="F46" s="615">
        <v>22</v>
      </c>
      <c r="G46" s="615">
        <v>34085.090000000004</v>
      </c>
      <c r="H46" s="615">
        <v>1</v>
      </c>
      <c r="I46" s="615">
        <v>1549.322272727273</v>
      </c>
      <c r="J46" s="615">
        <v>14</v>
      </c>
      <c r="K46" s="615">
        <v>22596.7</v>
      </c>
      <c r="L46" s="615">
        <v>0.66294969442650731</v>
      </c>
      <c r="M46" s="615">
        <v>1614.05</v>
      </c>
      <c r="N46" s="615">
        <v>15</v>
      </c>
      <c r="O46" s="615">
        <v>24210.75</v>
      </c>
      <c r="P46" s="628">
        <v>0.71030324402840062</v>
      </c>
      <c r="Q46" s="616">
        <v>1614.05</v>
      </c>
    </row>
    <row r="47" spans="1:17" ht="14.4" customHeight="1" x14ac:dyDescent="0.3">
      <c r="A47" s="611" t="s">
        <v>527</v>
      </c>
      <c r="B47" s="612" t="s">
        <v>1358</v>
      </c>
      <c r="C47" s="612" t="s">
        <v>1326</v>
      </c>
      <c r="D47" s="612" t="s">
        <v>1374</v>
      </c>
      <c r="E47" s="612" t="s">
        <v>1375</v>
      </c>
      <c r="F47" s="615">
        <v>1</v>
      </c>
      <c r="G47" s="615">
        <v>3905.48</v>
      </c>
      <c r="H47" s="615">
        <v>1</v>
      </c>
      <c r="I47" s="615">
        <v>3905.48</v>
      </c>
      <c r="J47" s="615">
        <v>4</v>
      </c>
      <c r="K47" s="615">
        <v>15621.92</v>
      </c>
      <c r="L47" s="615">
        <v>4</v>
      </c>
      <c r="M47" s="615">
        <v>3905.48</v>
      </c>
      <c r="N47" s="615"/>
      <c r="O47" s="615"/>
      <c r="P47" s="628"/>
      <c r="Q47" s="616"/>
    </row>
    <row r="48" spans="1:17" ht="14.4" customHeight="1" x14ac:dyDescent="0.3">
      <c r="A48" s="611" t="s">
        <v>527</v>
      </c>
      <c r="B48" s="612" t="s">
        <v>1358</v>
      </c>
      <c r="C48" s="612" t="s">
        <v>1326</v>
      </c>
      <c r="D48" s="612" t="s">
        <v>1376</v>
      </c>
      <c r="E48" s="612" t="s">
        <v>1377</v>
      </c>
      <c r="F48" s="615">
        <v>1</v>
      </c>
      <c r="G48" s="615">
        <v>888.91</v>
      </c>
      <c r="H48" s="615">
        <v>1</v>
      </c>
      <c r="I48" s="615">
        <v>888.91</v>
      </c>
      <c r="J48" s="615">
        <v>10</v>
      </c>
      <c r="K48" s="615">
        <v>9255.7000000000007</v>
      </c>
      <c r="L48" s="615">
        <v>10.412415205138879</v>
      </c>
      <c r="M48" s="615">
        <v>925.57</v>
      </c>
      <c r="N48" s="615">
        <v>3</v>
      </c>
      <c r="O48" s="615">
        <v>2776.71</v>
      </c>
      <c r="P48" s="628">
        <v>3.1237245615416636</v>
      </c>
      <c r="Q48" s="616">
        <v>925.57</v>
      </c>
    </row>
    <row r="49" spans="1:17" ht="14.4" customHeight="1" x14ac:dyDescent="0.3">
      <c r="A49" s="611" t="s">
        <v>527</v>
      </c>
      <c r="B49" s="612" t="s">
        <v>1358</v>
      </c>
      <c r="C49" s="612" t="s">
        <v>1326</v>
      </c>
      <c r="D49" s="612" t="s">
        <v>1329</v>
      </c>
      <c r="E49" s="612" t="s">
        <v>1330</v>
      </c>
      <c r="F49" s="615">
        <v>22</v>
      </c>
      <c r="G49" s="615">
        <v>5177.6699999999992</v>
      </c>
      <c r="H49" s="615">
        <v>1</v>
      </c>
      <c r="I49" s="615">
        <v>235.34863636363633</v>
      </c>
      <c r="J49" s="615">
        <v>14</v>
      </c>
      <c r="K49" s="615">
        <v>3341.52</v>
      </c>
      <c r="L49" s="615">
        <v>0.64537137361013752</v>
      </c>
      <c r="M49" s="615">
        <v>238.68</v>
      </c>
      <c r="N49" s="615">
        <v>15</v>
      </c>
      <c r="O49" s="615">
        <v>3580.2</v>
      </c>
      <c r="P49" s="628">
        <v>0.69146932886800438</v>
      </c>
      <c r="Q49" s="616">
        <v>238.67999999999998</v>
      </c>
    </row>
    <row r="50" spans="1:17" ht="14.4" customHeight="1" x14ac:dyDescent="0.3">
      <c r="A50" s="611" t="s">
        <v>527</v>
      </c>
      <c r="B50" s="612" t="s">
        <v>1358</v>
      </c>
      <c r="C50" s="612" t="s">
        <v>1331</v>
      </c>
      <c r="D50" s="612" t="s">
        <v>1378</v>
      </c>
      <c r="E50" s="612" t="s">
        <v>1379</v>
      </c>
      <c r="F50" s="615">
        <v>44</v>
      </c>
      <c r="G50" s="615">
        <v>1274396</v>
      </c>
      <c r="H50" s="615">
        <v>1</v>
      </c>
      <c r="I50" s="615">
        <v>28963.545454545456</v>
      </c>
      <c r="J50" s="615">
        <v>43</v>
      </c>
      <c r="K50" s="615">
        <v>1245495</v>
      </c>
      <c r="L50" s="615">
        <v>0.97732180578093464</v>
      </c>
      <c r="M50" s="615">
        <v>28965</v>
      </c>
      <c r="N50" s="615">
        <v>55</v>
      </c>
      <c r="O50" s="615">
        <v>1593075</v>
      </c>
      <c r="P50" s="628">
        <v>1.2500627748360793</v>
      </c>
      <c r="Q50" s="616">
        <v>28965</v>
      </c>
    </row>
    <row r="51" spans="1:17" ht="14.4" customHeight="1" x14ac:dyDescent="0.3">
      <c r="A51" s="611" t="s">
        <v>527</v>
      </c>
      <c r="B51" s="612" t="s">
        <v>1358</v>
      </c>
      <c r="C51" s="612" t="s">
        <v>1331</v>
      </c>
      <c r="D51" s="612" t="s">
        <v>1380</v>
      </c>
      <c r="E51" s="612" t="s">
        <v>1381</v>
      </c>
      <c r="F51" s="615">
        <v>149</v>
      </c>
      <c r="G51" s="615">
        <v>2036940</v>
      </c>
      <c r="H51" s="615">
        <v>1</v>
      </c>
      <c r="I51" s="615">
        <v>13670.738255033557</v>
      </c>
      <c r="J51" s="615">
        <v>113</v>
      </c>
      <c r="K51" s="615">
        <v>1544936</v>
      </c>
      <c r="L51" s="615">
        <v>0.75845925751372156</v>
      </c>
      <c r="M51" s="615">
        <v>13672</v>
      </c>
      <c r="N51" s="615">
        <v>25</v>
      </c>
      <c r="O51" s="615">
        <v>341800</v>
      </c>
      <c r="P51" s="628">
        <v>0.16780072068887644</v>
      </c>
      <c r="Q51" s="616">
        <v>13672</v>
      </c>
    </row>
    <row r="52" spans="1:17" ht="14.4" customHeight="1" x14ac:dyDescent="0.3">
      <c r="A52" s="611" t="s">
        <v>527</v>
      </c>
      <c r="B52" s="612" t="s">
        <v>1358</v>
      </c>
      <c r="C52" s="612" t="s">
        <v>1331</v>
      </c>
      <c r="D52" s="612" t="s">
        <v>1338</v>
      </c>
      <c r="E52" s="612" t="s">
        <v>1339</v>
      </c>
      <c r="F52" s="615">
        <v>0</v>
      </c>
      <c r="G52" s="615">
        <v>0</v>
      </c>
      <c r="H52" s="615"/>
      <c r="I52" s="615"/>
      <c r="J52" s="615">
        <v>0</v>
      </c>
      <c r="K52" s="615">
        <v>0</v>
      </c>
      <c r="L52" s="615"/>
      <c r="M52" s="615"/>
      <c r="N52" s="615">
        <v>0</v>
      </c>
      <c r="O52" s="615">
        <v>0</v>
      </c>
      <c r="P52" s="628"/>
      <c r="Q52" s="616"/>
    </row>
    <row r="53" spans="1:17" ht="14.4" customHeight="1" x14ac:dyDescent="0.3">
      <c r="A53" s="611" t="s">
        <v>527</v>
      </c>
      <c r="B53" s="612" t="s">
        <v>1358</v>
      </c>
      <c r="C53" s="612" t="s">
        <v>1331</v>
      </c>
      <c r="D53" s="612" t="s">
        <v>1340</v>
      </c>
      <c r="E53" s="612" t="s">
        <v>1341</v>
      </c>
      <c r="F53" s="615">
        <v>435</v>
      </c>
      <c r="G53" s="615">
        <v>0</v>
      </c>
      <c r="H53" s="615"/>
      <c r="I53" s="615">
        <v>0</v>
      </c>
      <c r="J53" s="615">
        <v>322</v>
      </c>
      <c r="K53" s="615">
        <v>0</v>
      </c>
      <c r="L53" s="615"/>
      <c r="M53" s="615">
        <v>0</v>
      </c>
      <c r="N53" s="615">
        <v>310</v>
      </c>
      <c r="O53" s="615">
        <v>0</v>
      </c>
      <c r="P53" s="628"/>
      <c r="Q53" s="616">
        <v>0</v>
      </c>
    </row>
    <row r="54" spans="1:17" ht="14.4" customHeight="1" x14ac:dyDescent="0.3">
      <c r="A54" s="611" t="s">
        <v>527</v>
      </c>
      <c r="B54" s="612" t="s">
        <v>1358</v>
      </c>
      <c r="C54" s="612" t="s">
        <v>1331</v>
      </c>
      <c r="D54" s="612" t="s">
        <v>1382</v>
      </c>
      <c r="E54" s="612" t="s">
        <v>1383</v>
      </c>
      <c r="F54" s="615">
        <v>4</v>
      </c>
      <c r="G54" s="615">
        <v>0</v>
      </c>
      <c r="H54" s="615"/>
      <c r="I54" s="615">
        <v>0</v>
      </c>
      <c r="J54" s="615"/>
      <c r="K54" s="615"/>
      <c r="L54" s="615"/>
      <c r="M54" s="615"/>
      <c r="N54" s="615"/>
      <c r="O54" s="615"/>
      <c r="P54" s="628"/>
      <c r="Q54" s="616"/>
    </row>
    <row r="55" spans="1:17" ht="14.4" customHeight="1" x14ac:dyDescent="0.3">
      <c r="A55" s="611" t="s">
        <v>527</v>
      </c>
      <c r="B55" s="612" t="s">
        <v>1358</v>
      </c>
      <c r="C55" s="612" t="s">
        <v>1331</v>
      </c>
      <c r="D55" s="612" t="s">
        <v>1384</v>
      </c>
      <c r="E55" s="612" t="s">
        <v>1385</v>
      </c>
      <c r="F55" s="615"/>
      <c r="G55" s="615"/>
      <c r="H55" s="615"/>
      <c r="I55" s="615"/>
      <c r="J55" s="615">
        <v>1</v>
      </c>
      <c r="K55" s="615">
        <v>0</v>
      </c>
      <c r="L55" s="615"/>
      <c r="M55" s="615">
        <v>0</v>
      </c>
      <c r="N55" s="615"/>
      <c r="O55" s="615"/>
      <c r="P55" s="628"/>
      <c r="Q55" s="616"/>
    </row>
    <row r="56" spans="1:17" ht="14.4" customHeight="1" x14ac:dyDescent="0.3">
      <c r="A56" s="611" t="s">
        <v>527</v>
      </c>
      <c r="B56" s="612" t="s">
        <v>1358</v>
      </c>
      <c r="C56" s="612" t="s">
        <v>1331</v>
      </c>
      <c r="D56" s="612" t="s">
        <v>1386</v>
      </c>
      <c r="E56" s="612" t="s">
        <v>1387</v>
      </c>
      <c r="F56" s="615"/>
      <c r="G56" s="615"/>
      <c r="H56" s="615"/>
      <c r="I56" s="615"/>
      <c r="J56" s="615">
        <v>3</v>
      </c>
      <c r="K56" s="615">
        <v>0</v>
      </c>
      <c r="L56" s="615"/>
      <c r="M56" s="615">
        <v>0</v>
      </c>
      <c r="N56" s="615"/>
      <c r="O56" s="615"/>
      <c r="P56" s="628"/>
      <c r="Q56" s="616"/>
    </row>
    <row r="57" spans="1:17" ht="14.4" customHeight="1" x14ac:dyDescent="0.3">
      <c r="A57" s="611" t="s">
        <v>527</v>
      </c>
      <c r="B57" s="612" t="s">
        <v>1358</v>
      </c>
      <c r="C57" s="612" t="s">
        <v>1331</v>
      </c>
      <c r="D57" s="612" t="s">
        <v>1342</v>
      </c>
      <c r="E57" s="612" t="s">
        <v>1343</v>
      </c>
      <c r="F57" s="615">
        <v>4</v>
      </c>
      <c r="G57" s="615">
        <v>0</v>
      </c>
      <c r="H57" s="615"/>
      <c r="I57" s="615">
        <v>0</v>
      </c>
      <c r="J57" s="615">
        <v>9</v>
      </c>
      <c r="K57" s="615">
        <v>0</v>
      </c>
      <c r="L57" s="615"/>
      <c r="M57" s="615">
        <v>0</v>
      </c>
      <c r="N57" s="615">
        <v>8</v>
      </c>
      <c r="O57" s="615">
        <v>0</v>
      </c>
      <c r="P57" s="628"/>
      <c r="Q57" s="616">
        <v>0</v>
      </c>
    </row>
    <row r="58" spans="1:17" ht="14.4" customHeight="1" x14ac:dyDescent="0.3">
      <c r="A58" s="611" t="s">
        <v>527</v>
      </c>
      <c r="B58" s="612" t="s">
        <v>1358</v>
      </c>
      <c r="C58" s="612" t="s">
        <v>1331</v>
      </c>
      <c r="D58" s="612" t="s">
        <v>1388</v>
      </c>
      <c r="E58" s="612" t="s">
        <v>1389</v>
      </c>
      <c r="F58" s="615">
        <v>1</v>
      </c>
      <c r="G58" s="615">
        <v>0</v>
      </c>
      <c r="H58" s="615"/>
      <c r="I58" s="615">
        <v>0</v>
      </c>
      <c r="J58" s="615"/>
      <c r="K58" s="615"/>
      <c r="L58" s="615"/>
      <c r="M58" s="615"/>
      <c r="N58" s="615"/>
      <c r="O58" s="615"/>
      <c r="P58" s="628"/>
      <c r="Q58" s="616"/>
    </row>
    <row r="59" spans="1:17" ht="14.4" customHeight="1" x14ac:dyDescent="0.3">
      <c r="A59" s="611" t="s">
        <v>527</v>
      </c>
      <c r="B59" s="612" t="s">
        <v>1358</v>
      </c>
      <c r="C59" s="612" t="s">
        <v>1331</v>
      </c>
      <c r="D59" s="612" t="s">
        <v>1344</v>
      </c>
      <c r="E59" s="612" t="s">
        <v>1345</v>
      </c>
      <c r="F59" s="615">
        <v>8</v>
      </c>
      <c r="G59" s="615">
        <v>0</v>
      </c>
      <c r="H59" s="615"/>
      <c r="I59" s="615">
        <v>0</v>
      </c>
      <c r="J59" s="615">
        <v>12</v>
      </c>
      <c r="K59" s="615">
        <v>0</v>
      </c>
      <c r="L59" s="615"/>
      <c r="M59" s="615">
        <v>0</v>
      </c>
      <c r="N59" s="615">
        <v>10</v>
      </c>
      <c r="O59" s="615">
        <v>0</v>
      </c>
      <c r="P59" s="628"/>
      <c r="Q59" s="616">
        <v>0</v>
      </c>
    </row>
    <row r="60" spans="1:17" ht="14.4" customHeight="1" x14ac:dyDescent="0.3">
      <c r="A60" s="611" t="s">
        <v>527</v>
      </c>
      <c r="B60" s="612" t="s">
        <v>1358</v>
      </c>
      <c r="C60" s="612" t="s">
        <v>1331</v>
      </c>
      <c r="D60" s="612" t="s">
        <v>1346</v>
      </c>
      <c r="E60" s="612" t="s">
        <v>1347</v>
      </c>
      <c r="F60" s="615">
        <v>62</v>
      </c>
      <c r="G60" s="615">
        <v>0</v>
      </c>
      <c r="H60" s="615"/>
      <c r="I60" s="615">
        <v>0</v>
      </c>
      <c r="J60" s="615"/>
      <c r="K60" s="615"/>
      <c r="L60" s="615"/>
      <c r="M60" s="615"/>
      <c r="N60" s="615"/>
      <c r="O60" s="615"/>
      <c r="P60" s="628"/>
      <c r="Q60" s="616"/>
    </row>
    <row r="61" spans="1:17" ht="14.4" customHeight="1" x14ac:dyDescent="0.3">
      <c r="A61" s="611" t="s">
        <v>527</v>
      </c>
      <c r="B61" s="612" t="s">
        <v>1358</v>
      </c>
      <c r="C61" s="612" t="s">
        <v>1331</v>
      </c>
      <c r="D61" s="612" t="s">
        <v>1348</v>
      </c>
      <c r="E61" s="612" t="s">
        <v>1349</v>
      </c>
      <c r="F61" s="615">
        <v>8</v>
      </c>
      <c r="G61" s="615">
        <v>2617</v>
      </c>
      <c r="H61" s="615">
        <v>1</v>
      </c>
      <c r="I61" s="615">
        <v>327.125</v>
      </c>
      <c r="J61" s="615">
        <v>12</v>
      </c>
      <c r="K61" s="615">
        <v>3924</v>
      </c>
      <c r="L61" s="615">
        <v>1.4994268246083302</v>
      </c>
      <c r="M61" s="615">
        <v>327</v>
      </c>
      <c r="N61" s="615">
        <v>11</v>
      </c>
      <c r="O61" s="615">
        <v>3640</v>
      </c>
      <c r="P61" s="628">
        <v>1.3909056171188383</v>
      </c>
      <c r="Q61" s="616">
        <v>330.90909090909093</v>
      </c>
    </row>
    <row r="62" spans="1:17" ht="14.4" customHeight="1" x14ac:dyDescent="0.3">
      <c r="A62" s="611" t="s">
        <v>527</v>
      </c>
      <c r="B62" s="612" t="s">
        <v>1358</v>
      </c>
      <c r="C62" s="612" t="s">
        <v>1331</v>
      </c>
      <c r="D62" s="612" t="s">
        <v>1390</v>
      </c>
      <c r="E62" s="612" t="s">
        <v>1387</v>
      </c>
      <c r="F62" s="615"/>
      <c r="G62" s="615"/>
      <c r="H62" s="615"/>
      <c r="I62" s="615"/>
      <c r="J62" s="615">
        <v>5</v>
      </c>
      <c r="K62" s="615">
        <v>0</v>
      </c>
      <c r="L62" s="615"/>
      <c r="M62" s="615">
        <v>0</v>
      </c>
      <c r="N62" s="615"/>
      <c r="O62" s="615"/>
      <c r="P62" s="628"/>
      <c r="Q62" s="616"/>
    </row>
    <row r="63" spans="1:17" ht="14.4" customHeight="1" x14ac:dyDescent="0.3">
      <c r="A63" s="611" t="s">
        <v>527</v>
      </c>
      <c r="B63" s="612" t="s">
        <v>1358</v>
      </c>
      <c r="C63" s="612" t="s">
        <v>1331</v>
      </c>
      <c r="D63" s="612" t="s">
        <v>1350</v>
      </c>
      <c r="E63" s="612" t="s">
        <v>1351</v>
      </c>
      <c r="F63" s="615">
        <v>27</v>
      </c>
      <c r="G63" s="615">
        <v>17407</v>
      </c>
      <c r="H63" s="615">
        <v>1</v>
      </c>
      <c r="I63" s="615">
        <v>644.7037037037037</v>
      </c>
      <c r="J63" s="615">
        <v>34</v>
      </c>
      <c r="K63" s="615">
        <v>21930</v>
      </c>
      <c r="L63" s="615">
        <v>1.2598379962084219</v>
      </c>
      <c r="M63" s="615">
        <v>645</v>
      </c>
      <c r="N63" s="615">
        <v>27</v>
      </c>
      <c r="O63" s="615">
        <v>17617</v>
      </c>
      <c r="P63" s="628">
        <v>1.0120641121387948</v>
      </c>
      <c r="Q63" s="616">
        <v>652.48148148148152</v>
      </c>
    </row>
    <row r="64" spans="1:17" ht="14.4" customHeight="1" x14ac:dyDescent="0.3">
      <c r="A64" s="611" t="s">
        <v>527</v>
      </c>
      <c r="B64" s="612" t="s">
        <v>1358</v>
      </c>
      <c r="C64" s="612" t="s">
        <v>1331</v>
      </c>
      <c r="D64" s="612" t="s">
        <v>1391</v>
      </c>
      <c r="E64" s="612" t="s">
        <v>1387</v>
      </c>
      <c r="F64" s="615"/>
      <c r="G64" s="615"/>
      <c r="H64" s="615"/>
      <c r="I64" s="615"/>
      <c r="J64" s="615">
        <v>1</v>
      </c>
      <c r="K64" s="615">
        <v>0</v>
      </c>
      <c r="L64" s="615"/>
      <c r="M64" s="615">
        <v>0</v>
      </c>
      <c r="N64" s="615"/>
      <c r="O64" s="615"/>
      <c r="P64" s="628"/>
      <c r="Q64" s="616"/>
    </row>
    <row r="65" spans="1:17" ht="14.4" customHeight="1" x14ac:dyDescent="0.3">
      <c r="A65" s="611" t="s">
        <v>527</v>
      </c>
      <c r="B65" s="612" t="s">
        <v>1358</v>
      </c>
      <c r="C65" s="612" t="s">
        <v>1331</v>
      </c>
      <c r="D65" s="612" t="s">
        <v>1392</v>
      </c>
      <c r="E65" s="612" t="s">
        <v>1393</v>
      </c>
      <c r="F65" s="615">
        <v>303</v>
      </c>
      <c r="G65" s="615">
        <v>1912192</v>
      </c>
      <c r="H65" s="615">
        <v>1</v>
      </c>
      <c r="I65" s="615">
        <v>6310.8646864686471</v>
      </c>
      <c r="J65" s="615">
        <v>297</v>
      </c>
      <c r="K65" s="615">
        <v>1874664</v>
      </c>
      <c r="L65" s="615">
        <v>0.98037435571323384</v>
      </c>
      <c r="M65" s="615">
        <v>6312</v>
      </c>
      <c r="N65" s="615">
        <v>447</v>
      </c>
      <c r="O65" s="615">
        <v>2821464</v>
      </c>
      <c r="P65" s="628">
        <v>1.475512919204766</v>
      </c>
      <c r="Q65" s="616">
        <v>6312</v>
      </c>
    </row>
    <row r="66" spans="1:17" ht="14.4" customHeight="1" x14ac:dyDescent="0.3">
      <c r="A66" s="611" t="s">
        <v>527</v>
      </c>
      <c r="B66" s="612" t="s">
        <v>1358</v>
      </c>
      <c r="C66" s="612" t="s">
        <v>1331</v>
      </c>
      <c r="D66" s="612" t="s">
        <v>1352</v>
      </c>
      <c r="E66" s="612" t="s">
        <v>1353</v>
      </c>
      <c r="F66" s="615">
        <v>8</v>
      </c>
      <c r="G66" s="615">
        <v>0</v>
      </c>
      <c r="H66" s="615"/>
      <c r="I66" s="615">
        <v>0</v>
      </c>
      <c r="J66" s="615">
        <v>2</v>
      </c>
      <c r="K66" s="615">
        <v>0</v>
      </c>
      <c r="L66" s="615"/>
      <c r="M66" s="615">
        <v>0</v>
      </c>
      <c r="N66" s="615">
        <v>6</v>
      </c>
      <c r="O66" s="615">
        <v>0</v>
      </c>
      <c r="P66" s="628"/>
      <c r="Q66" s="616">
        <v>0</v>
      </c>
    </row>
    <row r="67" spans="1:17" ht="14.4" customHeight="1" x14ac:dyDescent="0.3">
      <c r="A67" s="611" t="s">
        <v>527</v>
      </c>
      <c r="B67" s="612" t="s">
        <v>1358</v>
      </c>
      <c r="C67" s="612" t="s">
        <v>1331</v>
      </c>
      <c r="D67" s="612" t="s">
        <v>1394</v>
      </c>
      <c r="E67" s="612" t="s">
        <v>1395</v>
      </c>
      <c r="F67" s="615">
        <v>159</v>
      </c>
      <c r="G67" s="615">
        <v>3932603</v>
      </c>
      <c r="H67" s="615">
        <v>1</v>
      </c>
      <c r="I67" s="615">
        <v>24733.352201257861</v>
      </c>
      <c r="J67" s="615">
        <v>142</v>
      </c>
      <c r="K67" s="615">
        <v>3512370</v>
      </c>
      <c r="L67" s="615">
        <v>0.89314126038148267</v>
      </c>
      <c r="M67" s="615">
        <v>24735</v>
      </c>
      <c r="N67" s="615">
        <v>91</v>
      </c>
      <c r="O67" s="615">
        <v>2250885</v>
      </c>
      <c r="P67" s="628">
        <v>0.57236517390644315</v>
      </c>
      <c r="Q67" s="616">
        <v>24735</v>
      </c>
    </row>
    <row r="68" spans="1:17" ht="14.4" customHeight="1" x14ac:dyDescent="0.3">
      <c r="A68" s="611" t="s">
        <v>527</v>
      </c>
      <c r="B68" s="612" t="s">
        <v>1358</v>
      </c>
      <c r="C68" s="612" t="s">
        <v>1331</v>
      </c>
      <c r="D68" s="612" t="s">
        <v>1396</v>
      </c>
      <c r="E68" s="612" t="s">
        <v>1397</v>
      </c>
      <c r="F68" s="615">
        <v>6</v>
      </c>
      <c r="G68" s="615">
        <v>0</v>
      </c>
      <c r="H68" s="615"/>
      <c r="I68" s="615">
        <v>0</v>
      </c>
      <c r="J68" s="615">
        <v>7</v>
      </c>
      <c r="K68" s="615">
        <v>0</v>
      </c>
      <c r="L68" s="615"/>
      <c r="M68" s="615">
        <v>0</v>
      </c>
      <c r="N68" s="615">
        <v>3</v>
      </c>
      <c r="O68" s="615">
        <v>0</v>
      </c>
      <c r="P68" s="628"/>
      <c r="Q68" s="616">
        <v>0</v>
      </c>
    </row>
    <row r="69" spans="1:17" ht="14.4" customHeight="1" x14ac:dyDescent="0.3">
      <c r="A69" s="611" t="s">
        <v>527</v>
      </c>
      <c r="B69" s="612" t="s">
        <v>1358</v>
      </c>
      <c r="C69" s="612" t="s">
        <v>1331</v>
      </c>
      <c r="D69" s="612" t="s">
        <v>1398</v>
      </c>
      <c r="E69" s="612" t="s">
        <v>1387</v>
      </c>
      <c r="F69" s="615"/>
      <c r="G69" s="615"/>
      <c r="H69" s="615"/>
      <c r="I69" s="615"/>
      <c r="J69" s="615">
        <v>2</v>
      </c>
      <c r="K69" s="615">
        <v>0</v>
      </c>
      <c r="L69" s="615"/>
      <c r="M69" s="615">
        <v>0</v>
      </c>
      <c r="N69" s="615"/>
      <c r="O69" s="615"/>
      <c r="P69" s="628"/>
      <c r="Q69" s="616"/>
    </row>
    <row r="70" spans="1:17" ht="14.4" customHeight="1" x14ac:dyDescent="0.3">
      <c r="A70" s="611" t="s">
        <v>527</v>
      </c>
      <c r="B70" s="612" t="s">
        <v>1358</v>
      </c>
      <c r="C70" s="612" t="s">
        <v>1331</v>
      </c>
      <c r="D70" s="612" t="s">
        <v>1399</v>
      </c>
      <c r="E70" s="612" t="s">
        <v>1400</v>
      </c>
      <c r="F70" s="615">
        <v>4</v>
      </c>
      <c r="G70" s="615">
        <v>0</v>
      </c>
      <c r="H70" s="615"/>
      <c r="I70" s="615">
        <v>0</v>
      </c>
      <c r="J70" s="615">
        <v>7</v>
      </c>
      <c r="K70" s="615">
        <v>0</v>
      </c>
      <c r="L70" s="615"/>
      <c r="M70" s="615">
        <v>0</v>
      </c>
      <c r="N70" s="615">
        <v>4</v>
      </c>
      <c r="O70" s="615">
        <v>0</v>
      </c>
      <c r="P70" s="628"/>
      <c r="Q70" s="616">
        <v>0</v>
      </c>
    </row>
    <row r="71" spans="1:17" ht="14.4" customHeight="1" x14ac:dyDescent="0.3">
      <c r="A71" s="611" t="s">
        <v>527</v>
      </c>
      <c r="B71" s="612" t="s">
        <v>1358</v>
      </c>
      <c r="C71" s="612" t="s">
        <v>1331</v>
      </c>
      <c r="D71" s="612" t="s">
        <v>1401</v>
      </c>
      <c r="E71" s="612" t="s">
        <v>1402</v>
      </c>
      <c r="F71" s="615">
        <v>1</v>
      </c>
      <c r="G71" s="615">
        <v>103</v>
      </c>
      <c r="H71" s="615">
        <v>1</v>
      </c>
      <c r="I71" s="615">
        <v>103</v>
      </c>
      <c r="J71" s="615"/>
      <c r="K71" s="615"/>
      <c r="L71" s="615"/>
      <c r="M71" s="615"/>
      <c r="N71" s="615"/>
      <c r="O71" s="615"/>
      <c r="P71" s="628"/>
      <c r="Q71" s="616"/>
    </row>
    <row r="72" spans="1:17" ht="14.4" customHeight="1" x14ac:dyDescent="0.3">
      <c r="A72" s="611" t="s">
        <v>527</v>
      </c>
      <c r="B72" s="612" t="s">
        <v>1358</v>
      </c>
      <c r="C72" s="612" t="s">
        <v>1331</v>
      </c>
      <c r="D72" s="612" t="s">
        <v>1403</v>
      </c>
      <c r="E72" s="612" t="s">
        <v>1404</v>
      </c>
      <c r="F72" s="615"/>
      <c r="G72" s="615"/>
      <c r="H72" s="615"/>
      <c r="I72" s="615"/>
      <c r="J72" s="615"/>
      <c r="K72" s="615"/>
      <c r="L72" s="615"/>
      <c r="M72" s="615"/>
      <c r="N72" s="615">
        <v>145</v>
      </c>
      <c r="O72" s="615">
        <v>0</v>
      </c>
      <c r="P72" s="628"/>
      <c r="Q72" s="616">
        <v>0</v>
      </c>
    </row>
    <row r="73" spans="1:17" ht="14.4" customHeight="1" x14ac:dyDescent="0.3">
      <c r="A73" s="611" t="s">
        <v>527</v>
      </c>
      <c r="B73" s="612" t="s">
        <v>1405</v>
      </c>
      <c r="C73" s="612" t="s">
        <v>1331</v>
      </c>
      <c r="D73" s="612" t="s">
        <v>1406</v>
      </c>
      <c r="E73" s="612" t="s">
        <v>1407</v>
      </c>
      <c r="F73" s="615">
        <v>1</v>
      </c>
      <c r="G73" s="615">
        <v>3459</v>
      </c>
      <c r="H73" s="615">
        <v>1</v>
      </c>
      <c r="I73" s="615">
        <v>3459</v>
      </c>
      <c r="J73" s="615"/>
      <c r="K73" s="615"/>
      <c r="L73" s="615"/>
      <c r="M73" s="615"/>
      <c r="N73" s="615"/>
      <c r="O73" s="615"/>
      <c r="P73" s="628"/>
      <c r="Q73" s="616"/>
    </row>
    <row r="74" spans="1:17" ht="14.4" customHeight="1" x14ac:dyDescent="0.3">
      <c r="A74" s="611" t="s">
        <v>527</v>
      </c>
      <c r="B74" s="612" t="s">
        <v>1405</v>
      </c>
      <c r="C74" s="612" t="s">
        <v>1331</v>
      </c>
      <c r="D74" s="612" t="s">
        <v>706</v>
      </c>
      <c r="E74" s="612" t="s">
        <v>1408</v>
      </c>
      <c r="F74" s="615">
        <v>1</v>
      </c>
      <c r="G74" s="615">
        <v>1892</v>
      </c>
      <c r="H74" s="615">
        <v>1</v>
      </c>
      <c r="I74" s="615">
        <v>1892</v>
      </c>
      <c r="J74" s="615"/>
      <c r="K74" s="615"/>
      <c r="L74" s="615"/>
      <c r="M74" s="615"/>
      <c r="N74" s="615"/>
      <c r="O74" s="615"/>
      <c r="P74" s="628"/>
      <c r="Q74" s="616"/>
    </row>
    <row r="75" spans="1:17" ht="14.4" customHeight="1" x14ac:dyDescent="0.3">
      <c r="A75" s="611" t="s">
        <v>527</v>
      </c>
      <c r="B75" s="612" t="s">
        <v>1405</v>
      </c>
      <c r="C75" s="612" t="s">
        <v>1331</v>
      </c>
      <c r="D75" s="612" t="s">
        <v>1409</v>
      </c>
      <c r="E75" s="612" t="s">
        <v>1410</v>
      </c>
      <c r="F75" s="615">
        <v>1</v>
      </c>
      <c r="G75" s="615">
        <v>5390</v>
      </c>
      <c r="H75" s="615">
        <v>1</v>
      </c>
      <c r="I75" s="615">
        <v>5390</v>
      </c>
      <c r="J75" s="615"/>
      <c r="K75" s="615"/>
      <c r="L75" s="615"/>
      <c r="M75" s="615"/>
      <c r="N75" s="615"/>
      <c r="O75" s="615"/>
      <c r="P75" s="628"/>
      <c r="Q75" s="616"/>
    </row>
    <row r="76" spans="1:17" ht="14.4" customHeight="1" x14ac:dyDescent="0.3">
      <c r="A76" s="611" t="s">
        <v>527</v>
      </c>
      <c r="B76" s="612" t="s">
        <v>1411</v>
      </c>
      <c r="C76" s="612" t="s">
        <v>1331</v>
      </c>
      <c r="D76" s="612" t="s">
        <v>1412</v>
      </c>
      <c r="E76" s="612" t="s">
        <v>1413</v>
      </c>
      <c r="F76" s="615"/>
      <c r="G76" s="615"/>
      <c r="H76" s="615"/>
      <c r="I76" s="615"/>
      <c r="J76" s="615">
        <v>2</v>
      </c>
      <c r="K76" s="615">
        <v>5356</v>
      </c>
      <c r="L76" s="615"/>
      <c r="M76" s="615">
        <v>2678</v>
      </c>
      <c r="N76" s="615">
        <v>2</v>
      </c>
      <c r="O76" s="615">
        <v>5384</v>
      </c>
      <c r="P76" s="628"/>
      <c r="Q76" s="616">
        <v>2692</v>
      </c>
    </row>
    <row r="77" spans="1:17" ht="14.4" customHeight="1" x14ac:dyDescent="0.3">
      <c r="A77" s="611" t="s">
        <v>527</v>
      </c>
      <c r="B77" s="612" t="s">
        <v>1411</v>
      </c>
      <c r="C77" s="612" t="s">
        <v>1331</v>
      </c>
      <c r="D77" s="612" t="s">
        <v>1414</v>
      </c>
      <c r="E77" s="612" t="s">
        <v>1415</v>
      </c>
      <c r="F77" s="615"/>
      <c r="G77" s="615"/>
      <c r="H77" s="615"/>
      <c r="I77" s="615"/>
      <c r="J77" s="615">
        <v>1</v>
      </c>
      <c r="K77" s="615">
        <v>5940</v>
      </c>
      <c r="L77" s="615"/>
      <c r="M77" s="615">
        <v>5940</v>
      </c>
      <c r="N77" s="615">
        <v>1</v>
      </c>
      <c r="O77" s="615">
        <v>5974</v>
      </c>
      <c r="P77" s="628"/>
      <c r="Q77" s="616">
        <v>5974</v>
      </c>
    </row>
    <row r="78" spans="1:17" ht="14.4" customHeight="1" x14ac:dyDescent="0.3">
      <c r="A78" s="611" t="s">
        <v>527</v>
      </c>
      <c r="B78" s="612" t="s">
        <v>1411</v>
      </c>
      <c r="C78" s="612" t="s">
        <v>1331</v>
      </c>
      <c r="D78" s="612" t="s">
        <v>1416</v>
      </c>
      <c r="E78" s="612" t="s">
        <v>1417</v>
      </c>
      <c r="F78" s="615"/>
      <c r="G78" s="615"/>
      <c r="H78" s="615"/>
      <c r="I78" s="615"/>
      <c r="J78" s="615"/>
      <c r="K78" s="615"/>
      <c r="L78" s="615"/>
      <c r="M78" s="615"/>
      <c r="N78" s="615">
        <v>1</v>
      </c>
      <c r="O78" s="615">
        <v>1048</v>
      </c>
      <c r="P78" s="628"/>
      <c r="Q78" s="616">
        <v>1048</v>
      </c>
    </row>
    <row r="79" spans="1:17" ht="14.4" customHeight="1" x14ac:dyDescent="0.3">
      <c r="A79" s="611" t="s">
        <v>527</v>
      </c>
      <c r="B79" s="612" t="s">
        <v>1411</v>
      </c>
      <c r="C79" s="612" t="s">
        <v>1331</v>
      </c>
      <c r="D79" s="612" t="s">
        <v>1406</v>
      </c>
      <c r="E79" s="612" t="s">
        <v>1407</v>
      </c>
      <c r="F79" s="615"/>
      <c r="G79" s="615"/>
      <c r="H79" s="615"/>
      <c r="I79" s="615"/>
      <c r="J79" s="615">
        <v>1</v>
      </c>
      <c r="K79" s="615">
        <v>3459</v>
      </c>
      <c r="L79" s="615"/>
      <c r="M79" s="615">
        <v>3459</v>
      </c>
      <c r="N79" s="615"/>
      <c r="O79" s="615"/>
      <c r="P79" s="628"/>
      <c r="Q79" s="616"/>
    </row>
    <row r="80" spans="1:17" ht="14.4" customHeight="1" x14ac:dyDescent="0.3">
      <c r="A80" s="611" t="s">
        <v>527</v>
      </c>
      <c r="B80" s="612" t="s">
        <v>1411</v>
      </c>
      <c r="C80" s="612" t="s">
        <v>1331</v>
      </c>
      <c r="D80" s="612" t="s">
        <v>706</v>
      </c>
      <c r="E80" s="612" t="s">
        <v>1408</v>
      </c>
      <c r="F80" s="615"/>
      <c r="G80" s="615"/>
      <c r="H80" s="615"/>
      <c r="I80" s="615"/>
      <c r="J80" s="615">
        <v>1</v>
      </c>
      <c r="K80" s="615">
        <v>1892</v>
      </c>
      <c r="L80" s="615"/>
      <c r="M80" s="615">
        <v>1892</v>
      </c>
      <c r="N80" s="615"/>
      <c r="O80" s="615"/>
      <c r="P80" s="628"/>
      <c r="Q80" s="616"/>
    </row>
    <row r="81" spans="1:17" ht="14.4" customHeight="1" x14ac:dyDescent="0.3">
      <c r="A81" s="611" t="s">
        <v>527</v>
      </c>
      <c r="B81" s="612" t="s">
        <v>1411</v>
      </c>
      <c r="C81" s="612" t="s">
        <v>1331</v>
      </c>
      <c r="D81" s="612" t="s">
        <v>1409</v>
      </c>
      <c r="E81" s="612" t="s">
        <v>1410</v>
      </c>
      <c r="F81" s="615"/>
      <c r="G81" s="615"/>
      <c r="H81" s="615"/>
      <c r="I81" s="615"/>
      <c r="J81" s="615">
        <v>1</v>
      </c>
      <c r="K81" s="615">
        <v>5390</v>
      </c>
      <c r="L81" s="615"/>
      <c r="M81" s="615">
        <v>5390</v>
      </c>
      <c r="N81" s="615">
        <v>2</v>
      </c>
      <c r="O81" s="615">
        <v>10904</v>
      </c>
      <c r="P81" s="628"/>
      <c r="Q81" s="616">
        <v>5452</v>
      </c>
    </row>
    <row r="82" spans="1:17" ht="14.4" customHeight="1" x14ac:dyDescent="0.3">
      <c r="A82" s="611" t="s">
        <v>527</v>
      </c>
      <c r="B82" s="612" t="s">
        <v>1418</v>
      </c>
      <c r="C82" s="612" t="s">
        <v>1331</v>
      </c>
      <c r="D82" s="612" t="s">
        <v>1419</v>
      </c>
      <c r="E82" s="612" t="s">
        <v>1420</v>
      </c>
      <c r="F82" s="615"/>
      <c r="G82" s="615"/>
      <c r="H82" s="615"/>
      <c r="I82" s="615"/>
      <c r="J82" s="615">
        <v>1</v>
      </c>
      <c r="K82" s="615">
        <v>2208</v>
      </c>
      <c r="L82" s="615"/>
      <c r="M82" s="615">
        <v>2208</v>
      </c>
      <c r="N82" s="615"/>
      <c r="O82" s="615"/>
      <c r="P82" s="628"/>
      <c r="Q82" s="616"/>
    </row>
    <row r="83" spans="1:17" ht="14.4" customHeight="1" x14ac:dyDescent="0.3">
      <c r="A83" s="611" t="s">
        <v>527</v>
      </c>
      <c r="B83" s="612" t="s">
        <v>1421</v>
      </c>
      <c r="C83" s="612" t="s">
        <v>1331</v>
      </c>
      <c r="D83" s="612" t="s">
        <v>1422</v>
      </c>
      <c r="E83" s="612" t="s">
        <v>1423</v>
      </c>
      <c r="F83" s="615">
        <v>280</v>
      </c>
      <c r="G83" s="615">
        <v>54877</v>
      </c>
      <c r="H83" s="615">
        <v>1</v>
      </c>
      <c r="I83" s="615">
        <v>195.98928571428573</v>
      </c>
      <c r="J83" s="615">
        <v>244</v>
      </c>
      <c r="K83" s="615">
        <v>47824</v>
      </c>
      <c r="L83" s="615">
        <v>0.87147621043424384</v>
      </c>
      <c r="M83" s="615">
        <v>196</v>
      </c>
      <c r="N83" s="615">
        <v>229</v>
      </c>
      <c r="O83" s="615">
        <v>45338</v>
      </c>
      <c r="P83" s="628">
        <v>0.82617490023142659</v>
      </c>
      <c r="Q83" s="616">
        <v>197.9825327510917</v>
      </c>
    </row>
    <row r="84" spans="1:17" ht="14.4" customHeight="1" thickBot="1" x14ac:dyDescent="0.35">
      <c r="A84" s="617" t="s">
        <v>527</v>
      </c>
      <c r="B84" s="618" t="s">
        <v>1424</v>
      </c>
      <c r="C84" s="618" t="s">
        <v>1331</v>
      </c>
      <c r="D84" s="618" t="s">
        <v>1425</v>
      </c>
      <c r="E84" s="618" t="s">
        <v>1426</v>
      </c>
      <c r="F84" s="621"/>
      <c r="G84" s="621"/>
      <c r="H84" s="621"/>
      <c r="I84" s="621"/>
      <c r="J84" s="621"/>
      <c r="K84" s="621"/>
      <c r="L84" s="621"/>
      <c r="M84" s="621"/>
      <c r="N84" s="621">
        <v>1</v>
      </c>
      <c r="O84" s="621">
        <v>3032</v>
      </c>
      <c r="P84" s="629"/>
      <c r="Q84" s="622">
        <v>3032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28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29" t="s">
        <v>57</v>
      </c>
      <c r="B3" s="511" t="s">
        <v>58</v>
      </c>
      <c r="C3" s="512"/>
      <c r="D3" s="512"/>
      <c r="E3" s="513"/>
      <c r="F3" s="511" t="s">
        <v>266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30"/>
      <c r="B4" s="111">
        <v>2013</v>
      </c>
      <c r="C4" s="112">
        <v>2014</v>
      </c>
      <c r="D4" s="112">
        <v>2015</v>
      </c>
      <c r="E4" s="113" t="s">
        <v>2</v>
      </c>
      <c r="F4" s="112">
        <v>2013</v>
      </c>
      <c r="G4" s="112">
        <v>2014</v>
      </c>
      <c r="H4" s="112">
        <v>2015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80.159000000000006</v>
      </c>
      <c r="C5" s="99">
        <v>88.049000000000007</v>
      </c>
      <c r="D5" s="99">
        <v>61.262999999999998</v>
      </c>
      <c r="E5" s="116">
        <v>0.76426851632380632</v>
      </c>
      <c r="F5" s="117">
        <v>91</v>
      </c>
      <c r="G5" s="99">
        <v>73</v>
      </c>
      <c r="H5" s="99">
        <v>79</v>
      </c>
      <c r="I5" s="118">
        <v>0.86813186813186816</v>
      </c>
      <c r="J5" s="108"/>
      <c r="K5" s="108"/>
      <c r="L5" s="7">
        <f>D5-B5</f>
        <v>-18.896000000000008</v>
      </c>
      <c r="M5" s="8">
        <f>H5-F5</f>
        <v>-12</v>
      </c>
    </row>
    <row r="6" spans="1:13" ht="14.4" hidden="1" customHeight="1" outlineLevel="1" x14ac:dyDescent="0.3">
      <c r="A6" s="104" t="s">
        <v>151</v>
      </c>
      <c r="B6" s="107">
        <v>82.671000000000006</v>
      </c>
      <c r="C6" s="98">
        <v>10.943</v>
      </c>
      <c r="D6" s="98">
        <v>59.011000000000003</v>
      </c>
      <c r="E6" s="119">
        <v>0.71380532472088154</v>
      </c>
      <c r="F6" s="120">
        <v>51</v>
      </c>
      <c r="G6" s="98">
        <v>39</v>
      </c>
      <c r="H6" s="98">
        <v>44</v>
      </c>
      <c r="I6" s="121">
        <v>0.86274509803921573</v>
      </c>
      <c r="J6" s="108"/>
      <c r="K6" s="108"/>
      <c r="L6" s="5">
        <f t="shared" ref="L6:L11" si="0">D6-B6</f>
        <v>-23.660000000000004</v>
      </c>
      <c r="M6" s="6">
        <f t="shared" ref="M6:M13" si="1">H6-F6</f>
        <v>-7</v>
      </c>
    </row>
    <row r="7" spans="1:13" ht="14.4" hidden="1" customHeight="1" outlineLevel="1" x14ac:dyDescent="0.3">
      <c r="A7" s="104" t="s">
        <v>152</v>
      </c>
      <c r="B7" s="107">
        <v>149.12799999999999</v>
      </c>
      <c r="C7" s="98">
        <v>99.557000000000002</v>
      </c>
      <c r="D7" s="98">
        <v>168.6</v>
      </c>
      <c r="E7" s="119">
        <v>1.1305723941848613</v>
      </c>
      <c r="F7" s="120">
        <v>151</v>
      </c>
      <c r="G7" s="98">
        <v>151</v>
      </c>
      <c r="H7" s="98">
        <v>145</v>
      </c>
      <c r="I7" s="121">
        <v>0.96026490066225167</v>
      </c>
      <c r="J7" s="108"/>
      <c r="K7" s="108"/>
      <c r="L7" s="5">
        <f t="shared" si="0"/>
        <v>19.472000000000008</v>
      </c>
      <c r="M7" s="6">
        <f t="shared" si="1"/>
        <v>-6</v>
      </c>
    </row>
    <row r="8" spans="1:13" ht="14.4" hidden="1" customHeight="1" outlineLevel="1" x14ac:dyDescent="0.3">
      <c r="A8" s="104" t="s">
        <v>153</v>
      </c>
      <c r="B8" s="107">
        <v>3.6509999999999998</v>
      </c>
      <c r="C8" s="98">
        <v>3.6339999999999999</v>
      </c>
      <c r="D8" s="98">
        <v>27.071000000000002</v>
      </c>
      <c r="E8" s="119">
        <v>7.414680909339908</v>
      </c>
      <c r="F8" s="120">
        <v>11</v>
      </c>
      <c r="G8" s="98">
        <v>14</v>
      </c>
      <c r="H8" s="98">
        <v>13</v>
      </c>
      <c r="I8" s="121">
        <v>1.1818181818181819</v>
      </c>
      <c r="J8" s="108"/>
      <c r="K8" s="108"/>
      <c r="L8" s="5">
        <f t="shared" si="0"/>
        <v>23.42</v>
      </c>
      <c r="M8" s="6">
        <f t="shared" si="1"/>
        <v>2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529</v>
      </c>
      <c r="F9" s="120">
        <v>0</v>
      </c>
      <c r="G9" s="98">
        <v>0</v>
      </c>
      <c r="H9" s="98">
        <v>0</v>
      </c>
      <c r="I9" s="121" t="s">
        <v>529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41.268000000000001</v>
      </c>
      <c r="C10" s="98">
        <v>51.298000000000002</v>
      </c>
      <c r="D10" s="98">
        <v>19.620999999999999</v>
      </c>
      <c r="E10" s="119">
        <v>0.47545313560143448</v>
      </c>
      <c r="F10" s="120">
        <v>47</v>
      </c>
      <c r="G10" s="98">
        <v>52</v>
      </c>
      <c r="H10" s="98">
        <v>51</v>
      </c>
      <c r="I10" s="121">
        <v>1.0851063829787233</v>
      </c>
      <c r="J10" s="108"/>
      <c r="K10" s="108"/>
      <c r="L10" s="5">
        <f t="shared" si="0"/>
        <v>-21.647000000000002</v>
      </c>
      <c r="M10" s="6">
        <f t="shared" si="1"/>
        <v>4</v>
      </c>
    </row>
    <row r="11" spans="1:13" ht="14.4" hidden="1" customHeight="1" outlineLevel="1" x14ac:dyDescent="0.3">
      <c r="A11" s="104" t="s">
        <v>156</v>
      </c>
      <c r="B11" s="107">
        <v>0.71099999999999997</v>
      </c>
      <c r="C11" s="98">
        <v>48.64</v>
      </c>
      <c r="D11" s="98">
        <v>27.991</v>
      </c>
      <c r="E11" s="119">
        <v>39.368495077355838</v>
      </c>
      <c r="F11" s="120">
        <v>3</v>
      </c>
      <c r="G11" s="98">
        <v>5</v>
      </c>
      <c r="H11" s="98">
        <v>9</v>
      </c>
      <c r="I11" s="121">
        <v>3</v>
      </c>
      <c r="J11" s="108"/>
      <c r="K11" s="108"/>
      <c r="L11" s="5">
        <f t="shared" si="0"/>
        <v>27.28</v>
      </c>
      <c r="M11" s="6">
        <f t="shared" si="1"/>
        <v>6</v>
      </c>
    </row>
    <row r="12" spans="1:13" ht="14.4" hidden="1" customHeight="1" outlineLevel="1" thickBot="1" x14ac:dyDescent="0.35">
      <c r="A12" s="228" t="s">
        <v>187</v>
      </c>
      <c r="B12" s="229">
        <v>0.11</v>
      </c>
      <c r="C12" s="230">
        <v>9.8689999999999998</v>
      </c>
      <c r="D12" s="230">
        <v>0.221</v>
      </c>
      <c r="E12" s="231"/>
      <c r="F12" s="232">
        <v>1</v>
      </c>
      <c r="G12" s="230">
        <v>1</v>
      </c>
      <c r="H12" s="230">
        <v>1</v>
      </c>
      <c r="I12" s="233"/>
      <c r="J12" s="108"/>
      <c r="K12" s="108"/>
      <c r="L12" s="234">
        <f>D12-B12</f>
        <v>0.111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357.69799999999998</v>
      </c>
      <c r="C13" s="101">
        <f>SUM(C5:C12)</f>
        <v>311.99</v>
      </c>
      <c r="D13" s="101">
        <f>SUM(D5:D12)</f>
        <v>363.77800000000002</v>
      </c>
      <c r="E13" s="122">
        <f>IF(OR(D13=0,B13=0),0,D13/B13)</f>
        <v>1.0169975789632597</v>
      </c>
      <c r="F13" s="123">
        <f>SUM(F5:F12)</f>
        <v>355</v>
      </c>
      <c r="G13" s="101">
        <f>SUM(G5:G12)</f>
        <v>335</v>
      </c>
      <c r="H13" s="101">
        <f>SUM(H5:H12)</f>
        <v>342</v>
      </c>
      <c r="I13" s="124">
        <f>IF(OR(H13=0,F13=0),0,H13/F13)</f>
        <v>0.96338028169014089</v>
      </c>
      <c r="J13" s="108"/>
      <c r="K13" s="108"/>
      <c r="L13" s="114">
        <f>D13-B13</f>
        <v>6.0800000000000409</v>
      </c>
      <c r="M13" s="125">
        <f t="shared" si="1"/>
        <v>-13</v>
      </c>
    </row>
    <row r="14" spans="1:13" ht="14.4" customHeight="1" x14ac:dyDescent="0.3">
      <c r="A14" s="126"/>
      <c r="B14" s="531"/>
      <c r="C14" s="531"/>
      <c r="D14" s="531"/>
      <c r="E14" s="531"/>
      <c r="F14" s="531"/>
      <c r="G14" s="531"/>
      <c r="H14" s="531"/>
      <c r="I14" s="531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37" t="s">
        <v>183</v>
      </c>
      <c r="B16" s="539" t="s">
        <v>58</v>
      </c>
      <c r="C16" s="540"/>
      <c r="D16" s="540"/>
      <c r="E16" s="541"/>
      <c r="F16" s="539" t="s">
        <v>266</v>
      </c>
      <c r="G16" s="540"/>
      <c r="H16" s="540"/>
      <c r="I16" s="541"/>
      <c r="J16" s="522" t="s">
        <v>160</v>
      </c>
      <c r="K16" s="523"/>
      <c r="L16" s="143"/>
      <c r="M16" s="143"/>
    </row>
    <row r="17" spans="1:13" ht="14.4" customHeight="1" thickBot="1" x14ac:dyDescent="0.35">
      <c r="A17" s="538"/>
      <c r="B17" s="127">
        <v>2013</v>
      </c>
      <c r="C17" s="128">
        <v>2014</v>
      </c>
      <c r="D17" s="128">
        <v>2015</v>
      </c>
      <c r="E17" s="129" t="s">
        <v>2</v>
      </c>
      <c r="F17" s="127">
        <v>2013</v>
      </c>
      <c r="G17" s="128">
        <v>2014</v>
      </c>
      <c r="H17" s="128">
        <v>2015</v>
      </c>
      <c r="I17" s="129" t="s">
        <v>2</v>
      </c>
      <c r="J17" s="524" t="s">
        <v>161</v>
      </c>
      <c r="K17" s="525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80.159000000000006</v>
      </c>
      <c r="C18" s="99">
        <v>88.049000000000007</v>
      </c>
      <c r="D18" s="99">
        <v>61.262999999999998</v>
      </c>
      <c r="E18" s="116">
        <v>0.76426851632380632</v>
      </c>
      <c r="F18" s="106">
        <v>91</v>
      </c>
      <c r="G18" s="99">
        <v>73</v>
      </c>
      <c r="H18" s="99">
        <v>79</v>
      </c>
      <c r="I18" s="118">
        <v>0.86813186813186816</v>
      </c>
      <c r="J18" s="526">
        <f>0.97*0.976</f>
        <v>0.94672000000000001</v>
      </c>
      <c r="K18" s="527"/>
      <c r="L18" s="132">
        <f>D18-B18</f>
        <v>-18.896000000000008</v>
      </c>
      <c r="M18" s="133">
        <f>H18-F18</f>
        <v>-12</v>
      </c>
    </row>
    <row r="19" spans="1:13" ht="14.4" hidden="1" customHeight="1" outlineLevel="1" x14ac:dyDescent="0.3">
      <c r="A19" s="104" t="s">
        <v>151</v>
      </c>
      <c r="B19" s="107">
        <v>82.671000000000006</v>
      </c>
      <c r="C19" s="98">
        <v>10.943</v>
      </c>
      <c r="D19" s="98">
        <v>59.011000000000003</v>
      </c>
      <c r="E19" s="119">
        <v>0.71380532472088154</v>
      </c>
      <c r="F19" s="107">
        <v>51</v>
      </c>
      <c r="G19" s="98">
        <v>39</v>
      </c>
      <c r="H19" s="98">
        <v>44</v>
      </c>
      <c r="I19" s="121">
        <v>0.86274509803921573</v>
      </c>
      <c r="J19" s="526">
        <f>0.97*1.096</f>
        <v>1.0631200000000001</v>
      </c>
      <c r="K19" s="527"/>
      <c r="L19" s="134">
        <f t="shared" ref="L19:L26" si="2">D19-B19</f>
        <v>-23.660000000000004</v>
      </c>
      <c r="M19" s="135">
        <f t="shared" ref="M19:M26" si="3">H19-F19</f>
        <v>-7</v>
      </c>
    </row>
    <row r="20" spans="1:13" ht="14.4" hidden="1" customHeight="1" outlineLevel="1" x14ac:dyDescent="0.3">
      <c r="A20" s="104" t="s">
        <v>152</v>
      </c>
      <c r="B20" s="107">
        <v>149.12799999999999</v>
      </c>
      <c r="C20" s="98">
        <v>99.557000000000002</v>
      </c>
      <c r="D20" s="98">
        <v>168.6</v>
      </c>
      <c r="E20" s="119">
        <v>1.1305723941848613</v>
      </c>
      <c r="F20" s="107">
        <v>151</v>
      </c>
      <c r="G20" s="98">
        <v>151</v>
      </c>
      <c r="H20" s="98">
        <v>145</v>
      </c>
      <c r="I20" s="121">
        <v>0.96026490066225167</v>
      </c>
      <c r="J20" s="526">
        <f>0.97*1.047</f>
        <v>1.01559</v>
      </c>
      <c r="K20" s="527"/>
      <c r="L20" s="134">
        <f t="shared" si="2"/>
        <v>19.472000000000008</v>
      </c>
      <c r="M20" s="135">
        <f t="shared" si="3"/>
        <v>-6</v>
      </c>
    </row>
    <row r="21" spans="1:13" ht="14.4" hidden="1" customHeight="1" outlineLevel="1" x14ac:dyDescent="0.3">
      <c r="A21" s="104" t="s">
        <v>153</v>
      </c>
      <c r="B21" s="107">
        <v>3.6509999999999998</v>
      </c>
      <c r="C21" s="98">
        <v>3.6339999999999999</v>
      </c>
      <c r="D21" s="98">
        <v>27.071000000000002</v>
      </c>
      <c r="E21" s="119">
        <v>7.414680909339908</v>
      </c>
      <c r="F21" s="107">
        <v>11</v>
      </c>
      <c r="G21" s="98">
        <v>14</v>
      </c>
      <c r="H21" s="98">
        <v>13</v>
      </c>
      <c r="I21" s="121">
        <v>1.1818181818181819</v>
      </c>
      <c r="J21" s="526">
        <f>0.97*1.091</f>
        <v>1.05827</v>
      </c>
      <c r="K21" s="527"/>
      <c r="L21" s="134">
        <f t="shared" si="2"/>
        <v>23.42</v>
      </c>
      <c r="M21" s="135">
        <f t="shared" si="3"/>
        <v>2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529</v>
      </c>
      <c r="F22" s="107">
        <v>0</v>
      </c>
      <c r="G22" s="98">
        <v>0</v>
      </c>
      <c r="H22" s="98">
        <v>0</v>
      </c>
      <c r="I22" s="121" t="s">
        <v>529</v>
      </c>
      <c r="J22" s="526">
        <f>0.97*1</f>
        <v>0.97</v>
      </c>
      <c r="K22" s="527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41.268000000000001</v>
      </c>
      <c r="C23" s="98">
        <v>51.298000000000002</v>
      </c>
      <c r="D23" s="98">
        <v>19.620999999999999</v>
      </c>
      <c r="E23" s="119">
        <v>0.47545313560143448</v>
      </c>
      <c r="F23" s="107">
        <v>47</v>
      </c>
      <c r="G23" s="98">
        <v>52</v>
      </c>
      <c r="H23" s="98">
        <v>51</v>
      </c>
      <c r="I23" s="121">
        <v>1.0851063829787233</v>
      </c>
      <c r="J23" s="526">
        <f>0.97*1.096</f>
        <v>1.0631200000000001</v>
      </c>
      <c r="K23" s="527"/>
      <c r="L23" s="134">
        <f t="shared" si="2"/>
        <v>-21.647000000000002</v>
      </c>
      <c r="M23" s="135">
        <f t="shared" si="3"/>
        <v>4</v>
      </c>
    </row>
    <row r="24" spans="1:13" ht="14.4" hidden="1" customHeight="1" outlineLevel="1" x14ac:dyDescent="0.3">
      <c r="A24" s="104" t="s">
        <v>156</v>
      </c>
      <c r="B24" s="107">
        <v>0.71099999999999997</v>
      </c>
      <c r="C24" s="98">
        <v>48.64</v>
      </c>
      <c r="D24" s="98">
        <v>27.991</v>
      </c>
      <c r="E24" s="119">
        <v>39.368495077355838</v>
      </c>
      <c r="F24" s="107">
        <v>3</v>
      </c>
      <c r="G24" s="98">
        <v>5</v>
      </c>
      <c r="H24" s="98">
        <v>9</v>
      </c>
      <c r="I24" s="121">
        <v>3</v>
      </c>
      <c r="J24" s="526">
        <f>0.97*0.989</f>
        <v>0.95933000000000002</v>
      </c>
      <c r="K24" s="527"/>
      <c r="L24" s="134">
        <f t="shared" si="2"/>
        <v>27.28</v>
      </c>
      <c r="M24" s="135">
        <f t="shared" si="3"/>
        <v>6</v>
      </c>
    </row>
    <row r="25" spans="1:13" ht="14.4" hidden="1" customHeight="1" outlineLevel="1" thickBot="1" x14ac:dyDescent="0.35">
      <c r="A25" s="228" t="s">
        <v>187</v>
      </c>
      <c r="B25" s="229">
        <v>0.11</v>
      </c>
      <c r="C25" s="230">
        <v>9.8689999999999998</v>
      </c>
      <c r="D25" s="230">
        <v>0.221</v>
      </c>
      <c r="E25" s="231"/>
      <c r="F25" s="229">
        <v>1</v>
      </c>
      <c r="G25" s="230">
        <v>1</v>
      </c>
      <c r="H25" s="230">
        <v>1</v>
      </c>
      <c r="I25" s="233"/>
      <c r="J25" s="343"/>
      <c r="K25" s="344"/>
      <c r="L25" s="236">
        <f>D25-B25</f>
        <v>0.111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357.69799999999998</v>
      </c>
      <c r="C26" s="138">
        <f>SUM(C18:C25)</f>
        <v>311.99</v>
      </c>
      <c r="D26" s="138">
        <f>SUM(D18:D25)</f>
        <v>363.77800000000002</v>
      </c>
      <c r="E26" s="139">
        <f>IF(OR(D26=0,B26=0),0,D26/B26)</f>
        <v>1.0169975789632597</v>
      </c>
      <c r="F26" s="137">
        <f>SUM(F18:F25)</f>
        <v>355</v>
      </c>
      <c r="G26" s="138">
        <f>SUM(G18:G25)</f>
        <v>335</v>
      </c>
      <c r="H26" s="138">
        <f>SUM(H18:H25)</f>
        <v>342</v>
      </c>
      <c r="I26" s="140">
        <f>IF(OR(H26=0,F26=0),0,H26/F26)</f>
        <v>0.96338028169014089</v>
      </c>
      <c r="J26" s="108"/>
      <c r="K26" s="108"/>
      <c r="L26" s="130">
        <f t="shared" si="2"/>
        <v>6.0800000000000409</v>
      </c>
      <c r="M26" s="141">
        <f t="shared" si="3"/>
        <v>-13</v>
      </c>
    </row>
    <row r="27" spans="1:13" ht="14.4" customHeight="1" x14ac:dyDescent="0.3">
      <c r="A27" s="142"/>
      <c r="B27" s="531" t="s">
        <v>185</v>
      </c>
      <c r="C27" s="542"/>
      <c r="D27" s="542"/>
      <c r="E27" s="542"/>
      <c r="F27" s="531" t="s">
        <v>186</v>
      </c>
      <c r="G27" s="542"/>
      <c r="H27" s="542"/>
      <c r="I27" s="542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32" t="s">
        <v>184</v>
      </c>
      <c r="B29" s="534" t="s">
        <v>58</v>
      </c>
      <c r="C29" s="535"/>
      <c r="D29" s="535"/>
      <c r="E29" s="536"/>
      <c r="F29" s="535" t="s">
        <v>266</v>
      </c>
      <c r="G29" s="535"/>
      <c r="H29" s="535"/>
      <c r="I29" s="536"/>
      <c r="J29" s="143"/>
      <c r="K29" s="143"/>
      <c r="L29" s="143"/>
      <c r="M29" s="144"/>
    </row>
    <row r="30" spans="1:13" ht="14.4" customHeight="1" thickBot="1" x14ac:dyDescent="0.35">
      <c r="A30" s="533"/>
      <c r="B30" s="145">
        <v>2013</v>
      </c>
      <c r="C30" s="146">
        <v>2014</v>
      </c>
      <c r="D30" s="146">
        <v>2015</v>
      </c>
      <c r="E30" s="147" t="s">
        <v>2</v>
      </c>
      <c r="F30" s="146">
        <v>2013</v>
      </c>
      <c r="G30" s="146">
        <v>2014</v>
      </c>
      <c r="H30" s="146">
        <v>2015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529</v>
      </c>
      <c r="F31" s="117">
        <v>0</v>
      </c>
      <c r="G31" s="99">
        <v>0</v>
      </c>
      <c r="H31" s="99">
        <v>0</v>
      </c>
      <c r="I31" s="118" t="s">
        <v>529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529</v>
      </c>
      <c r="F32" s="120">
        <v>0</v>
      </c>
      <c r="G32" s="98">
        <v>0</v>
      </c>
      <c r="H32" s="98">
        <v>0</v>
      </c>
      <c r="I32" s="121" t="s">
        <v>529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529</v>
      </c>
      <c r="F33" s="120">
        <v>0</v>
      </c>
      <c r="G33" s="98">
        <v>0</v>
      </c>
      <c r="H33" s="98">
        <v>0</v>
      </c>
      <c r="I33" s="121" t="s">
        <v>529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529</v>
      </c>
      <c r="F34" s="120">
        <v>0</v>
      </c>
      <c r="G34" s="98">
        <v>0</v>
      </c>
      <c r="H34" s="98">
        <v>0</v>
      </c>
      <c r="I34" s="121" t="s">
        <v>529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529</v>
      </c>
      <c r="F35" s="120">
        <v>0</v>
      </c>
      <c r="G35" s="98">
        <v>0</v>
      </c>
      <c r="H35" s="98">
        <v>0</v>
      </c>
      <c r="I35" s="121" t="s">
        <v>529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529</v>
      </c>
      <c r="F36" s="120">
        <v>0</v>
      </c>
      <c r="G36" s="98">
        <v>0</v>
      </c>
      <c r="H36" s="98">
        <v>0</v>
      </c>
      <c r="I36" s="121" t="s">
        <v>529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529</v>
      </c>
      <c r="F37" s="120">
        <v>0</v>
      </c>
      <c r="G37" s="98">
        <v>0</v>
      </c>
      <c r="H37" s="98">
        <v>0</v>
      </c>
      <c r="I37" s="121" t="s">
        <v>529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187</v>
      </c>
      <c r="B38" s="229">
        <v>0</v>
      </c>
      <c r="C38" s="230">
        <v>0</v>
      </c>
      <c r="D38" s="230">
        <v>0</v>
      </c>
      <c r="E38" s="231" t="s">
        <v>529</v>
      </c>
      <c r="F38" s="232">
        <v>0</v>
      </c>
      <c r="G38" s="230">
        <v>0</v>
      </c>
      <c r="H38" s="230">
        <v>0</v>
      </c>
      <c r="I38" s="233" t="s">
        <v>529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269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265</v>
      </c>
    </row>
    <row r="43" spans="1:13" ht="14.4" customHeight="1" x14ac:dyDescent="0.25">
      <c r="A43" s="428" t="s">
        <v>271</v>
      </c>
    </row>
    <row r="44" spans="1:13" ht="14.4" customHeight="1" x14ac:dyDescent="0.25">
      <c r="A44" s="427" t="s">
        <v>267</v>
      </c>
    </row>
    <row r="45" spans="1:13" ht="14.4" customHeight="1" x14ac:dyDescent="0.25">
      <c r="A45" s="428" t="s">
        <v>268</v>
      </c>
    </row>
    <row r="46" spans="1:13" ht="14.4" customHeight="1" x14ac:dyDescent="0.3">
      <c r="A46" s="227" t="s">
        <v>270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305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1299.6199999999999</v>
      </c>
      <c r="C33" s="188">
        <v>1306</v>
      </c>
      <c r="D33" s="75">
        <f>IF(C33="","",C33-B33)</f>
        <v>6.3800000000001091</v>
      </c>
      <c r="E33" s="76">
        <f>IF(C33="","",C33/B33)</f>
        <v>1.0049091272833599</v>
      </c>
      <c r="F33" s="77">
        <v>181.23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2754.29</v>
      </c>
      <c r="C34" s="189">
        <v>2642</v>
      </c>
      <c r="D34" s="78">
        <f t="shared" ref="D34:D45" si="0">IF(C34="","",C34-B34)</f>
        <v>-112.28999999999996</v>
      </c>
      <c r="E34" s="79">
        <f t="shared" ref="E34:E45" si="1">IF(C34="","",C34/B34)</f>
        <v>0.95923087256606965</v>
      </c>
      <c r="F34" s="80">
        <v>333.5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/>
      <c r="C35" s="189"/>
      <c r="D35" s="78" t="str">
        <f t="shared" si="0"/>
        <v/>
      </c>
      <c r="E35" s="79" t="str">
        <f t="shared" si="1"/>
        <v/>
      </c>
      <c r="F35" s="80"/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/>
      <c r="C36" s="189"/>
      <c r="D36" s="78" t="str">
        <f t="shared" si="0"/>
        <v/>
      </c>
      <c r="E36" s="79" t="str">
        <f t="shared" si="1"/>
        <v/>
      </c>
      <c r="F36" s="80"/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/>
      <c r="C37" s="189"/>
      <c r="D37" s="78" t="str">
        <f t="shared" si="0"/>
        <v/>
      </c>
      <c r="E37" s="79" t="str">
        <f t="shared" si="1"/>
        <v/>
      </c>
      <c r="F37" s="80"/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/>
      <c r="C38" s="189"/>
      <c r="D38" s="78" t="str">
        <f t="shared" si="0"/>
        <v/>
      </c>
      <c r="E38" s="79" t="str">
        <f t="shared" si="1"/>
        <v/>
      </c>
      <c r="F38" s="80"/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/>
      <c r="C39" s="189"/>
      <c r="D39" s="78" t="str">
        <f t="shared" si="0"/>
        <v/>
      </c>
      <c r="E39" s="79" t="str">
        <f t="shared" si="1"/>
        <v/>
      </c>
      <c r="F39" s="80"/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305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9254.2895324658512</v>
      </c>
      <c r="D4" s="269">
        <f ca="1">IF(ISERROR(VLOOKUP("Náklady celkem",INDIRECT("HI!$A:$G"),5,0)),0,VLOOKUP("Náklady celkem",INDIRECT("HI!$A:$G"),5,0))</f>
        <v>9116.1795800000127</v>
      </c>
      <c r="E4" s="270">
        <f ca="1">IF(C4=0,0,D4/C4)</f>
        <v>0.98507611502954151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395.92776887455369</v>
      </c>
      <c r="D7" s="277">
        <f>IF(ISERROR(HI!E5),"",HI!E5)</f>
        <v>358.40806999999995</v>
      </c>
      <c r="E7" s="274">
        <f t="shared" ref="E7:E13" si="0">IF(C7=0,0,D7/C7)</f>
        <v>0.9052360005432164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0.95074588717879893</v>
      </c>
      <c r="E8" s="274">
        <f t="shared" si="0"/>
        <v>1.0563843190875544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282</v>
      </c>
      <c r="C9" s="442">
        <v>0.3</v>
      </c>
      <c r="D9" s="442">
        <f>IF('LŽ Statim'!G3="",0,'LŽ Statim'!G3)</f>
        <v>0.10490693739424704</v>
      </c>
      <c r="E9" s="274">
        <f>IF(C9=0,0,D9/C9)</f>
        <v>0.34968979131415684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664.91581239009565</v>
      </c>
      <c r="D13" s="277">
        <f>IF(ISERROR(HI!E6),"",HI!E6)</f>
        <v>641.72287000000097</v>
      </c>
      <c r="E13" s="274">
        <f t="shared" si="0"/>
        <v>0.96511897903777366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6784.4997863046992</v>
      </c>
      <c r="D14" s="273">
        <f ca="1">IF(ISERROR(VLOOKUP("Osobní náklady (Kč) *",INDIRECT("HI!$A:$G"),5,0)),0,VLOOKUP("Osobní náklady (Kč) *",INDIRECT("HI!$A:$G"),5,0))</f>
        <v>6756.2118500000033</v>
      </c>
      <c r="E14" s="274">
        <f ca="1">IF(C14=0,0,D14/C14)</f>
        <v>0.99583050524051919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10730.939999999999</v>
      </c>
      <c r="D16" s="293">
        <f ca="1">IF(ISERROR(VLOOKUP("Výnosy celkem",INDIRECT("HI!$A:$G"),5,0)),0,VLOOKUP("Výnosy celkem",INDIRECT("HI!$A:$G"),5,0))</f>
        <v>10913.34</v>
      </c>
      <c r="E16" s="294">
        <f t="shared" ref="E16:E25" ca="1" si="1">IF(C16=0,0,D16/C16)</f>
        <v>1.0169975789632597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0.78680163057238073</v>
      </c>
      <c r="E18" s="274">
        <f t="shared" si="1"/>
        <v>0.92564897714397731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10730.939999999999</v>
      </c>
      <c r="D19" s="273">
        <f ca="1">IF(ISERROR(VLOOKUP("Hospitalizace *",INDIRECT("HI!$A:$G"),5,0)),0,VLOOKUP("Hospitalizace *",INDIRECT("HI!$A:$G"),5,0))</f>
        <v>10913.34</v>
      </c>
      <c r="E19" s="274">
        <f ca="1">IF(C19=0,0,D19/C19)</f>
        <v>1.0169975789632597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1.0169975789632597</v>
      </c>
      <c r="E20" s="274">
        <f t="shared" si="1"/>
        <v>1.0169975789632597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1.0169975789632597</v>
      </c>
      <c r="E21" s="274">
        <f t="shared" si="1"/>
        <v>1.0169975789632597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0.96338028169014089</v>
      </c>
      <c r="E23" s="274">
        <f t="shared" si="1"/>
        <v>1.0140845070422537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0.95923087256606965</v>
      </c>
      <c r="E24" s="274">
        <f t="shared" si="1"/>
        <v>0.95923087256606965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0.95</v>
      </c>
      <c r="D25" s="279">
        <f>IF(ISERROR(VLOOKUP("Celkem:",'ZV Vyžád.'!$A:$M,7,0)),"",VLOOKUP("Celkem:",'ZV Vyžád.'!$A:$M,7,0))</f>
        <v>0.87394559926222082</v>
      </c>
      <c r="E25" s="274">
        <f t="shared" si="1"/>
        <v>0.91994273606549559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3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1493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2013</v>
      </c>
      <c r="C3" s="554"/>
      <c r="D3" s="555"/>
      <c r="E3" s="553">
        <v>2014</v>
      </c>
      <c r="F3" s="554"/>
      <c r="G3" s="555"/>
      <c r="H3" s="553">
        <v>2015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7"/>
      <c r="B4" s="738" t="s">
        <v>71</v>
      </c>
      <c r="C4" s="739" t="s">
        <v>59</v>
      </c>
      <c r="D4" s="740" t="s">
        <v>72</v>
      </c>
      <c r="E4" s="738" t="s">
        <v>71</v>
      </c>
      <c r="F4" s="739" t="s">
        <v>59</v>
      </c>
      <c r="G4" s="740" t="s">
        <v>72</v>
      </c>
      <c r="H4" s="738" t="s">
        <v>71</v>
      </c>
      <c r="I4" s="739" t="s">
        <v>59</v>
      </c>
      <c r="J4" s="740" t="s">
        <v>72</v>
      </c>
      <c r="K4" s="741"/>
      <c r="L4" s="742"/>
      <c r="M4" s="742"/>
      <c r="N4" s="742"/>
      <c r="O4" s="743"/>
      <c r="P4" s="744"/>
      <c r="Q4" s="745" t="s">
        <v>60</v>
      </c>
      <c r="R4" s="746" t="s">
        <v>59</v>
      </c>
      <c r="S4" s="747" t="s">
        <v>73</v>
      </c>
      <c r="T4" s="748" t="s">
        <v>74</v>
      </c>
      <c r="U4" s="748" t="s">
        <v>75</v>
      </c>
      <c r="V4" s="749" t="s">
        <v>2</v>
      </c>
      <c r="W4" s="750" t="s">
        <v>76</v>
      </c>
    </row>
    <row r="5" spans="1:23" ht="14.4" customHeight="1" x14ac:dyDescent="0.3">
      <c r="A5" s="780" t="s">
        <v>1428</v>
      </c>
      <c r="B5" s="379"/>
      <c r="C5" s="751"/>
      <c r="D5" s="752"/>
      <c r="E5" s="753"/>
      <c r="F5" s="754"/>
      <c r="G5" s="755"/>
      <c r="H5" s="756">
        <v>1</v>
      </c>
      <c r="I5" s="757">
        <v>0.12</v>
      </c>
      <c r="J5" s="758">
        <v>3</v>
      </c>
      <c r="K5" s="759">
        <v>0.12</v>
      </c>
      <c r="L5" s="760">
        <v>1</v>
      </c>
      <c r="M5" s="760">
        <v>5</v>
      </c>
      <c r="N5" s="761">
        <v>1.71</v>
      </c>
      <c r="O5" s="760" t="s">
        <v>1429</v>
      </c>
      <c r="P5" s="762" t="s">
        <v>1430</v>
      </c>
      <c r="Q5" s="763">
        <f>H5-B5</f>
        <v>1</v>
      </c>
      <c r="R5" s="763">
        <f>I5-C5</f>
        <v>0.12</v>
      </c>
      <c r="S5" s="379">
        <f>IF(H5=0,"",H5*N5)</f>
        <v>1.71</v>
      </c>
      <c r="T5" s="379">
        <f>IF(H5=0,"",H5*J5)</f>
        <v>3</v>
      </c>
      <c r="U5" s="379">
        <f>IF(H5=0,"",T5-S5)</f>
        <v>1.29</v>
      </c>
      <c r="V5" s="764">
        <f>IF(H5=0,"",T5/S5)</f>
        <v>1.7543859649122808</v>
      </c>
      <c r="W5" s="765">
        <v>1.29</v>
      </c>
    </row>
    <row r="6" spans="1:23" ht="14.4" customHeight="1" x14ac:dyDescent="0.3">
      <c r="A6" s="781" t="s">
        <v>1431</v>
      </c>
      <c r="B6" s="766"/>
      <c r="C6" s="767"/>
      <c r="D6" s="736"/>
      <c r="E6" s="768"/>
      <c r="F6" s="769"/>
      <c r="G6" s="721"/>
      <c r="H6" s="770">
        <v>1</v>
      </c>
      <c r="I6" s="771">
        <v>0.18</v>
      </c>
      <c r="J6" s="722">
        <v>4</v>
      </c>
      <c r="K6" s="772">
        <v>0.18</v>
      </c>
      <c r="L6" s="773">
        <v>1</v>
      </c>
      <c r="M6" s="773">
        <v>6</v>
      </c>
      <c r="N6" s="774">
        <v>1.93</v>
      </c>
      <c r="O6" s="773" t="s">
        <v>1429</v>
      </c>
      <c r="P6" s="775" t="s">
        <v>1432</v>
      </c>
      <c r="Q6" s="776">
        <f t="shared" ref="Q6:R36" si="0">H6-B6</f>
        <v>1</v>
      </c>
      <c r="R6" s="776">
        <f t="shared" si="0"/>
        <v>0.18</v>
      </c>
      <c r="S6" s="766">
        <f t="shared" ref="S6:S36" si="1">IF(H6=0,"",H6*N6)</f>
        <v>1.93</v>
      </c>
      <c r="T6" s="766">
        <f t="shared" ref="T6:T36" si="2">IF(H6=0,"",H6*J6)</f>
        <v>4</v>
      </c>
      <c r="U6" s="766">
        <f t="shared" ref="U6:U36" si="3">IF(H6=0,"",T6-S6)</f>
        <v>2.0700000000000003</v>
      </c>
      <c r="V6" s="777">
        <f t="shared" ref="V6:V36" si="4">IF(H6=0,"",T6/S6)</f>
        <v>2.0725388601036272</v>
      </c>
      <c r="W6" s="723">
        <v>2.0699999999999998</v>
      </c>
    </row>
    <row r="7" spans="1:23" ht="14.4" customHeight="1" x14ac:dyDescent="0.3">
      <c r="A7" s="781" t="s">
        <v>1433</v>
      </c>
      <c r="B7" s="766"/>
      <c r="C7" s="767"/>
      <c r="D7" s="736"/>
      <c r="E7" s="768">
        <v>1</v>
      </c>
      <c r="F7" s="769">
        <v>0.65</v>
      </c>
      <c r="G7" s="721">
        <v>2</v>
      </c>
      <c r="H7" s="770"/>
      <c r="I7" s="771"/>
      <c r="J7" s="724"/>
      <c r="K7" s="772">
        <v>0.31</v>
      </c>
      <c r="L7" s="773">
        <v>1</v>
      </c>
      <c r="M7" s="773">
        <v>5</v>
      </c>
      <c r="N7" s="774">
        <v>1.54</v>
      </c>
      <c r="O7" s="773" t="s">
        <v>1429</v>
      </c>
      <c r="P7" s="775" t="s">
        <v>1434</v>
      </c>
      <c r="Q7" s="776">
        <f t="shared" si="0"/>
        <v>0</v>
      </c>
      <c r="R7" s="776">
        <f t="shared" si="0"/>
        <v>0</v>
      </c>
      <c r="S7" s="766" t="str">
        <f t="shared" si="1"/>
        <v/>
      </c>
      <c r="T7" s="766" t="str">
        <f t="shared" si="2"/>
        <v/>
      </c>
      <c r="U7" s="766" t="str">
        <f t="shared" si="3"/>
        <v/>
      </c>
      <c r="V7" s="777" t="str">
        <f t="shared" si="4"/>
        <v/>
      </c>
      <c r="W7" s="723"/>
    </row>
    <row r="8" spans="1:23" ht="14.4" customHeight="1" x14ac:dyDescent="0.3">
      <c r="A8" s="782" t="s">
        <v>1435</v>
      </c>
      <c r="B8" s="730"/>
      <c r="C8" s="731"/>
      <c r="D8" s="732"/>
      <c r="E8" s="713">
        <v>1</v>
      </c>
      <c r="F8" s="714">
        <v>38.11</v>
      </c>
      <c r="G8" s="725">
        <v>35</v>
      </c>
      <c r="H8" s="717"/>
      <c r="I8" s="711"/>
      <c r="J8" s="712"/>
      <c r="K8" s="716">
        <v>38.11</v>
      </c>
      <c r="L8" s="717">
        <v>28</v>
      </c>
      <c r="M8" s="717">
        <v>253</v>
      </c>
      <c r="N8" s="718">
        <v>84.26</v>
      </c>
      <c r="O8" s="717" t="s">
        <v>1429</v>
      </c>
      <c r="P8" s="734" t="s">
        <v>1436</v>
      </c>
      <c r="Q8" s="719">
        <f t="shared" si="0"/>
        <v>0</v>
      </c>
      <c r="R8" s="719">
        <f t="shared" si="0"/>
        <v>0</v>
      </c>
      <c r="S8" s="730" t="str">
        <f t="shared" si="1"/>
        <v/>
      </c>
      <c r="T8" s="730" t="str">
        <f t="shared" si="2"/>
        <v/>
      </c>
      <c r="U8" s="730" t="str">
        <f t="shared" si="3"/>
        <v/>
      </c>
      <c r="V8" s="735" t="str">
        <f t="shared" si="4"/>
        <v/>
      </c>
      <c r="W8" s="720"/>
    </row>
    <row r="9" spans="1:23" ht="14.4" customHeight="1" x14ac:dyDescent="0.3">
      <c r="A9" s="782" t="s">
        <v>1437</v>
      </c>
      <c r="B9" s="726">
        <v>1</v>
      </c>
      <c r="C9" s="727">
        <v>7.7</v>
      </c>
      <c r="D9" s="728">
        <v>5</v>
      </c>
      <c r="E9" s="733"/>
      <c r="F9" s="711"/>
      <c r="G9" s="712"/>
      <c r="H9" s="717"/>
      <c r="I9" s="711"/>
      <c r="J9" s="712"/>
      <c r="K9" s="716">
        <v>12.72</v>
      </c>
      <c r="L9" s="717">
        <v>9</v>
      </c>
      <c r="M9" s="717">
        <v>77</v>
      </c>
      <c r="N9" s="718">
        <v>25.67</v>
      </c>
      <c r="O9" s="717" t="s">
        <v>1429</v>
      </c>
      <c r="P9" s="734" t="s">
        <v>1438</v>
      </c>
      <c r="Q9" s="719">
        <f t="shared" si="0"/>
        <v>-1</v>
      </c>
      <c r="R9" s="719">
        <f t="shared" si="0"/>
        <v>-7.7</v>
      </c>
      <c r="S9" s="730" t="str">
        <f t="shared" si="1"/>
        <v/>
      </c>
      <c r="T9" s="730" t="str">
        <f t="shared" si="2"/>
        <v/>
      </c>
      <c r="U9" s="730" t="str">
        <f t="shared" si="3"/>
        <v/>
      </c>
      <c r="V9" s="735" t="str">
        <f t="shared" si="4"/>
        <v/>
      </c>
      <c r="W9" s="720"/>
    </row>
    <row r="10" spans="1:23" ht="14.4" customHeight="1" x14ac:dyDescent="0.3">
      <c r="A10" s="781" t="s">
        <v>1439</v>
      </c>
      <c r="B10" s="778">
        <v>5</v>
      </c>
      <c r="C10" s="779">
        <v>115.72</v>
      </c>
      <c r="D10" s="729">
        <v>79.400000000000006</v>
      </c>
      <c r="E10" s="768">
        <v>4</v>
      </c>
      <c r="F10" s="769">
        <v>81.19</v>
      </c>
      <c r="G10" s="721">
        <v>48</v>
      </c>
      <c r="H10" s="773">
        <v>5</v>
      </c>
      <c r="I10" s="769">
        <v>115.72</v>
      </c>
      <c r="J10" s="721">
        <v>58.8</v>
      </c>
      <c r="K10" s="772">
        <v>23.14</v>
      </c>
      <c r="L10" s="773">
        <v>22</v>
      </c>
      <c r="M10" s="773">
        <v>198</v>
      </c>
      <c r="N10" s="774">
        <v>65.87</v>
      </c>
      <c r="O10" s="773" t="s">
        <v>1429</v>
      </c>
      <c r="P10" s="775" t="s">
        <v>1440</v>
      </c>
      <c r="Q10" s="776">
        <f t="shared" si="0"/>
        <v>0</v>
      </c>
      <c r="R10" s="776">
        <f t="shared" si="0"/>
        <v>0</v>
      </c>
      <c r="S10" s="766">
        <f t="shared" si="1"/>
        <v>329.35</v>
      </c>
      <c r="T10" s="766">
        <f t="shared" si="2"/>
        <v>294</v>
      </c>
      <c r="U10" s="766">
        <f t="shared" si="3"/>
        <v>-35.350000000000023</v>
      </c>
      <c r="V10" s="777">
        <f t="shared" si="4"/>
        <v>0.89266737513283734</v>
      </c>
      <c r="W10" s="723">
        <v>21.26</v>
      </c>
    </row>
    <row r="11" spans="1:23" ht="14.4" customHeight="1" x14ac:dyDescent="0.3">
      <c r="A11" s="782" t="s">
        <v>1441</v>
      </c>
      <c r="B11" s="730"/>
      <c r="C11" s="731"/>
      <c r="D11" s="732"/>
      <c r="E11" s="713">
        <v>1</v>
      </c>
      <c r="F11" s="714">
        <v>12.19</v>
      </c>
      <c r="G11" s="725">
        <v>17</v>
      </c>
      <c r="H11" s="717"/>
      <c r="I11" s="711"/>
      <c r="J11" s="712"/>
      <c r="K11" s="716">
        <v>12.13</v>
      </c>
      <c r="L11" s="717">
        <v>10</v>
      </c>
      <c r="M11" s="717">
        <v>92</v>
      </c>
      <c r="N11" s="718">
        <v>30.67</v>
      </c>
      <c r="O11" s="717" t="s">
        <v>1429</v>
      </c>
      <c r="P11" s="734" t="s">
        <v>1442</v>
      </c>
      <c r="Q11" s="719">
        <f t="shared" si="0"/>
        <v>0</v>
      </c>
      <c r="R11" s="719">
        <f t="shared" si="0"/>
        <v>0</v>
      </c>
      <c r="S11" s="730" t="str">
        <f t="shared" si="1"/>
        <v/>
      </c>
      <c r="T11" s="730" t="str">
        <f t="shared" si="2"/>
        <v/>
      </c>
      <c r="U11" s="730" t="str">
        <f t="shared" si="3"/>
        <v/>
      </c>
      <c r="V11" s="735" t="str">
        <f t="shared" si="4"/>
        <v/>
      </c>
      <c r="W11" s="720"/>
    </row>
    <row r="12" spans="1:23" ht="14.4" customHeight="1" x14ac:dyDescent="0.3">
      <c r="A12" s="782" t="s">
        <v>1443</v>
      </c>
      <c r="B12" s="726">
        <v>1</v>
      </c>
      <c r="C12" s="727">
        <v>4.29</v>
      </c>
      <c r="D12" s="728">
        <v>46</v>
      </c>
      <c r="E12" s="733">
        <v>1</v>
      </c>
      <c r="F12" s="711">
        <v>4.24</v>
      </c>
      <c r="G12" s="712">
        <v>33</v>
      </c>
      <c r="H12" s="717"/>
      <c r="I12" s="711"/>
      <c r="J12" s="712"/>
      <c r="K12" s="716">
        <v>4.24</v>
      </c>
      <c r="L12" s="717">
        <v>9</v>
      </c>
      <c r="M12" s="717">
        <v>82</v>
      </c>
      <c r="N12" s="718">
        <v>27.28</v>
      </c>
      <c r="O12" s="717" t="s">
        <v>1429</v>
      </c>
      <c r="P12" s="734" t="s">
        <v>1444</v>
      </c>
      <c r="Q12" s="719">
        <f t="shared" si="0"/>
        <v>-1</v>
      </c>
      <c r="R12" s="719">
        <f t="shared" si="0"/>
        <v>-4.29</v>
      </c>
      <c r="S12" s="730" t="str">
        <f t="shared" si="1"/>
        <v/>
      </c>
      <c r="T12" s="730" t="str">
        <f t="shared" si="2"/>
        <v/>
      </c>
      <c r="U12" s="730" t="str">
        <f t="shared" si="3"/>
        <v/>
      </c>
      <c r="V12" s="735" t="str">
        <f t="shared" si="4"/>
        <v/>
      </c>
      <c r="W12" s="720"/>
    </row>
    <row r="13" spans="1:23" ht="14.4" customHeight="1" x14ac:dyDescent="0.3">
      <c r="A13" s="781" t="s">
        <v>1445</v>
      </c>
      <c r="B13" s="778">
        <v>7</v>
      </c>
      <c r="C13" s="779">
        <v>69.08</v>
      </c>
      <c r="D13" s="729">
        <v>33.1</v>
      </c>
      <c r="E13" s="768">
        <v>5</v>
      </c>
      <c r="F13" s="769">
        <v>49.58</v>
      </c>
      <c r="G13" s="721">
        <v>43.4</v>
      </c>
      <c r="H13" s="773">
        <v>7</v>
      </c>
      <c r="I13" s="769">
        <v>68.38</v>
      </c>
      <c r="J13" s="721">
        <v>34.1</v>
      </c>
      <c r="K13" s="772">
        <v>9.8699999999999992</v>
      </c>
      <c r="L13" s="773">
        <v>14</v>
      </c>
      <c r="M13" s="773">
        <v>124</v>
      </c>
      <c r="N13" s="774">
        <v>41.33</v>
      </c>
      <c r="O13" s="773" t="s">
        <v>1429</v>
      </c>
      <c r="P13" s="775" t="s">
        <v>1446</v>
      </c>
      <c r="Q13" s="776">
        <f t="shared" si="0"/>
        <v>0</v>
      </c>
      <c r="R13" s="776">
        <f t="shared" si="0"/>
        <v>-0.70000000000000284</v>
      </c>
      <c r="S13" s="766">
        <f t="shared" si="1"/>
        <v>289.31</v>
      </c>
      <c r="T13" s="766">
        <f t="shared" si="2"/>
        <v>238.70000000000002</v>
      </c>
      <c r="U13" s="766">
        <f t="shared" si="3"/>
        <v>-50.609999999999985</v>
      </c>
      <c r="V13" s="777">
        <f t="shared" si="4"/>
        <v>0.82506653762400195</v>
      </c>
      <c r="W13" s="723">
        <v>15.01</v>
      </c>
    </row>
    <row r="14" spans="1:23" ht="14.4" customHeight="1" x14ac:dyDescent="0.3">
      <c r="A14" s="782" t="s">
        <v>1447</v>
      </c>
      <c r="B14" s="730"/>
      <c r="C14" s="731"/>
      <c r="D14" s="732"/>
      <c r="E14" s="733"/>
      <c r="F14" s="711"/>
      <c r="G14" s="712"/>
      <c r="H14" s="713">
        <v>1</v>
      </c>
      <c r="I14" s="714">
        <v>18.55</v>
      </c>
      <c r="J14" s="715">
        <v>47</v>
      </c>
      <c r="K14" s="716">
        <v>18.55</v>
      </c>
      <c r="L14" s="717">
        <v>14</v>
      </c>
      <c r="M14" s="717">
        <v>126</v>
      </c>
      <c r="N14" s="718">
        <v>42.04</v>
      </c>
      <c r="O14" s="717" t="s">
        <v>1429</v>
      </c>
      <c r="P14" s="734" t="s">
        <v>1448</v>
      </c>
      <c r="Q14" s="719">
        <f t="shared" si="0"/>
        <v>1</v>
      </c>
      <c r="R14" s="719">
        <f t="shared" si="0"/>
        <v>18.55</v>
      </c>
      <c r="S14" s="730">
        <f t="shared" si="1"/>
        <v>42.04</v>
      </c>
      <c r="T14" s="730">
        <f t="shared" si="2"/>
        <v>47</v>
      </c>
      <c r="U14" s="730">
        <f t="shared" si="3"/>
        <v>4.9600000000000009</v>
      </c>
      <c r="V14" s="735">
        <f t="shared" si="4"/>
        <v>1.1179828734538535</v>
      </c>
      <c r="W14" s="720">
        <v>4.96</v>
      </c>
    </row>
    <row r="15" spans="1:23" ht="14.4" customHeight="1" x14ac:dyDescent="0.3">
      <c r="A15" s="782" t="s">
        <v>1449</v>
      </c>
      <c r="B15" s="726"/>
      <c r="C15" s="727"/>
      <c r="D15" s="728"/>
      <c r="E15" s="733"/>
      <c r="F15" s="711"/>
      <c r="G15" s="712"/>
      <c r="H15" s="717">
        <v>1</v>
      </c>
      <c r="I15" s="711">
        <v>1.93</v>
      </c>
      <c r="J15" s="715">
        <v>24</v>
      </c>
      <c r="K15" s="716">
        <v>1.93</v>
      </c>
      <c r="L15" s="717">
        <v>5</v>
      </c>
      <c r="M15" s="717">
        <v>47</v>
      </c>
      <c r="N15" s="718">
        <v>15.59</v>
      </c>
      <c r="O15" s="717" t="s">
        <v>1429</v>
      </c>
      <c r="P15" s="734" t="s">
        <v>1450</v>
      </c>
      <c r="Q15" s="719">
        <f t="shared" si="0"/>
        <v>1</v>
      </c>
      <c r="R15" s="719">
        <f t="shared" si="0"/>
        <v>1.93</v>
      </c>
      <c r="S15" s="730">
        <f t="shared" si="1"/>
        <v>15.59</v>
      </c>
      <c r="T15" s="730">
        <f t="shared" si="2"/>
        <v>24</v>
      </c>
      <c r="U15" s="730">
        <f t="shared" si="3"/>
        <v>8.41</v>
      </c>
      <c r="V15" s="735">
        <f t="shared" si="4"/>
        <v>1.539448364336113</v>
      </c>
      <c r="W15" s="720">
        <v>8.41</v>
      </c>
    </row>
    <row r="16" spans="1:23" ht="14.4" customHeight="1" x14ac:dyDescent="0.3">
      <c r="A16" s="781" t="s">
        <v>1451</v>
      </c>
      <c r="B16" s="778">
        <v>9</v>
      </c>
      <c r="C16" s="779">
        <v>23.01</v>
      </c>
      <c r="D16" s="729">
        <v>19.3</v>
      </c>
      <c r="E16" s="768">
        <v>4</v>
      </c>
      <c r="F16" s="769">
        <v>10.23</v>
      </c>
      <c r="G16" s="721">
        <v>16.5</v>
      </c>
      <c r="H16" s="773">
        <v>1</v>
      </c>
      <c r="I16" s="769">
        <v>2.19</v>
      </c>
      <c r="J16" s="721">
        <v>6</v>
      </c>
      <c r="K16" s="772">
        <v>2.56</v>
      </c>
      <c r="L16" s="773">
        <v>7</v>
      </c>
      <c r="M16" s="773">
        <v>59</v>
      </c>
      <c r="N16" s="774">
        <v>19.600000000000001</v>
      </c>
      <c r="O16" s="773" t="s">
        <v>1429</v>
      </c>
      <c r="P16" s="775" t="s">
        <v>1452</v>
      </c>
      <c r="Q16" s="776">
        <f t="shared" si="0"/>
        <v>-8</v>
      </c>
      <c r="R16" s="776">
        <f t="shared" si="0"/>
        <v>-20.82</v>
      </c>
      <c r="S16" s="766">
        <f t="shared" si="1"/>
        <v>19.600000000000001</v>
      </c>
      <c r="T16" s="766">
        <f t="shared" si="2"/>
        <v>6</v>
      </c>
      <c r="U16" s="766">
        <f t="shared" si="3"/>
        <v>-13.600000000000001</v>
      </c>
      <c r="V16" s="777">
        <f t="shared" si="4"/>
        <v>0.30612244897959179</v>
      </c>
      <c r="W16" s="723"/>
    </row>
    <row r="17" spans="1:23" ht="14.4" customHeight="1" x14ac:dyDescent="0.3">
      <c r="A17" s="781" t="s">
        <v>1453</v>
      </c>
      <c r="B17" s="778">
        <v>4</v>
      </c>
      <c r="C17" s="779">
        <v>18.71</v>
      </c>
      <c r="D17" s="729">
        <v>18.8</v>
      </c>
      <c r="E17" s="768">
        <v>2</v>
      </c>
      <c r="F17" s="769">
        <v>9.99</v>
      </c>
      <c r="G17" s="721">
        <v>17.5</v>
      </c>
      <c r="H17" s="773">
        <v>6</v>
      </c>
      <c r="I17" s="769">
        <v>30.04</v>
      </c>
      <c r="J17" s="722">
        <v>29.2</v>
      </c>
      <c r="K17" s="772">
        <v>5</v>
      </c>
      <c r="L17" s="773">
        <v>9</v>
      </c>
      <c r="M17" s="773">
        <v>81</v>
      </c>
      <c r="N17" s="774">
        <v>27.09</v>
      </c>
      <c r="O17" s="773" t="s">
        <v>1429</v>
      </c>
      <c r="P17" s="775" t="s">
        <v>1454</v>
      </c>
      <c r="Q17" s="776">
        <f t="shared" si="0"/>
        <v>2</v>
      </c>
      <c r="R17" s="776">
        <f t="shared" si="0"/>
        <v>11.329999999999998</v>
      </c>
      <c r="S17" s="766">
        <f t="shared" si="1"/>
        <v>162.54</v>
      </c>
      <c r="T17" s="766">
        <f t="shared" si="2"/>
        <v>175.2</v>
      </c>
      <c r="U17" s="766">
        <f t="shared" si="3"/>
        <v>12.659999999999997</v>
      </c>
      <c r="V17" s="777">
        <f t="shared" si="4"/>
        <v>1.0778885197489849</v>
      </c>
      <c r="W17" s="723">
        <v>35.64</v>
      </c>
    </row>
    <row r="18" spans="1:23" ht="14.4" customHeight="1" x14ac:dyDescent="0.3">
      <c r="A18" s="782" t="s">
        <v>1455</v>
      </c>
      <c r="B18" s="726">
        <v>9</v>
      </c>
      <c r="C18" s="727">
        <v>3.75</v>
      </c>
      <c r="D18" s="728">
        <v>5.2</v>
      </c>
      <c r="E18" s="733">
        <v>5</v>
      </c>
      <c r="F18" s="711">
        <v>2.08</v>
      </c>
      <c r="G18" s="712">
        <v>4.8</v>
      </c>
      <c r="H18" s="717">
        <v>7</v>
      </c>
      <c r="I18" s="711">
        <v>2.91</v>
      </c>
      <c r="J18" s="715">
        <v>8.6</v>
      </c>
      <c r="K18" s="716">
        <v>0.42</v>
      </c>
      <c r="L18" s="717">
        <v>2</v>
      </c>
      <c r="M18" s="717">
        <v>22</v>
      </c>
      <c r="N18" s="718">
        <v>7.28</v>
      </c>
      <c r="O18" s="717" t="s">
        <v>1429</v>
      </c>
      <c r="P18" s="734" t="s">
        <v>1456</v>
      </c>
      <c r="Q18" s="719">
        <f t="shared" si="0"/>
        <v>-2</v>
      </c>
      <c r="R18" s="719">
        <f t="shared" si="0"/>
        <v>-0.83999999999999986</v>
      </c>
      <c r="S18" s="730">
        <f t="shared" si="1"/>
        <v>50.96</v>
      </c>
      <c r="T18" s="730">
        <f t="shared" si="2"/>
        <v>60.199999999999996</v>
      </c>
      <c r="U18" s="730">
        <f t="shared" si="3"/>
        <v>9.2399999999999949</v>
      </c>
      <c r="V18" s="735">
        <f t="shared" si="4"/>
        <v>1.1813186813186811</v>
      </c>
      <c r="W18" s="720">
        <v>14.88</v>
      </c>
    </row>
    <row r="19" spans="1:23" ht="14.4" customHeight="1" x14ac:dyDescent="0.3">
      <c r="A19" s="781" t="s">
        <v>1457</v>
      </c>
      <c r="B19" s="778">
        <v>17</v>
      </c>
      <c r="C19" s="779">
        <v>17.18</v>
      </c>
      <c r="D19" s="729">
        <v>7.8</v>
      </c>
      <c r="E19" s="768">
        <v>10</v>
      </c>
      <c r="F19" s="769">
        <v>10.11</v>
      </c>
      <c r="G19" s="721">
        <v>12.9</v>
      </c>
      <c r="H19" s="773">
        <v>14</v>
      </c>
      <c r="I19" s="769">
        <v>14.15</v>
      </c>
      <c r="J19" s="722">
        <v>11.4</v>
      </c>
      <c r="K19" s="772">
        <v>1.01</v>
      </c>
      <c r="L19" s="773">
        <v>4</v>
      </c>
      <c r="M19" s="773">
        <v>33</v>
      </c>
      <c r="N19" s="774">
        <v>11.1</v>
      </c>
      <c r="O19" s="773" t="s">
        <v>1429</v>
      </c>
      <c r="P19" s="775" t="s">
        <v>1458</v>
      </c>
      <c r="Q19" s="776">
        <f t="shared" si="0"/>
        <v>-3</v>
      </c>
      <c r="R19" s="776">
        <f t="shared" si="0"/>
        <v>-3.0299999999999994</v>
      </c>
      <c r="S19" s="766">
        <f t="shared" si="1"/>
        <v>155.4</v>
      </c>
      <c r="T19" s="766">
        <f t="shared" si="2"/>
        <v>159.6</v>
      </c>
      <c r="U19" s="766">
        <f t="shared" si="3"/>
        <v>4.1999999999999886</v>
      </c>
      <c r="V19" s="777">
        <f t="shared" si="4"/>
        <v>1.027027027027027</v>
      </c>
      <c r="W19" s="723">
        <v>46.5</v>
      </c>
    </row>
    <row r="20" spans="1:23" ht="14.4" customHeight="1" x14ac:dyDescent="0.3">
      <c r="A20" s="781" t="s">
        <v>1459</v>
      </c>
      <c r="B20" s="778">
        <v>2</v>
      </c>
      <c r="C20" s="779">
        <v>5.52</v>
      </c>
      <c r="D20" s="729">
        <v>17.5</v>
      </c>
      <c r="E20" s="768">
        <v>5</v>
      </c>
      <c r="F20" s="769">
        <v>13.79</v>
      </c>
      <c r="G20" s="721">
        <v>19.2</v>
      </c>
      <c r="H20" s="773">
        <v>4</v>
      </c>
      <c r="I20" s="769">
        <v>11.08</v>
      </c>
      <c r="J20" s="722">
        <v>23</v>
      </c>
      <c r="K20" s="772">
        <v>2.76</v>
      </c>
      <c r="L20" s="773">
        <v>6</v>
      </c>
      <c r="M20" s="773">
        <v>51</v>
      </c>
      <c r="N20" s="774">
        <v>17.14</v>
      </c>
      <c r="O20" s="773" t="s">
        <v>1429</v>
      </c>
      <c r="P20" s="775" t="s">
        <v>1460</v>
      </c>
      <c r="Q20" s="776">
        <f t="shared" si="0"/>
        <v>2</v>
      </c>
      <c r="R20" s="776">
        <f t="shared" si="0"/>
        <v>5.5600000000000005</v>
      </c>
      <c r="S20" s="766">
        <f t="shared" si="1"/>
        <v>68.56</v>
      </c>
      <c r="T20" s="766">
        <f t="shared" si="2"/>
        <v>92</v>
      </c>
      <c r="U20" s="766">
        <f t="shared" si="3"/>
        <v>23.439999999999998</v>
      </c>
      <c r="V20" s="777">
        <f t="shared" si="4"/>
        <v>1.3418903150525088</v>
      </c>
      <c r="W20" s="723">
        <v>31.58</v>
      </c>
    </row>
    <row r="21" spans="1:23" ht="14.4" customHeight="1" x14ac:dyDescent="0.3">
      <c r="A21" s="782" t="s">
        <v>1461</v>
      </c>
      <c r="B21" s="730">
        <v>1</v>
      </c>
      <c r="C21" s="731">
        <v>4.04</v>
      </c>
      <c r="D21" s="732">
        <v>18</v>
      </c>
      <c r="E21" s="733"/>
      <c r="F21" s="711"/>
      <c r="G21" s="712"/>
      <c r="H21" s="713"/>
      <c r="I21" s="714"/>
      <c r="J21" s="725"/>
      <c r="K21" s="716">
        <v>4.04</v>
      </c>
      <c r="L21" s="717">
        <v>5</v>
      </c>
      <c r="M21" s="717">
        <v>46</v>
      </c>
      <c r="N21" s="718">
        <v>15.3</v>
      </c>
      <c r="O21" s="717" t="s">
        <v>1429</v>
      </c>
      <c r="P21" s="734" t="s">
        <v>1462</v>
      </c>
      <c r="Q21" s="719">
        <f t="shared" si="0"/>
        <v>-1</v>
      </c>
      <c r="R21" s="719">
        <f t="shared" si="0"/>
        <v>-4.04</v>
      </c>
      <c r="S21" s="730" t="str">
        <f t="shared" si="1"/>
        <v/>
      </c>
      <c r="T21" s="730" t="str">
        <f t="shared" si="2"/>
        <v/>
      </c>
      <c r="U21" s="730" t="str">
        <f t="shared" si="3"/>
        <v/>
      </c>
      <c r="V21" s="735" t="str">
        <f t="shared" si="4"/>
        <v/>
      </c>
      <c r="W21" s="720"/>
    </row>
    <row r="22" spans="1:23" ht="14.4" customHeight="1" x14ac:dyDescent="0.3">
      <c r="A22" s="781" t="s">
        <v>1463</v>
      </c>
      <c r="B22" s="766"/>
      <c r="C22" s="767"/>
      <c r="D22" s="736"/>
      <c r="E22" s="768"/>
      <c r="F22" s="769"/>
      <c r="G22" s="721"/>
      <c r="H22" s="770">
        <v>1</v>
      </c>
      <c r="I22" s="771">
        <v>12</v>
      </c>
      <c r="J22" s="724">
        <v>30</v>
      </c>
      <c r="K22" s="772">
        <v>12</v>
      </c>
      <c r="L22" s="773">
        <v>11</v>
      </c>
      <c r="M22" s="773">
        <v>99</v>
      </c>
      <c r="N22" s="774">
        <v>33.119999999999997</v>
      </c>
      <c r="O22" s="773" t="s">
        <v>1429</v>
      </c>
      <c r="P22" s="775" t="s">
        <v>1464</v>
      </c>
      <c r="Q22" s="776">
        <f t="shared" si="0"/>
        <v>1</v>
      </c>
      <c r="R22" s="776">
        <f t="shared" si="0"/>
        <v>12</v>
      </c>
      <c r="S22" s="766">
        <f t="shared" si="1"/>
        <v>33.119999999999997</v>
      </c>
      <c r="T22" s="766">
        <f t="shared" si="2"/>
        <v>30</v>
      </c>
      <c r="U22" s="766">
        <f t="shared" si="3"/>
        <v>-3.1199999999999974</v>
      </c>
      <c r="V22" s="777">
        <f t="shared" si="4"/>
        <v>0.90579710144927539</v>
      </c>
      <c r="W22" s="723"/>
    </row>
    <row r="23" spans="1:23" ht="14.4" customHeight="1" x14ac:dyDescent="0.3">
      <c r="A23" s="782" t="s">
        <v>1465</v>
      </c>
      <c r="B23" s="730"/>
      <c r="C23" s="731"/>
      <c r="D23" s="732"/>
      <c r="E23" s="733">
        <v>2</v>
      </c>
      <c r="F23" s="711">
        <v>0.56999999999999995</v>
      </c>
      <c r="G23" s="712">
        <v>5</v>
      </c>
      <c r="H23" s="713">
        <v>1</v>
      </c>
      <c r="I23" s="714">
        <v>0.28000000000000003</v>
      </c>
      <c r="J23" s="715">
        <v>6</v>
      </c>
      <c r="K23" s="716">
        <v>0.28000000000000003</v>
      </c>
      <c r="L23" s="717">
        <v>2</v>
      </c>
      <c r="M23" s="717">
        <v>16</v>
      </c>
      <c r="N23" s="718">
        <v>5.19</v>
      </c>
      <c r="O23" s="717" t="s">
        <v>1429</v>
      </c>
      <c r="P23" s="734" t="s">
        <v>1466</v>
      </c>
      <c r="Q23" s="719">
        <f t="shared" si="0"/>
        <v>1</v>
      </c>
      <c r="R23" s="719">
        <f t="shared" si="0"/>
        <v>0.28000000000000003</v>
      </c>
      <c r="S23" s="730">
        <f t="shared" si="1"/>
        <v>5.19</v>
      </c>
      <c r="T23" s="730">
        <f t="shared" si="2"/>
        <v>6</v>
      </c>
      <c r="U23" s="730">
        <f t="shared" si="3"/>
        <v>0.80999999999999961</v>
      </c>
      <c r="V23" s="735">
        <f t="shared" si="4"/>
        <v>1.1560693641618496</v>
      </c>
      <c r="W23" s="720">
        <v>0.81</v>
      </c>
    </row>
    <row r="24" spans="1:23" ht="14.4" customHeight="1" x14ac:dyDescent="0.3">
      <c r="A24" s="781" t="s">
        <v>1467</v>
      </c>
      <c r="B24" s="766"/>
      <c r="C24" s="767"/>
      <c r="D24" s="736"/>
      <c r="E24" s="768"/>
      <c r="F24" s="769"/>
      <c r="G24" s="721"/>
      <c r="H24" s="770">
        <v>3</v>
      </c>
      <c r="I24" s="771">
        <v>1.54</v>
      </c>
      <c r="J24" s="724">
        <v>7</v>
      </c>
      <c r="K24" s="772">
        <v>0.61</v>
      </c>
      <c r="L24" s="773">
        <v>2</v>
      </c>
      <c r="M24" s="773">
        <v>22</v>
      </c>
      <c r="N24" s="774">
        <v>7.17</v>
      </c>
      <c r="O24" s="773" t="s">
        <v>1429</v>
      </c>
      <c r="P24" s="775" t="s">
        <v>1468</v>
      </c>
      <c r="Q24" s="776">
        <f t="shared" si="0"/>
        <v>3</v>
      </c>
      <c r="R24" s="776">
        <f t="shared" si="0"/>
        <v>1.54</v>
      </c>
      <c r="S24" s="766">
        <f t="shared" si="1"/>
        <v>21.509999999999998</v>
      </c>
      <c r="T24" s="766">
        <f t="shared" si="2"/>
        <v>21</v>
      </c>
      <c r="U24" s="766">
        <f t="shared" si="3"/>
        <v>-0.50999999999999801</v>
      </c>
      <c r="V24" s="777">
        <f t="shared" si="4"/>
        <v>0.97629009762900987</v>
      </c>
      <c r="W24" s="723">
        <v>5.66</v>
      </c>
    </row>
    <row r="25" spans="1:23" ht="14.4" customHeight="1" x14ac:dyDescent="0.3">
      <c r="A25" s="781" t="s">
        <v>1469</v>
      </c>
      <c r="B25" s="766"/>
      <c r="C25" s="767"/>
      <c r="D25" s="736"/>
      <c r="E25" s="768">
        <v>1</v>
      </c>
      <c r="F25" s="769">
        <v>2.33</v>
      </c>
      <c r="G25" s="721">
        <v>11</v>
      </c>
      <c r="H25" s="770"/>
      <c r="I25" s="771"/>
      <c r="J25" s="724"/>
      <c r="K25" s="772">
        <v>2.33</v>
      </c>
      <c r="L25" s="773">
        <v>5</v>
      </c>
      <c r="M25" s="773">
        <v>42</v>
      </c>
      <c r="N25" s="774">
        <v>14.11</v>
      </c>
      <c r="O25" s="773" t="s">
        <v>1429</v>
      </c>
      <c r="P25" s="775" t="s">
        <v>1470</v>
      </c>
      <c r="Q25" s="776">
        <f t="shared" si="0"/>
        <v>0</v>
      </c>
      <c r="R25" s="776">
        <f t="shared" si="0"/>
        <v>0</v>
      </c>
      <c r="S25" s="766" t="str">
        <f t="shared" si="1"/>
        <v/>
      </c>
      <c r="T25" s="766" t="str">
        <f t="shared" si="2"/>
        <v/>
      </c>
      <c r="U25" s="766" t="str">
        <f t="shared" si="3"/>
        <v/>
      </c>
      <c r="V25" s="777" t="str">
        <f t="shared" si="4"/>
        <v/>
      </c>
      <c r="W25" s="723"/>
    </row>
    <row r="26" spans="1:23" ht="14.4" customHeight="1" x14ac:dyDescent="0.3">
      <c r="A26" s="782" t="s">
        <v>1471</v>
      </c>
      <c r="B26" s="726">
        <v>5</v>
      </c>
      <c r="C26" s="727">
        <v>13.71</v>
      </c>
      <c r="D26" s="728">
        <v>21</v>
      </c>
      <c r="E26" s="733">
        <v>3</v>
      </c>
      <c r="F26" s="711">
        <v>7.55</v>
      </c>
      <c r="G26" s="712">
        <v>13.3</v>
      </c>
      <c r="H26" s="717">
        <v>2</v>
      </c>
      <c r="I26" s="711">
        <v>5.04</v>
      </c>
      <c r="J26" s="712">
        <v>11.5</v>
      </c>
      <c r="K26" s="716">
        <v>2.52</v>
      </c>
      <c r="L26" s="717">
        <v>4</v>
      </c>
      <c r="M26" s="717">
        <v>37</v>
      </c>
      <c r="N26" s="718">
        <v>12.42</v>
      </c>
      <c r="O26" s="717" t="s">
        <v>1429</v>
      </c>
      <c r="P26" s="734" t="s">
        <v>1472</v>
      </c>
      <c r="Q26" s="719">
        <f t="shared" si="0"/>
        <v>-3</v>
      </c>
      <c r="R26" s="719">
        <f t="shared" si="0"/>
        <v>-8.6700000000000017</v>
      </c>
      <c r="S26" s="730">
        <f t="shared" si="1"/>
        <v>24.84</v>
      </c>
      <c r="T26" s="730">
        <f t="shared" si="2"/>
        <v>23</v>
      </c>
      <c r="U26" s="730">
        <f t="shared" si="3"/>
        <v>-1.8399999999999999</v>
      </c>
      <c r="V26" s="735">
        <f t="shared" si="4"/>
        <v>0.92592592592592593</v>
      </c>
      <c r="W26" s="720">
        <v>0.57999999999999996</v>
      </c>
    </row>
    <row r="27" spans="1:23" ht="14.4" customHeight="1" x14ac:dyDescent="0.3">
      <c r="A27" s="782" t="s">
        <v>1473</v>
      </c>
      <c r="B27" s="730">
        <v>2</v>
      </c>
      <c r="C27" s="731">
        <v>1.35</v>
      </c>
      <c r="D27" s="732">
        <v>10</v>
      </c>
      <c r="E27" s="733"/>
      <c r="F27" s="711"/>
      <c r="G27" s="712"/>
      <c r="H27" s="713"/>
      <c r="I27" s="714"/>
      <c r="J27" s="725"/>
      <c r="K27" s="716">
        <v>0.68</v>
      </c>
      <c r="L27" s="717">
        <v>3</v>
      </c>
      <c r="M27" s="717">
        <v>26</v>
      </c>
      <c r="N27" s="718">
        <v>8.5299999999999994</v>
      </c>
      <c r="O27" s="717" t="s">
        <v>1429</v>
      </c>
      <c r="P27" s="734" t="s">
        <v>1474</v>
      </c>
      <c r="Q27" s="719">
        <f t="shared" si="0"/>
        <v>-2</v>
      </c>
      <c r="R27" s="719">
        <f t="shared" si="0"/>
        <v>-1.35</v>
      </c>
      <c r="S27" s="730" t="str">
        <f t="shared" si="1"/>
        <v/>
      </c>
      <c r="T27" s="730" t="str">
        <f t="shared" si="2"/>
        <v/>
      </c>
      <c r="U27" s="730" t="str">
        <f t="shared" si="3"/>
        <v/>
      </c>
      <c r="V27" s="735" t="str">
        <f t="shared" si="4"/>
        <v/>
      </c>
      <c r="W27" s="720"/>
    </row>
    <row r="28" spans="1:23" ht="14.4" customHeight="1" x14ac:dyDescent="0.3">
      <c r="A28" s="781" t="s">
        <v>1475</v>
      </c>
      <c r="B28" s="766">
        <v>3</v>
      </c>
      <c r="C28" s="767">
        <v>2.0299999999999998</v>
      </c>
      <c r="D28" s="736">
        <v>10</v>
      </c>
      <c r="E28" s="768">
        <v>5</v>
      </c>
      <c r="F28" s="769">
        <v>3.39</v>
      </c>
      <c r="G28" s="721">
        <v>9.1999999999999993</v>
      </c>
      <c r="H28" s="770">
        <v>5</v>
      </c>
      <c r="I28" s="771">
        <v>3.42</v>
      </c>
      <c r="J28" s="722">
        <v>8.8000000000000007</v>
      </c>
      <c r="K28" s="772">
        <v>0.68</v>
      </c>
      <c r="L28" s="773">
        <v>3</v>
      </c>
      <c r="M28" s="773">
        <v>26</v>
      </c>
      <c r="N28" s="774">
        <v>8.5299999999999994</v>
      </c>
      <c r="O28" s="773" t="s">
        <v>1429</v>
      </c>
      <c r="P28" s="775" t="s">
        <v>1476</v>
      </c>
      <c r="Q28" s="776">
        <f t="shared" si="0"/>
        <v>2</v>
      </c>
      <c r="R28" s="776">
        <f t="shared" si="0"/>
        <v>1.3900000000000001</v>
      </c>
      <c r="S28" s="766">
        <f t="shared" si="1"/>
        <v>42.65</v>
      </c>
      <c r="T28" s="766">
        <f t="shared" si="2"/>
        <v>44</v>
      </c>
      <c r="U28" s="766">
        <f t="shared" si="3"/>
        <v>1.3500000000000014</v>
      </c>
      <c r="V28" s="777">
        <f t="shared" si="4"/>
        <v>1.0316529894490036</v>
      </c>
      <c r="W28" s="723">
        <v>6.88</v>
      </c>
    </row>
    <row r="29" spans="1:23" ht="14.4" customHeight="1" x14ac:dyDescent="0.3">
      <c r="A29" s="781" t="s">
        <v>1477</v>
      </c>
      <c r="B29" s="766">
        <v>1</v>
      </c>
      <c r="C29" s="767">
        <v>1.46</v>
      </c>
      <c r="D29" s="736">
        <v>12</v>
      </c>
      <c r="E29" s="768"/>
      <c r="F29" s="769"/>
      <c r="G29" s="721"/>
      <c r="H29" s="770">
        <v>1</v>
      </c>
      <c r="I29" s="771">
        <v>1.52</v>
      </c>
      <c r="J29" s="722">
        <v>15</v>
      </c>
      <c r="K29" s="772">
        <v>1.46</v>
      </c>
      <c r="L29" s="773">
        <v>4</v>
      </c>
      <c r="M29" s="773">
        <v>32</v>
      </c>
      <c r="N29" s="774">
        <v>10.57</v>
      </c>
      <c r="O29" s="773" t="s">
        <v>1429</v>
      </c>
      <c r="P29" s="775" t="s">
        <v>1478</v>
      </c>
      <c r="Q29" s="776">
        <f t="shared" si="0"/>
        <v>0</v>
      </c>
      <c r="R29" s="776">
        <f t="shared" si="0"/>
        <v>6.0000000000000053E-2</v>
      </c>
      <c r="S29" s="766">
        <f t="shared" si="1"/>
        <v>10.57</v>
      </c>
      <c r="T29" s="766">
        <f t="shared" si="2"/>
        <v>15</v>
      </c>
      <c r="U29" s="766">
        <f t="shared" si="3"/>
        <v>4.43</v>
      </c>
      <c r="V29" s="777">
        <f t="shared" si="4"/>
        <v>1.4191106906338693</v>
      </c>
      <c r="W29" s="723">
        <v>4.43</v>
      </c>
    </row>
    <row r="30" spans="1:23" ht="14.4" customHeight="1" x14ac:dyDescent="0.3">
      <c r="A30" s="782" t="s">
        <v>1479</v>
      </c>
      <c r="B30" s="726">
        <v>178</v>
      </c>
      <c r="C30" s="727">
        <v>39.26</v>
      </c>
      <c r="D30" s="728">
        <v>4.7</v>
      </c>
      <c r="E30" s="733">
        <v>234</v>
      </c>
      <c r="F30" s="711">
        <v>51.76</v>
      </c>
      <c r="G30" s="712">
        <v>4.7</v>
      </c>
      <c r="H30" s="717">
        <v>152</v>
      </c>
      <c r="I30" s="711">
        <v>33.51</v>
      </c>
      <c r="J30" s="712">
        <v>4.4000000000000004</v>
      </c>
      <c r="K30" s="716">
        <v>0.22</v>
      </c>
      <c r="L30" s="717">
        <v>2</v>
      </c>
      <c r="M30" s="717">
        <v>15</v>
      </c>
      <c r="N30" s="718">
        <v>4.8600000000000003</v>
      </c>
      <c r="O30" s="717" t="s">
        <v>1429</v>
      </c>
      <c r="P30" s="734" t="s">
        <v>1480</v>
      </c>
      <c r="Q30" s="719">
        <f t="shared" si="0"/>
        <v>-26</v>
      </c>
      <c r="R30" s="719">
        <f t="shared" si="0"/>
        <v>-5.75</v>
      </c>
      <c r="S30" s="730">
        <f t="shared" si="1"/>
        <v>738.72</v>
      </c>
      <c r="T30" s="730">
        <f t="shared" si="2"/>
        <v>668.80000000000007</v>
      </c>
      <c r="U30" s="730">
        <f t="shared" si="3"/>
        <v>-69.919999999999959</v>
      </c>
      <c r="V30" s="735">
        <f t="shared" si="4"/>
        <v>0.90534979423868323</v>
      </c>
      <c r="W30" s="720">
        <v>18.7</v>
      </c>
    </row>
    <row r="31" spans="1:23" ht="14.4" customHeight="1" x14ac:dyDescent="0.3">
      <c r="A31" s="781" t="s">
        <v>1481</v>
      </c>
      <c r="B31" s="778">
        <v>100</v>
      </c>
      <c r="C31" s="779">
        <v>27.04</v>
      </c>
      <c r="D31" s="729">
        <v>5.7</v>
      </c>
      <c r="E31" s="768">
        <v>43</v>
      </c>
      <c r="F31" s="769">
        <v>11.57</v>
      </c>
      <c r="G31" s="721">
        <v>6</v>
      </c>
      <c r="H31" s="773">
        <v>106</v>
      </c>
      <c r="I31" s="769">
        <v>28.57</v>
      </c>
      <c r="J31" s="721">
        <v>5.3</v>
      </c>
      <c r="K31" s="772">
        <v>0.27</v>
      </c>
      <c r="L31" s="773">
        <v>2</v>
      </c>
      <c r="M31" s="773">
        <v>17</v>
      </c>
      <c r="N31" s="774">
        <v>5.73</v>
      </c>
      <c r="O31" s="773" t="s">
        <v>1429</v>
      </c>
      <c r="P31" s="775" t="s">
        <v>1482</v>
      </c>
      <c r="Q31" s="776">
        <f t="shared" si="0"/>
        <v>6</v>
      </c>
      <c r="R31" s="776">
        <f t="shared" si="0"/>
        <v>1.5300000000000011</v>
      </c>
      <c r="S31" s="766">
        <f t="shared" si="1"/>
        <v>607.38</v>
      </c>
      <c r="T31" s="766">
        <f t="shared" si="2"/>
        <v>561.79999999999995</v>
      </c>
      <c r="U31" s="766">
        <f t="shared" si="3"/>
        <v>-45.580000000000041</v>
      </c>
      <c r="V31" s="777">
        <f t="shared" si="4"/>
        <v>0.92495636998254793</v>
      </c>
      <c r="W31" s="723">
        <v>55.48</v>
      </c>
    </row>
    <row r="32" spans="1:23" ht="14.4" customHeight="1" x14ac:dyDescent="0.3">
      <c r="A32" s="781" t="s">
        <v>1483</v>
      </c>
      <c r="B32" s="778">
        <v>7</v>
      </c>
      <c r="C32" s="779">
        <v>2.4700000000000002</v>
      </c>
      <c r="D32" s="729">
        <v>5</v>
      </c>
      <c r="E32" s="768">
        <v>7</v>
      </c>
      <c r="F32" s="769">
        <v>2.4700000000000002</v>
      </c>
      <c r="G32" s="721">
        <v>5.9</v>
      </c>
      <c r="H32" s="773">
        <v>18</v>
      </c>
      <c r="I32" s="769">
        <v>6.35</v>
      </c>
      <c r="J32" s="721">
        <v>5.3</v>
      </c>
      <c r="K32" s="772">
        <v>0.35</v>
      </c>
      <c r="L32" s="773">
        <v>2</v>
      </c>
      <c r="M32" s="773">
        <v>18</v>
      </c>
      <c r="N32" s="774">
        <v>6.07</v>
      </c>
      <c r="O32" s="773" t="s">
        <v>1429</v>
      </c>
      <c r="P32" s="775" t="s">
        <v>1484</v>
      </c>
      <c r="Q32" s="776">
        <f t="shared" si="0"/>
        <v>11</v>
      </c>
      <c r="R32" s="776">
        <f t="shared" si="0"/>
        <v>3.8799999999999994</v>
      </c>
      <c r="S32" s="766">
        <f t="shared" si="1"/>
        <v>109.26</v>
      </c>
      <c r="T32" s="766">
        <f t="shared" si="2"/>
        <v>95.399999999999991</v>
      </c>
      <c r="U32" s="766">
        <f t="shared" si="3"/>
        <v>-13.860000000000014</v>
      </c>
      <c r="V32" s="777">
        <f t="shared" si="4"/>
        <v>0.87314662273476096</v>
      </c>
      <c r="W32" s="723">
        <v>1.93</v>
      </c>
    </row>
    <row r="33" spans="1:23" ht="14.4" customHeight="1" x14ac:dyDescent="0.3">
      <c r="A33" s="782" t="s">
        <v>1485</v>
      </c>
      <c r="B33" s="730"/>
      <c r="C33" s="731"/>
      <c r="D33" s="732"/>
      <c r="E33" s="733"/>
      <c r="F33" s="711"/>
      <c r="G33" s="712"/>
      <c r="H33" s="713">
        <v>1</v>
      </c>
      <c r="I33" s="714">
        <v>5.27</v>
      </c>
      <c r="J33" s="715">
        <v>70</v>
      </c>
      <c r="K33" s="716">
        <v>2.17</v>
      </c>
      <c r="L33" s="717">
        <v>4</v>
      </c>
      <c r="M33" s="717">
        <v>38</v>
      </c>
      <c r="N33" s="718">
        <v>12.74</v>
      </c>
      <c r="O33" s="717" t="s">
        <v>1429</v>
      </c>
      <c r="P33" s="734" t="s">
        <v>1486</v>
      </c>
      <c r="Q33" s="719">
        <f t="shared" si="0"/>
        <v>1</v>
      </c>
      <c r="R33" s="719">
        <f t="shared" si="0"/>
        <v>5.27</v>
      </c>
      <c r="S33" s="730">
        <f t="shared" si="1"/>
        <v>12.74</v>
      </c>
      <c r="T33" s="730">
        <f t="shared" si="2"/>
        <v>70</v>
      </c>
      <c r="U33" s="730">
        <f t="shared" si="3"/>
        <v>57.26</v>
      </c>
      <c r="V33" s="735">
        <f t="shared" si="4"/>
        <v>5.4945054945054945</v>
      </c>
      <c r="W33" s="720">
        <v>57.26</v>
      </c>
    </row>
    <row r="34" spans="1:23" ht="14.4" customHeight="1" x14ac:dyDescent="0.3">
      <c r="A34" s="782" t="s">
        <v>1487</v>
      </c>
      <c r="B34" s="730">
        <v>1</v>
      </c>
      <c r="C34" s="731">
        <v>0.26</v>
      </c>
      <c r="D34" s="732">
        <v>2</v>
      </c>
      <c r="E34" s="733">
        <v>1</v>
      </c>
      <c r="F34" s="711">
        <v>0.26</v>
      </c>
      <c r="G34" s="712">
        <v>2</v>
      </c>
      <c r="H34" s="713">
        <v>4</v>
      </c>
      <c r="I34" s="714">
        <v>1.03</v>
      </c>
      <c r="J34" s="725">
        <v>2.2999999999999998</v>
      </c>
      <c r="K34" s="716">
        <v>0.26</v>
      </c>
      <c r="L34" s="717">
        <v>1</v>
      </c>
      <c r="M34" s="717">
        <v>9</v>
      </c>
      <c r="N34" s="718">
        <v>2.83</v>
      </c>
      <c r="O34" s="717" t="s">
        <v>1429</v>
      </c>
      <c r="P34" s="734" t="s">
        <v>1488</v>
      </c>
      <c r="Q34" s="719">
        <f t="shared" si="0"/>
        <v>3</v>
      </c>
      <c r="R34" s="719">
        <f t="shared" si="0"/>
        <v>0.77</v>
      </c>
      <c r="S34" s="730">
        <f t="shared" si="1"/>
        <v>11.32</v>
      </c>
      <c r="T34" s="730">
        <f t="shared" si="2"/>
        <v>9.1999999999999993</v>
      </c>
      <c r="U34" s="730">
        <f t="shared" si="3"/>
        <v>-2.120000000000001</v>
      </c>
      <c r="V34" s="735">
        <f t="shared" si="4"/>
        <v>0.81272084805653699</v>
      </c>
      <c r="W34" s="720">
        <v>0.17</v>
      </c>
    </row>
    <row r="35" spans="1:23" ht="14.4" customHeight="1" x14ac:dyDescent="0.3">
      <c r="A35" s="781" t="s">
        <v>1489</v>
      </c>
      <c r="B35" s="766">
        <v>1</v>
      </c>
      <c r="C35" s="767">
        <v>1.03</v>
      </c>
      <c r="D35" s="736">
        <v>26</v>
      </c>
      <c r="E35" s="768"/>
      <c r="F35" s="769"/>
      <c r="G35" s="721"/>
      <c r="H35" s="770"/>
      <c r="I35" s="771"/>
      <c r="J35" s="724"/>
      <c r="K35" s="772">
        <v>0.85</v>
      </c>
      <c r="L35" s="773">
        <v>3</v>
      </c>
      <c r="M35" s="773">
        <v>23</v>
      </c>
      <c r="N35" s="774">
        <v>7.67</v>
      </c>
      <c r="O35" s="773" t="s">
        <v>1429</v>
      </c>
      <c r="P35" s="775" t="s">
        <v>1490</v>
      </c>
      <c r="Q35" s="776">
        <f t="shared" si="0"/>
        <v>-1</v>
      </c>
      <c r="R35" s="776">
        <f t="shared" si="0"/>
        <v>-1.03</v>
      </c>
      <c r="S35" s="766" t="str">
        <f t="shared" si="1"/>
        <v/>
      </c>
      <c r="T35" s="766" t="str">
        <f t="shared" si="2"/>
        <v/>
      </c>
      <c r="U35" s="766" t="str">
        <f t="shared" si="3"/>
        <v/>
      </c>
      <c r="V35" s="777" t="str">
        <f t="shared" si="4"/>
        <v/>
      </c>
      <c r="W35" s="723"/>
    </row>
    <row r="36" spans="1:23" ht="14.4" customHeight="1" thickBot="1" x14ac:dyDescent="0.35">
      <c r="A36" s="783" t="s">
        <v>1491</v>
      </c>
      <c r="B36" s="784">
        <v>1</v>
      </c>
      <c r="C36" s="785">
        <v>0.11</v>
      </c>
      <c r="D36" s="786">
        <v>8</v>
      </c>
      <c r="E36" s="787"/>
      <c r="F36" s="788"/>
      <c r="G36" s="789"/>
      <c r="H36" s="790"/>
      <c r="I36" s="788"/>
      <c r="J36" s="789"/>
      <c r="K36" s="791">
        <v>0.11</v>
      </c>
      <c r="L36" s="790">
        <v>2</v>
      </c>
      <c r="M36" s="790">
        <v>14</v>
      </c>
      <c r="N36" s="792">
        <v>4.79</v>
      </c>
      <c r="O36" s="790" t="s">
        <v>1429</v>
      </c>
      <c r="P36" s="793" t="s">
        <v>1492</v>
      </c>
      <c r="Q36" s="794">
        <f t="shared" si="0"/>
        <v>-1</v>
      </c>
      <c r="R36" s="794">
        <f t="shared" si="0"/>
        <v>-0.11</v>
      </c>
      <c r="S36" s="795" t="str">
        <f t="shared" si="1"/>
        <v/>
      </c>
      <c r="T36" s="795" t="str">
        <f t="shared" si="2"/>
        <v/>
      </c>
      <c r="U36" s="795" t="str">
        <f t="shared" si="3"/>
        <v/>
      </c>
      <c r="V36" s="796" t="str">
        <f t="shared" si="4"/>
        <v/>
      </c>
      <c r="W36" s="797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37:Q1048576">
    <cfRule type="cellIs" dxfId="12" priority="9" stopIfTrue="1" operator="lessThan">
      <formula>0</formula>
    </cfRule>
  </conditionalFormatting>
  <conditionalFormatting sqref="U37:U1048576">
    <cfRule type="cellIs" dxfId="11" priority="8" stopIfTrue="1" operator="greaterThan">
      <formula>0</formula>
    </cfRule>
  </conditionalFormatting>
  <conditionalFormatting sqref="V37:V1048576">
    <cfRule type="cellIs" dxfId="10" priority="7" stopIfTrue="1" operator="greaterThan">
      <formula>1</formula>
    </cfRule>
  </conditionalFormatting>
  <conditionalFormatting sqref="V37:V1048576">
    <cfRule type="cellIs" dxfId="9" priority="4" stopIfTrue="1" operator="greaterThan">
      <formula>1</formula>
    </cfRule>
  </conditionalFormatting>
  <conditionalFormatting sqref="U37:U1048576">
    <cfRule type="cellIs" dxfId="8" priority="5" stopIfTrue="1" operator="greaterThan">
      <formula>0</formula>
    </cfRule>
  </conditionalFormatting>
  <conditionalFormatting sqref="Q37:Q1048576">
    <cfRule type="cellIs" dxfId="7" priority="6" stopIfTrue="1" operator="lessThan">
      <formula>0</formula>
    </cfRule>
  </conditionalFormatting>
  <conditionalFormatting sqref="V5:V36">
    <cfRule type="cellIs" dxfId="6" priority="1" stopIfTrue="1" operator="greaterThan">
      <formula>1</formula>
    </cfRule>
  </conditionalFormatting>
  <conditionalFormatting sqref="U5:U36">
    <cfRule type="cellIs" dxfId="5" priority="2" stopIfTrue="1" operator="greaterThan">
      <formula>0</formula>
    </cfRule>
  </conditionalFormatting>
  <conditionalFormatting sqref="Q5:Q3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954215</v>
      </c>
      <c r="C3" s="330">
        <f t="shared" ref="C3:L3" si="0">SUBTOTAL(9,C6:C1048576)</f>
        <v>8</v>
      </c>
      <c r="D3" s="330">
        <f t="shared" si="0"/>
        <v>726936</v>
      </c>
      <c r="E3" s="330">
        <f t="shared" si="0"/>
        <v>8.7103028121383161</v>
      </c>
      <c r="F3" s="330">
        <f t="shared" si="0"/>
        <v>833932</v>
      </c>
      <c r="G3" s="333">
        <f>IF(B3&lt;&gt;0,F3/B3,"")</f>
        <v>0.87394559926222082</v>
      </c>
      <c r="H3" s="329">
        <f t="shared" si="0"/>
        <v>402.62</v>
      </c>
      <c r="I3" s="330">
        <f t="shared" si="0"/>
        <v>1</v>
      </c>
      <c r="J3" s="330">
        <f t="shared" si="0"/>
        <v>252.8</v>
      </c>
      <c r="K3" s="330">
        <f t="shared" si="0"/>
        <v>0.62788733793651585</v>
      </c>
      <c r="L3" s="330">
        <f t="shared" si="0"/>
        <v>1501.77</v>
      </c>
      <c r="M3" s="331">
        <f>IF(H3&lt;&gt;0,L3/H3,"")</f>
        <v>3.7299935422979482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798"/>
      <c r="B5" s="799">
        <v>2013</v>
      </c>
      <c r="C5" s="800"/>
      <c r="D5" s="800">
        <v>2014</v>
      </c>
      <c r="E5" s="800"/>
      <c r="F5" s="800">
        <v>2015</v>
      </c>
      <c r="G5" s="698" t="s">
        <v>2</v>
      </c>
      <c r="H5" s="799">
        <v>2013</v>
      </c>
      <c r="I5" s="800"/>
      <c r="J5" s="800">
        <v>2014</v>
      </c>
      <c r="K5" s="800"/>
      <c r="L5" s="800">
        <v>2015</v>
      </c>
      <c r="M5" s="698" t="s">
        <v>2</v>
      </c>
    </row>
    <row r="6" spans="1:13" ht="14.4" customHeight="1" x14ac:dyDescent="0.3">
      <c r="A6" s="637" t="s">
        <v>1494</v>
      </c>
      <c r="B6" s="801">
        <v>43784</v>
      </c>
      <c r="C6" s="606">
        <v>1</v>
      </c>
      <c r="D6" s="801">
        <v>50595</v>
      </c>
      <c r="E6" s="606">
        <v>1.1555591083500822</v>
      </c>
      <c r="F6" s="801">
        <v>111414</v>
      </c>
      <c r="G6" s="627">
        <v>2.5446281746756805</v>
      </c>
      <c r="H6" s="801"/>
      <c r="I6" s="606"/>
      <c r="J6" s="801"/>
      <c r="K6" s="606"/>
      <c r="L6" s="801"/>
      <c r="M6" s="650"/>
    </row>
    <row r="7" spans="1:13" ht="14.4" customHeight="1" x14ac:dyDescent="0.3">
      <c r="A7" s="640" t="s">
        <v>1495</v>
      </c>
      <c r="B7" s="802">
        <v>14446</v>
      </c>
      <c r="C7" s="612">
        <v>1</v>
      </c>
      <c r="D7" s="802">
        <v>26235</v>
      </c>
      <c r="E7" s="612">
        <v>1.8160736536065347</v>
      </c>
      <c r="F7" s="802">
        <v>47554</v>
      </c>
      <c r="G7" s="628">
        <v>3.2918454935622319</v>
      </c>
      <c r="H7" s="802"/>
      <c r="I7" s="612"/>
      <c r="J7" s="802"/>
      <c r="K7" s="612"/>
      <c r="L7" s="802"/>
      <c r="M7" s="651"/>
    </row>
    <row r="8" spans="1:13" ht="14.4" customHeight="1" x14ac:dyDescent="0.3">
      <c r="A8" s="640" t="s">
        <v>1496</v>
      </c>
      <c r="B8" s="802">
        <v>485936</v>
      </c>
      <c r="C8" s="612">
        <v>1</v>
      </c>
      <c r="D8" s="802">
        <v>354859</v>
      </c>
      <c r="E8" s="612">
        <v>0.73025871719732638</v>
      </c>
      <c r="F8" s="802">
        <v>328114</v>
      </c>
      <c r="G8" s="628">
        <v>0.67522060518257543</v>
      </c>
      <c r="H8" s="802"/>
      <c r="I8" s="612"/>
      <c r="J8" s="802"/>
      <c r="K8" s="612"/>
      <c r="L8" s="802"/>
      <c r="M8" s="651"/>
    </row>
    <row r="9" spans="1:13" ht="14.4" customHeight="1" x14ac:dyDescent="0.3">
      <c r="A9" s="640" t="s">
        <v>1497</v>
      </c>
      <c r="B9" s="802">
        <v>83228</v>
      </c>
      <c r="C9" s="612">
        <v>1</v>
      </c>
      <c r="D9" s="802">
        <v>22704</v>
      </c>
      <c r="E9" s="612">
        <v>0.27279281011198153</v>
      </c>
      <c r="F9" s="802">
        <v>25280</v>
      </c>
      <c r="G9" s="628">
        <v>0.3037439323304657</v>
      </c>
      <c r="H9" s="802">
        <v>402.62</v>
      </c>
      <c r="I9" s="612">
        <v>1</v>
      </c>
      <c r="J9" s="802">
        <v>252.8</v>
      </c>
      <c r="K9" s="612">
        <v>0.62788733793651585</v>
      </c>
      <c r="L9" s="802">
        <v>1501.77</v>
      </c>
      <c r="M9" s="651">
        <v>3.7299935422979482</v>
      </c>
    </row>
    <row r="10" spans="1:13" ht="14.4" customHeight="1" x14ac:dyDescent="0.3">
      <c r="A10" s="640" t="s">
        <v>1498</v>
      </c>
      <c r="B10" s="802">
        <v>207898</v>
      </c>
      <c r="C10" s="612">
        <v>1</v>
      </c>
      <c r="D10" s="802">
        <v>191728</v>
      </c>
      <c r="E10" s="612">
        <v>0.92222147399205379</v>
      </c>
      <c r="F10" s="802">
        <v>196531</v>
      </c>
      <c r="G10" s="628">
        <v>0.945324149342466</v>
      </c>
      <c r="H10" s="802"/>
      <c r="I10" s="612"/>
      <c r="J10" s="802"/>
      <c r="K10" s="612"/>
      <c r="L10" s="802"/>
      <c r="M10" s="651"/>
    </row>
    <row r="11" spans="1:13" ht="14.4" customHeight="1" x14ac:dyDescent="0.3">
      <c r="A11" s="640" t="s">
        <v>1499</v>
      </c>
      <c r="B11" s="802">
        <v>1733</v>
      </c>
      <c r="C11" s="612">
        <v>1</v>
      </c>
      <c r="D11" s="802">
        <v>5424</v>
      </c>
      <c r="E11" s="612">
        <v>3.1298326601269473</v>
      </c>
      <c r="F11" s="802">
        <v>13828</v>
      </c>
      <c r="G11" s="628">
        <v>7.9792267743796881</v>
      </c>
      <c r="H11" s="802"/>
      <c r="I11" s="612"/>
      <c r="J11" s="802"/>
      <c r="K11" s="612"/>
      <c r="L11" s="802"/>
      <c r="M11" s="651"/>
    </row>
    <row r="12" spans="1:13" ht="14.4" customHeight="1" x14ac:dyDescent="0.3">
      <c r="A12" s="640" t="s">
        <v>1500</v>
      </c>
      <c r="B12" s="802">
        <v>110291</v>
      </c>
      <c r="C12" s="612">
        <v>1</v>
      </c>
      <c r="D12" s="802">
        <v>75391</v>
      </c>
      <c r="E12" s="612">
        <v>0.68356438875338876</v>
      </c>
      <c r="F12" s="802">
        <v>89124</v>
      </c>
      <c r="G12" s="628">
        <v>0.80808044174048654</v>
      </c>
      <c r="H12" s="802"/>
      <c r="I12" s="612"/>
      <c r="J12" s="802"/>
      <c r="K12" s="612"/>
      <c r="L12" s="802"/>
      <c r="M12" s="651"/>
    </row>
    <row r="13" spans="1:13" ht="14.4" customHeight="1" thickBot="1" x14ac:dyDescent="0.35">
      <c r="A13" s="804" t="s">
        <v>1501</v>
      </c>
      <c r="B13" s="803">
        <v>6899</v>
      </c>
      <c r="C13" s="618">
        <v>1</v>
      </c>
      <c r="D13" s="803"/>
      <c r="E13" s="618"/>
      <c r="F13" s="803">
        <v>22087</v>
      </c>
      <c r="G13" s="629">
        <v>3.2014784751413248</v>
      </c>
      <c r="H13" s="803"/>
      <c r="I13" s="618"/>
      <c r="J13" s="803"/>
      <c r="K13" s="618"/>
      <c r="L13" s="803"/>
      <c r="M13" s="65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8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1865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9366.16</v>
      </c>
      <c r="G3" s="199">
        <f t="shared" si="0"/>
        <v>954617.62</v>
      </c>
      <c r="H3" s="200"/>
      <c r="I3" s="200"/>
      <c r="J3" s="195">
        <f t="shared" si="0"/>
        <v>7032.04</v>
      </c>
      <c r="K3" s="199">
        <f t="shared" si="0"/>
        <v>727188.8</v>
      </c>
      <c r="L3" s="200"/>
      <c r="M3" s="200"/>
      <c r="N3" s="195">
        <f t="shared" si="0"/>
        <v>5701.46</v>
      </c>
      <c r="O3" s="199">
        <f t="shared" si="0"/>
        <v>835433.77</v>
      </c>
      <c r="P3" s="166">
        <f>IF(G3=0,"",O3/G3)</f>
        <v>0.87515016745657803</v>
      </c>
      <c r="Q3" s="197">
        <f>IF(N3=0,"",O3/N3)</f>
        <v>146.52979587684558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77</v>
      </c>
      <c r="E4" s="517" t="s">
        <v>11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5" t="s">
        <v>1502</v>
      </c>
      <c r="B6" s="606" t="s">
        <v>1503</v>
      </c>
      <c r="C6" s="606" t="s">
        <v>1331</v>
      </c>
      <c r="D6" s="606" t="s">
        <v>1504</v>
      </c>
      <c r="E6" s="606" t="s">
        <v>1505</v>
      </c>
      <c r="F6" s="609">
        <v>1</v>
      </c>
      <c r="G6" s="609">
        <v>297</v>
      </c>
      <c r="H6" s="609">
        <v>1</v>
      </c>
      <c r="I6" s="609">
        <v>297</v>
      </c>
      <c r="J6" s="609">
        <v>2</v>
      </c>
      <c r="K6" s="609">
        <v>594</v>
      </c>
      <c r="L6" s="609">
        <v>2</v>
      </c>
      <c r="M6" s="609">
        <v>297</v>
      </c>
      <c r="N6" s="609">
        <v>2</v>
      </c>
      <c r="O6" s="609">
        <v>606</v>
      </c>
      <c r="P6" s="627">
        <v>2.0404040404040402</v>
      </c>
      <c r="Q6" s="610">
        <v>303</v>
      </c>
    </row>
    <row r="7" spans="1:17" ht="14.4" customHeight="1" x14ac:dyDescent="0.3">
      <c r="A7" s="611" t="s">
        <v>1502</v>
      </c>
      <c r="B7" s="612" t="s">
        <v>1503</v>
      </c>
      <c r="C7" s="612" t="s">
        <v>1331</v>
      </c>
      <c r="D7" s="612" t="s">
        <v>1506</v>
      </c>
      <c r="E7" s="612" t="s">
        <v>1507</v>
      </c>
      <c r="F7" s="615">
        <v>1</v>
      </c>
      <c r="G7" s="615">
        <v>1245</v>
      </c>
      <c r="H7" s="615">
        <v>1</v>
      </c>
      <c r="I7" s="615">
        <v>1245</v>
      </c>
      <c r="J7" s="615">
        <v>1</v>
      </c>
      <c r="K7" s="615">
        <v>1245</v>
      </c>
      <c r="L7" s="615">
        <v>1</v>
      </c>
      <c r="M7" s="615">
        <v>1245</v>
      </c>
      <c r="N7" s="615">
        <v>2</v>
      </c>
      <c r="O7" s="615">
        <v>2536</v>
      </c>
      <c r="P7" s="628">
        <v>2.0369477911646587</v>
      </c>
      <c r="Q7" s="616">
        <v>1268</v>
      </c>
    </row>
    <row r="8" spans="1:17" ht="14.4" customHeight="1" x14ac:dyDescent="0.3">
      <c r="A8" s="611" t="s">
        <v>1502</v>
      </c>
      <c r="B8" s="612" t="s">
        <v>1503</v>
      </c>
      <c r="C8" s="612" t="s">
        <v>1331</v>
      </c>
      <c r="D8" s="612" t="s">
        <v>1508</v>
      </c>
      <c r="E8" s="612" t="s">
        <v>1509</v>
      </c>
      <c r="F8" s="615">
        <v>16</v>
      </c>
      <c r="G8" s="615">
        <v>35728</v>
      </c>
      <c r="H8" s="615">
        <v>1</v>
      </c>
      <c r="I8" s="615">
        <v>2233</v>
      </c>
      <c r="J8" s="615">
        <v>16</v>
      </c>
      <c r="K8" s="615">
        <v>35728</v>
      </c>
      <c r="L8" s="615">
        <v>1</v>
      </c>
      <c r="M8" s="615">
        <v>2233</v>
      </c>
      <c r="N8" s="615">
        <v>42</v>
      </c>
      <c r="O8" s="615">
        <v>95088</v>
      </c>
      <c r="P8" s="628">
        <v>2.6614420062695925</v>
      </c>
      <c r="Q8" s="616">
        <v>2264</v>
      </c>
    </row>
    <row r="9" spans="1:17" ht="14.4" customHeight="1" x14ac:dyDescent="0.3">
      <c r="A9" s="611" t="s">
        <v>1502</v>
      </c>
      <c r="B9" s="612" t="s">
        <v>1503</v>
      </c>
      <c r="C9" s="612" t="s">
        <v>1331</v>
      </c>
      <c r="D9" s="612" t="s">
        <v>1510</v>
      </c>
      <c r="E9" s="612" t="s">
        <v>1511</v>
      </c>
      <c r="F9" s="615">
        <v>1</v>
      </c>
      <c r="G9" s="615">
        <v>6514</v>
      </c>
      <c r="H9" s="615">
        <v>1</v>
      </c>
      <c r="I9" s="615">
        <v>6514</v>
      </c>
      <c r="J9" s="615">
        <v>2</v>
      </c>
      <c r="K9" s="615">
        <v>13028</v>
      </c>
      <c r="L9" s="615">
        <v>2</v>
      </c>
      <c r="M9" s="615">
        <v>6514</v>
      </c>
      <c r="N9" s="615">
        <v>2</v>
      </c>
      <c r="O9" s="615">
        <v>13184</v>
      </c>
      <c r="P9" s="628">
        <v>2.0239484187902979</v>
      </c>
      <c r="Q9" s="616">
        <v>6592</v>
      </c>
    </row>
    <row r="10" spans="1:17" ht="14.4" customHeight="1" x14ac:dyDescent="0.3">
      <c r="A10" s="611" t="s">
        <v>1512</v>
      </c>
      <c r="B10" s="612" t="s">
        <v>1513</v>
      </c>
      <c r="C10" s="612" t="s">
        <v>1331</v>
      </c>
      <c r="D10" s="612" t="s">
        <v>1514</v>
      </c>
      <c r="E10" s="612" t="s">
        <v>1515</v>
      </c>
      <c r="F10" s="615">
        <v>7</v>
      </c>
      <c r="G10" s="615">
        <v>2450</v>
      </c>
      <c r="H10" s="615">
        <v>1</v>
      </c>
      <c r="I10" s="615">
        <v>350</v>
      </c>
      <c r="J10" s="615">
        <v>2</v>
      </c>
      <c r="K10" s="615">
        <v>700</v>
      </c>
      <c r="L10" s="615">
        <v>0.2857142857142857</v>
      </c>
      <c r="M10" s="615">
        <v>350</v>
      </c>
      <c r="N10" s="615"/>
      <c r="O10" s="615"/>
      <c r="P10" s="628"/>
      <c r="Q10" s="616"/>
    </row>
    <row r="11" spans="1:17" ht="14.4" customHeight="1" x14ac:dyDescent="0.3">
      <c r="A11" s="611" t="s">
        <v>1512</v>
      </c>
      <c r="B11" s="612" t="s">
        <v>1513</v>
      </c>
      <c r="C11" s="612" t="s">
        <v>1331</v>
      </c>
      <c r="D11" s="612" t="s">
        <v>1516</v>
      </c>
      <c r="E11" s="612" t="s">
        <v>1517</v>
      </c>
      <c r="F11" s="615">
        <v>3</v>
      </c>
      <c r="G11" s="615">
        <v>195</v>
      </c>
      <c r="H11" s="615">
        <v>1</v>
      </c>
      <c r="I11" s="615">
        <v>65</v>
      </c>
      <c r="J11" s="615">
        <v>5</v>
      </c>
      <c r="K11" s="615">
        <v>325</v>
      </c>
      <c r="L11" s="615">
        <v>1.6666666666666667</v>
      </c>
      <c r="M11" s="615">
        <v>65</v>
      </c>
      <c r="N11" s="615">
        <v>341</v>
      </c>
      <c r="O11" s="615">
        <v>22165</v>
      </c>
      <c r="P11" s="628">
        <v>113.66666666666667</v>
      </c>
      <c r="Q11" s="616">
        <v>65</v>
      </c>
    </row>
    <row r="12" spans="1:17" ht="14.4" customHeight="1" x14ac:dyDescent="0.3">
      <c r="A12" s="611" t="s">
        <v>1512</v>
      </c>
      <c r="B12" s="612" t="s">
        <v>1513</v>
      </c>
      <c r="C12" s="612" t="s">
        <v>1331</v>
      </c>
      <c r="D12" s="612" t="s">
        <v>1518</v>
      </c>
      <c r="E12" s="612" t="s">
        <v>1519</v>
      </c>
      <c r="F12" s="615">
        <v>7</v>
      </c>
      <c r="G12" s="615">
        <v>161</v>
      </c>
      <c r="H12" s="615">
        <v>1</v>
      </c>
      <c r="I12" s="615">
        <v>23</v>
      </c>
      <c r="J12" s="615">
        <v>15</v>
      </c>
      <c r="K12" s="615">
        <v>345</v>
      </c>
      <c r="L12" s="615">
        <v>2.1428571428571428</v>
      </c>
      <c r="M12" s="615">
        <v>23</v>
      </c>
      <c r="N12" s="615">
        <v>5</v>
      </c>
      <c r="O12" s="615">
        <v>120</v>
      </c>
      <c r="P12" s="628">
        <v>0.74534161490683226</v>
      </c>
      <c r="Q12" s="616">
        <v>24</v>
      </c>
    </row>
    <row r="13" spans="1:17" ht="14.4" customHeight="1" x14ac:dyDescent="0.3">
      <c r="A13" s="611" t="s">
        <v>1512</v>
      </c>
      <c r="B13" s="612" t="s">
        <v>1513</v>
      </c>
      <c r="C13" s="612" t="s">
        <v>1331</v>
      </c>
      <c r="D13" s="612" t="s">
        <v>1520</v>
      </c>
      <c r="E13" s="612" t="s">
        <v>1521</v>
      </c>
      <c r="F13" s="615"/>
      <c r="G13" s="615"/>
      <c r="H13" s="615"/>
      <c r="I13" s="615"/>
      <c r="J13" s="615">
        <v>5</v>
      </c>
      <c r="K13" s="615">
        <v>270</v>
      </c>
      <c r="L13" s="615"/>
      <c r="M13" s="615">
        <v>54</v>
      </c>
      <c r="N13" s="615"/>
      <c r="O13" s="615"/>
      <c r="P13" s="628"/>
      <c r="Q13" s="616"/>
    </row>
    <row r="14" spans="1:17" ht="14.4" customHeight="1" x14ac:dyDescent="0.3">
      <c r="A14" s="611" t="s">
        <v>1512</v>
      </c>
      <c r="B14" s="612" t="s">
        <v>1513</v>
      </c>
      <c r="C14" s="612" t="s">
        <v>1331</v>
      </c>
      <c r="D14" s="612" t="s">
        <v>1522</v>
      </c>
      <c r="E14" s="612" t="s">
        <v>1523</v>
      </c>
      <c r="F14" s="615">
        <v>6</v>
      </c>
      <c r="G14" s="615">
        <v>462</v>
      </c>
      <c r="H14" s="615">
        <v>1</v>
      </c>
      <c r="I14" s="615">
        <v>77</v>
      </c>
      <c r="J14" s="615">
        <v>19</v>
      </c>
      <c r="K14" s="615">
        <v>1463</v>
      </c>
      <c r="L14" s="615">
        <v>3.1666666666666665</v>
      </c>
      <c r="M14" s="615">
        <v>77</v>
      </c>
      <c r="N14" s="615">
        <v>23</v>
      </c>
      <c r="O14" s="615">
        <v>1771</v>
      </c>
      <c r="P14" s="628">
        <v>3.8333333333333335</v>
      </c>
      <c r="Q14" s="616">
        <v>77</v>
      </c>
    </row>
    <row r="15" spans="1:17" ht="14.4" customHeight="1" x14ac:dyDescent="0.3">
      <c r="A15" s="611" t="s">
        <v>1512</v>
      </c>
      <c r="B15" s="612" t="s">
        <v>1513</v>
      </c>
      <c r="C15" s="612" t="s">
        <v>1331</v>
      </c>
      <c r="D15" s="612" t="s">
        <v>1524</v>
      </c>
      <c r="E15" s="612" t="s">
        <v>1525</v>
      </c>
      <c r="F15" s="615">
        <v>195</v>
      </c>
      <c r="G15" s="615">
        <v>4290</v>
      </c>
      <c r="H15" s="615">
        <v>1</v>
      </c>
      <c r="I15" s="615">
        <v>22</v>
      </c>
      <c r="J15" s="615">
        <v>285</v>
      </c>
      <c r="K15" s="615">
        <v>6270</v>
      </c>
      <c r="L15" s="615">
        <v>1.4615384615384615</v>
      </c>
      <c r="M15" s="615">
        <v>22</v>
      </c>
      <c r="N15" s="615">
        <v>312</v>
      </c>
      <c r="O15" s="615">
        <v>7176</v>
      </c>
      <c r="P15" s="628">
        <v>1.6727272727272726</v>
      </c>
      <c r="Q15" s="616">
        <v>23</v>
      </c>
    </row>
    <row r="16" spans="1:17" ht="14.4" customHeight="1" x14ac:dyDescent="0.3">
      <c r="A16" s="611" t="s">
        <v>1512</v>
      </c>
      <c r="B16" s="612" t="s">
        <v>1513</v>
      </c>
      <c r="C16" s="612" t="s">
        <v>1331</v>
      </c>
      <c r="D16" s="612" t="s">
        <v>1526</v>
      </c>
      <c r="E16" s="612" t="s">
        <v>1527</v>
      </c>
      <c r="F16" s="615"/>
      <c r="G16" s="615"/>
      <c r="H16" s="615"/>
      <c r="I16" s="615"/>
      <c r="J16" s="615"/>
      <c r="K16" s="615"/>
      <c r="L16" s="615"/>
      <c r="M16" s="615"/>
      <c r="N16" s="615">
        <v>1</v>
      </c>
      <c r="O16" s="615">
        <v>209</v>
      </c>
      <c r="P16" s="628"/>
      <c r="Q16" s="616">
        <v>209</v>
      </c>
    </row>
    <row r="17" spans="1:17" ht="14.4" customHeight="1" x14ac:dyDescent="0.3">
      <c r="A17" s="611" t="s">
        <v>1512</v>
      </c>
      <c r="B17" s="612" t="s">
        <v>1513</v>
      </c>
      <c r="C17" s="612" t="s">
        <v>1331</v>
      </c>
      <c r="D17" s="612" t="s">
        <v>1528</v>
      </c>
      <c r="E17" s="612" t="s">
        <v>1529</v>
      </c>
      <c r="F17" s="615">
        <v>20</v>
      </c>
      <c r="G17" s="615">
        <v>1320</v>
      </c>
      <c r="H17" s="615">
        <v>1</v>
      </c>
      <c r="I17" s="615">
        <v>66</v>
      </c>
      <c r="J17" s="615">
        <v>22</v>
      </c>
      <c r="K17" s="615">
        <v>1452</v>
      </c>
      <c r="L17" s="615">
        <v>1.1000000000000001</v>
      </c>
      <c r="M17" s="615">
        <v>66</v>
      </c>
      <c r="N17" s="615">
        <v>32</v>
      </c>
      <c r="O17" s="615">
        <v>2112</v>
      </c>
      <c r="P17" s="628">
        <v>1.6</v>
      </c>
      <c r="Q17" s="616">
        <v>66</v>
      </c>
    </row>
    <row r="18" spans="1:17" ht="14.4" customHeight="1" x14ac:dyDescent="0.3">
      <c r="A18" s="611" t="s">
        <v>1512</v>
      </c>
      <c r="B18" s="612" t="s">
        <v>1513</v>
      </c>
      <c r="C18" s="612" t="s">
        <v>1331</v>
      </c>
      <c r="D18" s="612" t="s">
        <v>1530</v>
      </c>
      <c r="E18" s="612" t="s">
        <v>1531</v>
      </c>
      <c r="F18" s="615">
        <v>182</v>
      </c>
      <c r="G18" s="615">
        <v>4368</v>
      </c>
      <c r="H18" s="615">
        <v>1</v>
      </c>
      <c r="I18" s="615">
        <v>24</v>
      </c>
      <c r="J18" s="615">
        <v>265</v>
      </c>
      <c r="K18" s="615">
        <v>6360</v>
      </c>
      <c r="L18" s="615">
        <v>1.456043956043956</v>
      </c>
      <c r="M18" s="615">
        <v>24</v>
      </c>
      <c r="N18" s="615">
        <v>295</v>
      </c>
      <c r="O18" s="615">
        <v>7080</v>
      </c>
      <c r="P18" s="628">
        <v>1.6208791208791209</v>
      </c>
      <c r="Q18" s="616">
        <v>24</v>
      </c>
    </row>
    <row r="19" spans="1:17" ht="14.4" customHeight="1" x14ac:dyDescent="0.3">
      <c r="A19" s="611" t="s">
        <v>1512</v>
      </c>
      <c r="B19" s="612" t="s">
        <v>1513</v>
      </c>
      <c r="C19" s="612" t="s">
        <v>1331</v>
      </c>
      <c r="D19" s="612" t="s">
        <v>1532</v>
      </c>
      <c r="E19" s="612" t="s">
        <v>1533</v>
      </c>
      <c r="F19" s="615"/>
      <c r="G19" s="615"/>
      <c r="H19" s="615"/>
      <c r="I19" s="615"/>
      <c r="J19" s="615"/>
      <c r="K19" s="615"/>
      <c r="L19" s="615"/>
      <c r="M19" s="615"/>
      <c r="N19" s="615">
        <v>1</v>
      </c>
      <c r="O19" s="615">
        <v>739</v>
      </c>
      <c r="P19" s="628"/>
      <c r="Q19" s="616">
        <v>739</v>
      </c>
    </row>
    <row r="20" spans="1:17" ht="14.4" customHeight="1" x14ac:dyDescent="0.3">
      <c r="A20" s="611" t="s">
        <v>1512</v>
      </c>
      <c r="B20" s="612" t="s">
        <v>1513</v>
      </c>
      <c r="C20" s="612" t="s">
        <v>1331</v>
      </c>
      <c r="D20" s="612" t="s">
        <v>1534</v>
      </c>
      <c r="E20" s="612" t="s">
        <v>1535</v>
      </c>
      <c r="F20" s="615"/>
      <c r="G20" s="615"/>
      <c r="H20" s="615"/>
      <c r="I20" s="615"/>
      <c r="J20" s="615">
        <v>6</v>
      </c>
      <c r="K20" s="615">
        <v>1080</v>
      </c>
      <c r="L20" s="615"/>
      <c r="M20" s="615">
        <v>180</v>
      </c>
      <c r="N20" s="615">
        <v>4</v>
      </c>
      <c r="O20" s="615">
        <v>720</v>
      </c>
      <c r="P20" s="628"/>
      <c r="Q20" s="616">
        <v>180</v>
      </c>
    </row>
    <row r="21" spans="1:17" ht="14.4" customHeight="1" x14ac:dyDescent="0.3">
      <c r="A21" s="611" t="s">
        <v>1512</v>
      </c>
      <c r="B21" s="612" t="s">
        <v>1513</v>
      </c>
      <c r="C21" s="612" t="s">
        <v>1331</v>
      </c>
      <c r="D21" s="612" t="s">
        <v>1536</v>
      </c>
      <c r="E21" s="612" t="s">
        <v>1537</v>
      </c>
      <c r="F21" s="615"/>
      <c r="G21" s="615"/>
      <c r="H21" s="615"/>
      <c r="I21" s="615"/>
      <c r="J21" s="615">
        <v>14</v>
      </c>
      <c r="K21" s="615">
        <v>3542</v>
      </c>
      <c r="L21" s="615"/>
      <c r="M21" s="615">
        <v>253</v>
      </c>
      <c r="N21" s="615">
        <v>5</v>
      </c>
      <c r="O21" s="615">
        <v>1265</v>
      </c>
      <c r="P21" s="628"/>
      <c r="Q21" s="616">
        <v>253</v>
      </c>
    </row>
    <row r="22" spans="1:17" ht="14.4" customHeight="1" x14ac:dyDescent="0.3">
      <c r="A22" s="611" t="s">
        <v>1512</v>
      </c>
      <c r="B22" s="612" t="s">
        <v>1513</v>
      </c>
      <c r="C22" s="612" t="s">
        <v>1331</v>
      </c>
      <c r="D22" s="612" t="s">
        <v>1538</v>
      </c>
      <c r="E22" s="612" t="s">
        <v>1539</v>
      </c>
      <c r="F22" s="615"/>
      <c r="G22" s="615"/>
      <c r="H22" s="615"/>
      <c r="I22" s="615"/>
      <c r="J22" s="615">
        <v>8</v>
      </c>
      <c r="K22" s="615">
        <v>1728</v>
      </c>
      <c r="L22" s="615"/>
      <c r="M22" s="615">
        <v>216</v>
      </c>
      <c r="N22" s="615">
        <v>7</v>
      </c>
      <c r="O22" s="615">
        <v>1512</v>
      </c>
      <c r="P22" s="628"/>
      <c r="Q22" s="616">
        <v>216</v>
      </c>
    </row>
    <row r="23" spans="1:17" ht="14.4" customHeight="1" x14ac:dyDescent="0.3">
      <c r="A23" s="611" t="s">
        <v>1512</v>
      </c>
      <c r="B23" s="612" t="s">
        <v>1513</v>
      </c>
      <c r="C23" s="612" t="s">
        <v>1331</v>
      </c>
      <c r="D23" s="612" t="s">
        <v>1540</v>
      </c>
      <c r="E23" s="612" t="s">
        <v>1541</v>
      </c>
      <c r="F23" s="615">
        <v>24</v>
      </c>
      <c r="G23" s="615">
        <v>1200</v>
      </c>
      <c r="H23" s="615">
        <v>1</v>
      </c>
      <c r="I23" s="615">
        <v>50</v>
      </c>
      <c r="J23" s="615">
        <v>54</v>
      </c>
      <c r="K23" s="615">
        <v>2700</v>
      </c>
      <c r="L23" s="615">
        <v>2.25</v>
      </c>
      <c r="M23" s="615">
        <v>50</v>
      </c>
      <c r="N23" s="615">
        <v>39</v>
      </c>
      <c r="O23" s="615">
        <v>1950</v>
      </c>
      <c r="P23" s="628">
        <v>1.625</v>
      </c>
      <c r="Q23" s="616">
        <v>50</v>
      </c>
    </row>
    <row r="24" spans="1:17" ht="14.4" customHeight="1" x14ac:dyDescent="0.3">
      <c r="A24" s="611" t="s">
        <v>1512</v>
      </c>
      <c r="B24" s="612" t="s">
        <v>1513</v>
      </c>
      <c r="C24" s="612" t="s">
        <v>1331</v>
      </c>
      <c r="D24" s="612" t="s">
        <v>1542</v>
      </c>
      <c r="E24" s="612" t="s">
        <v>1543</v>
      </c>
      <c r="F24" s="615"/>
      <c r="G24" s="615"/>
      <c r="H24" s="615"/>
      <c r="I24" s="615"/>
      <c r="J24" s="615"/>
      <c r="K24" s="615"/>
      <c r="L24" s="615"/>
      <c r="M24" s="615"/>
      <c r="N24" s="615">
        <v>1</v>
      </c>
      <c r="O24" s="615">
        <v>735</v>
      </c>
      <c r="P24" s="628"/>
      <c r="Q24" s="616">
        <v>735</v>
      </c>
    </row>
    <row r="25" spans="1:17" ht="14.4" customHeight="1" x14ac:dyDescent="0.3">
      <c r="A25" s="611" t="s">
        <v>1544</v>
      </c>
      <c r="B25" s="612" t="s">
        <v>1545</v>
      </c>
      <c r="C25" s="612" t="s">
        <v>1331</v>
      </c>
      <c r="D25" s="612" t="s">
        <v>1546</v>
      </c>
      <c r="E25" s="612" t="s">
        <v>1547</v>
      </c>
      <c r="F25" s="615">
        <v>20</v>
      </c>
      <c r="G25" s="615">
        <v>540</v>
      </c>
      <c r="H25" s="615">
        <v>1</v>
      </c>
      <c r="I25" s="615">
        <v>27</v>
      </c>
      <c r="J25" s="615">
        <v>11</v>
      </c>
      <c r="K25" s="615">
        <v>297</v>
      </c>
      <c r="L25" s="615">
        <v>0.55000000000000004</v>
      </c>
      <c r="M25" s="615">
        <v>27</v>
      </c>
      <c r="N25" s="615">
        <v>14</v>
      </c>
      <c r="O25" s="615">
        <v>378</v>
      </c>
      <c r="P25" s="628">
        <v>0.7</v>
      </c>
      <c r="Q25" s="616">
        <v>27</v>
      </c>
    </row>
    <row r="26" spans="1:17" ht="14.4" customHeight="1" x14ac:dyDescent="0.3">
      <c r="A26" s="611" t="s">
        <v>1544</v>
      </c>
      <c r="B26" s="612" t="s">
        <v>1545</v>
      </c>
      <c r="C26" s="612" t="s">
        <v>1331</v>
      </c>
      <c r="D26" s="612" t="s">
        <v>1548</v>
      </c>
      <c r="E26" s="612" t="s">
        <v>1549</v>
      </c>
      <c r="F26" s="615">
        <v>1</v>
      </c>
      <c r="G26" s="615">
        <v>24</v>
      </c>
      <c r="H26" s="615">
        <v>1</v>
      </c>
      <c r="I26" s="615">
        <v>24</v>
      </c>
      <c r="J26" s="615"/>
      <c r="K26" s="615"/>
      <c r="L26" s="615"/>
      <c r="M26" s="615"/>
      <c r="N26" s="615">
        <v>4</v>
      </c>
      <c r="O26" s="615">
        <v>96</v>
      </c>
      <c r="P26" s="628">
        <v>4</v>
      </c>
      <c r="Q26" s="616">
        <v>24</v>
      </c>
    </row>
    <row r="27" spans="1:17" ht="14.4" customHeight="1" x14ac:dyDescent="0.3">
      <c r="A27" s="611" t="s">
        <v>1544</v>
      </c>
      <c r="B27" s="612" t="s">
        <v>1545</v>
      </c>
      <c r="C27" s="612" t="s">
        <v>1331</v>
      </c>
      <c r="D27" s="612" t="s">
        <v>1550</v>
      </c>
      <c r="E27" s="612" t="s">
        <v>1551</v>
      </c>
      <c r="F27" s="615">
        <v>24</v>
      </c>
      <c r="G27" s="615">
        <v>648</v>
      </c>
      <c r="H27" s="615">
        <v>1</v>
      </c>
      <c r="I27" s="615">
        <v>27</v>
      </c>
      <c r="J27" s="615">
        <v>12</v>
      </c>
      <c r="K27" s="615">
        <v>324</v>
      </c>
      <c r="L27" s="615">
        <v>0.5</v>
      </c>
      <c r="M27" s="615">
        <v>27</v>
      </c>
      <c r="N27" s="615">
        <v>24</v>
      </c>
      <c r="O27" s="615">
        <v>648</v>
      </c>
      <c r="P27" s="628">
        <v>1</v>
      </c>
      <c r="Q27" s="616">
        <v>27</v>
      </c>
    </row>
    <row r="28" spans="1:17" ht="14.4" customHeight="1" x14ac:dyDescent="0.3">
      <c r="A28" s="611" t="s">
        <v>1544</v>
      </c>
      <c r="B28" s="612" t="s">
        <v>1545</v>
      </c>
      <c r="C28" s="612" t="s">
        <v>1331</v>
      </c>
      <c r="D28" s="612" t="s">
        <v>1552</v>
      </c>
      <c r="E28" s="612" t="s">
        <v>1553</v>
      </c>
      <c r="F28" s="615">
        <v>1001</v>
      </c>
      <c r="G28" s="615">
        <v>56056</v>
      </c>
      <c r="H28" s="615">
        <v>1</v>
      </c>
      <c r="I28" s="615">
        <v>56</v>
      </c>
      <c r="J28" s="615">
        <v>602</v>
      </c>
      <c r="K28" s="615">
        <v>33712</v>
      </c>
      <c r="L28" s="615">
        <v>0.60139860139860135</v>
      </c>
      <c r="M28" s="615">
        <v>56</v>
      </c>
      <c r="N28" s="615"/>
      <c r="O28" s="615"/>
      <c r="P28" s="628"/>
      <c r="Q28" s="616"/>
    </row>
    <row r="29" spans="1:17" ht="14.4" customHeight="1" x14ac:dyDescent="0.3">
      <c r="A29" s="611" t="s">
        <v>1544</v>
      </c>
      <c r="B29" s="612" t="s">
        <v>1545</v>
      </c>
      <c r="C29" s="612" t="s">
        <v>1331</v>
      </c>
      <c r="D29" s="612" t="s">
        <v>1554</v>
      </c>
      <c r="E29" s="612" t="s">
        <v>1555</v>
      </c>
      <c r="F29" s="615">
        <v>1</v>
      </c>
      <c r="G29" s="615">
        <v>27</v>
      </c>
      <c r="H29" s="615">
        <v>1</v>
      </c>
      <c r="I29" s="615">
        <v>27</v>
      </c>
      <c r="J29" s="615">
        <v>2</v>
      </c>
      <c r="K29" s="615">
        <v>54</v>
      </c>
      <c r="L29" s="615">
        <v>2</v>
      </c>
      <c r="M29" s="615">
        <v>27</v>
      </c>
      <c r="N29" s="615">
        <v>4</v>
      </c>
      <c r="O29" s="615">
        <v>108</v>
      </c>
      <c r="P29" s="628">
        <v>4</v>
      </c>
      <c r="Q29" s="616">
        <v>27</v>
      </c>
    </row>
    <row r="30" spans="1:17" ht="14.4" customHeight="1" x14ac:dyDescent="0.3">
      <c r="A30" s="611" t="s">
        <v>1544</v>
      </c>
      <c r="B30" s="612" t="s">
        <v>1545</v>
      </c>
      <c r="C30" s="612" t="s">
        <v>1331</v>
      </c>
      <c r="D30" s="612" t="s">
        <v>1556</v>
      </c>
      <c r="E30" s="612" t="s">
        <v>1557</v>
      </c>
      <c r="F30" s="615">
        <v>5</v>
      </c>
      <c r="G30" s="615">
        <v>110</v>
      </c>
      <c r="H30" s="615">
        <v>1</v>
      </c>
      <c r="I30" s="615">
        <v>22</v>
      </c>
      <c r="J30" s="615">
        <v>298</v>
      </c>
      <c r="K30" s="615">
        <v>6556</v>
      </c>
      <c r="L30" s="615">
        <v>59.6</v>
      </c>
      <c r="M30" s="615">
        <v>22</v>
      </c>
      <c r="N30" s="615">
        <v>333</v>
      </c>
      <c r="O30" s="615">
        <v>7326</v>
      </c>
      <c r="P30" s="628">
        <v>66.599999999999994</v>
      </c>
      <c r="Q30" s="616">
        <v>22</v>
      </c>
    </row>
    <row r="31" spans="1:17" ht="14.4" customHeight="1" x14ac:dyDescent="0.3">
      <c r="A31" s="611" t="s">
        <v>1544</v>
      </c>
      <c r="B31" s="612" t="s">
        <v>1545</v>
      </c>
      <c r="C31" s="612" t="s">
        <v>1331</v>
      </c>
      <c r="D31" s="612" t="s">
        <v>1558</v>
      </c>
      <c r="E31" s="612" t="s">
        <v>1559</v>
      </c>
      <c r="F31" s="615">
        <v>1008</v>
      </c>
      <c r="G31" s="615">
        <v>61488</v>
      </c>
      <c r="H31" s="615">
        <v>1</v>
      </c>
      <c r="I31" s="615">
        <v>61</v>
      </c>
      <c r="J31" s="615">
        <v>662</v>
      </c>
      <c r="K31" s="615">
        <v>40382</v>
      </c>
      <c r="L31" s="615">
        <v>0.65674603174603174</v>
      </c>
      <c r="M31" s="615">
        <v>61</v>
      </c>
      <c r="N31" s="615">
        <v>458</v>
      </c>
      <c r="O31" s="615">
        <v>28396</v>
      </c>
      <c r="P31" s="628">
        <v>0.46181368722352328</v>
      </c>
      <c r="Q31" s="616">
        <v>62</v>
      </c>
    </row>
    <row r="32" spans="1:17" ht="14.4" customHeight="1" x14ac:dyDescent="0.3">
      <c r="A32" s="611" t="s">
        <v>1544</v>
      </c>
      <c r="B32" s="612" t="s">
        <v>1545</v>
      </c>
      <c r="C32" s="612" t="s">
        <v>1331</v>
      </c>
      <c r="D32" s="612" t="s">
        <v>1560</v>
      </c>
      <c r="E32" s="612" t="s">
        <v>1561</v>
      </c>
      <c r="F32" s="615"/>
      <c r="G32" s="615"/>
      <c r="H32" s="615"/>
      <c r="I32" s="615"/>
      <c r="J32" s="615">
        <v>65</v>
      </c>
      <c r="K32" s="615">
        <v>5265</v>
      </c>
      <c r="L32" s="615"/>
      <c r="M32" s="615">
        <v>81</v>
      </c>
      <c r="N32" s="615">
        <v>14</v>
      </c>
      <c r="O32" s="615">
        <v>1148</v>
      </c>
      <c r="P32" s="628"/>
      <c r="Q32" s="616">
        <v>82</v>
      </c>
    </row>
    <row r="33" spans="1:17" ht="14.4" customHeight="1" x14ac:dyDescent="0.3">
      <c r="A33" s="611" t="s">
        <v>1544</v>
      </c>
      <c r="B33" s="612" t="s">
        <v>1545</v>
      </c>
      <c r="C33" s="612" t="s">
        <v>1331</v>
      </c>
      <c r="D33" s="612" t="s">
        <v>1562</v>
      </c>
      <c r="E33" s="612" t="s">
        <v>1563</v>
      </c>
      <c r="F33" s="615">
        <v>6</v>
      </c>
      <c r="G33" s="615">
        <v>5922</v>
      </c>
      <c r="H33" s="615">
        <v>1</v>
      </c>
      <c r="I33" s="615">
        <v>987</v>
      </c>
      <c r="J33" s="615">
        <v>2</v>
      </c>
      <c r="K33" s="615">
        <v>1974</v>
      </c>
      <c r="L33" s="615">
        <v>0.33333333333333331</v>
      </c>
      <c r="M33" s="615">
        <v>987</v>
      </c>
      <c r="N33" s="615">
        <v>5</v>
      </c>
      <c r="O33" s="615">
        <v>4935</v>
      </c>
      <c r="P33" s="628">
        <v>0.83333333333333337</v>
      </c>
      <c r="Q33" s="616">
        <v>987</v>
      </c>
    </row>
    <row r="34" spans="1:17" ht="14.4" customHeight="1" x14ac:dyDescent="0.3">
      <c r="A34" s="611" t="s">
        <v>1544</v>
      </c>
      <c r="B34" s="612" t="s">
        <v>1545</v>
      </c>
      <c r="C34" s="612" t="s">
        <v>1331</v>
      </c>
      <c r="D34" s="612" t="s">
        <v>1564</v>
      </c>
      <c r="E34" s="612" t="s">
        <v>1565</v>
      </c>
      <c r="F34" s="615">
        <v>359</v>
      </c>
      <c r="G34" s="615">
        <v>10770</v>
      </c>
      <c r="H34" s="615">
        <v>1</v>
      </c>
      <c r="I34" s="615">
        <v>30</v>
      </c>
      <c r="J34" s="615">
        <v>235</v>
      </c>
      <c r="K34" s="615">
        <v>7050</v>
      </c>
      <c r="L34" s="615">
        <v>0.65459610027855153</v>
      </c>
      <c r="M34" s="615">
        <v>30</v>
      </c>
      <c r="N34" s="615">
        <v>263</v>
      </c>
      <c r="O34" s="615">
        <v>7890</v>
      </c>
      <c r="P34" s="628">
        <v>0.7325905292479109</v>
      </c>
      <c r="Q34" s="616">
        <v>30</v>
      </c>
    </row>
    <row r="35" spans="1:17" ht="14.4" customHeight="1" x14ac:dyDescent="0.3">
      <c r="A35" s="611" t="s">
        <v>1544</v>
      </c>
      <c r="B35" s="612" t="s">
        <v>1545</v>
      </c>
      <c r="C35" s="612" t="s">
        <v>1331</v>
      </c>
      <c r="D35" s="612" t="s">
        <v>1566</v>
      </c>
      <c r="E35" s="612" t="s">
        <v>1567</v>
      </c>
      <c r="F35" s="615">
        <v>1</v>
      </c>
      <c r="G35" s="615">
        <v>266</v>
      </c>
      <c r="H35" s="615">
        <v>1</v>
      </c>
      <c r="I35" s="615">
        <v>266</v>
      </c>
      <c r="J35" s="615"/>
      <c r="K35" s="615"/>
      <c r="L35" s="615"/>
      <c r="M35" s="615"/>
      <c r="N35" s="615"/>
      <c r="O35" s="615"/>
      <c r="P35" s="628"/>
      <c r="Q35" s="616"/>
    </row>
    <row r="36" spans="1:17" ht="14.4" customHeight="1" x14ac:dyDescent="0.3">
      <c r="A36" s="611" t="s">
        <v>1544</v>
      </c>
      <c r="B36" s="612" t="s">
        <v>1545</v>
      </c>
      <c r="C36" s="612" t="s">
        <v>1331</v>
      </c>
      <c r="D36" s="612" t="s">
        <v>1568</v>
      </c>
      <c r="E36" s="612" t="s">
        <v>1569</v>
      </c>
      <c r="F36" s="615">
        <v>1</v>
      </c>
      <c r="G36" s="615">
        <v>230</v>
      </c>
      <c r="H36" s="615">
        <v>1</v>
      </c>
      <c r="I36" s="615">
        <v>230</v>
      </c>
      <c r="J36" s="615"/>
      <c r="K36" s="615"/>
      <c r="L36" s="615"/>
      <c r="M36" s="615"/>
      <c r="N36" s="615"/>
      <c r="O36" s="615"/>
      <c r="P36" s="628"/>
      <c r="Q36" s="616"/>
    </row>
    <row r="37" spans="1:17" ht="14.4" customHeight="1" x14ac:dyDescent="0.3">
      <c r="A37" s="611" t="s">
        <v>1544</v>
      </c>
      <c r="B37" s="612" t="s">
        <v>1545</v>
      </c>
      <c r="C37" s="612" t="s">
        <v>1331</v>
      </c>
      <c r="D37" s="612" t="s">
        <v>1570</v>
      </c>
      <c r="E37" s="612" t="s">
        <v>1571</v>
      </c>
      <c r="F37" s="615">
        <v>38</v>
      </c>
      <c r="G37" s="615">
        <v>646</v>
      </c>
      <c r="H37" s="615">
        <v>1</v>
      </c>
      <c r="I37" s="615">
        <v>17</v>
      </c>
      <c r="J37" s="615">
        <v>30</v>
      </c>
      <c r="K37" s="615">
        <v>510</v>
      </c>
      <c r="L37" s="615">
        <v>0.78947368421052633</v>
      </c>
      <c r="M37" s="615">
        <v>17</v>
      </c>
      <c r="N37" s="615">
        <v>29</v>
      </c>
      <c r="O37" s="615">
        <v>493</v>
      </c>
      <c r="P37" s="628">
        <v>0.76315789473684215</v>
      </c>
      <c r="Q37" s="616">
        <v>17</v>
      </c>
    </row>
    <row r="38" spans="1:17" ht="14.4" customHeight="1" x14ac:dyDescent="0.3">
      <c r="A38" s="611" t="s">
        <v>1544</v>
      </c>
      <c r="B38" s="612" t="s">
        <v>1545</v>
      </c>
      <c r="C38" s="612" t="s">
        <v>1331</v>
      </c>
      <c r="D38" s="612" t="s">
        <v>1572</v>
      </c>
      <c r="E38" s="612" t="s">
        <v>1573</v>
      </c>
      <c r="F38" s="615"/>
      <c r="G38" s="615"/>
      <c r="H38" s="615"/>
      <c r="I38" s="615"/>
      <c r="J38" s="615"/>
      <c r="K38" s="615"/>
      <c r="L38" s="615"/>
      <c r="M38" s="615"/>
      <c r="N38" s="615">
        <v>3</v>
      </c>
      <c r="O38" s="615">
        <v>159</v>
      </c>
      <c r="P38" s="628"/>
      <c r="Q38" s="616">
        <v>53</v>
      </c>
    </row>
    <row r="39" spans="1:17" ht="14.4" customHeight="1" x14ac:dyDescent="0.3">
      <c r="A39" s="611" t="s">
        <v>1544</v>
      </c>
      <c r="B39" s="612" t="s">
        <v>1545</v>
      </c>
      <c r="C39" s="612" t="s">
        <v>1331</v>
      </c>
      <c r="D39" s="612" t="s">
        <v>1574</v>
      </c>
      <c r="E39" s="612" t="s">
        <v>1575</v>
      </c>
      <c r="F39" s="615">
        <v>19</v>
      </c>
      <c r="G39" s="615">
        <v>361</v>
      </c>
      <c r="H39" s="615">
        <v>1</v>
      </c>
      <c r="I39" s="615">
        <v>19</v>
      </c>
      <c r="J39" s="615">
        <v>11</v>
      </c>
      <c r="K39" s="615">
        <v>209</v>
      </c>
      <c r="L39" s="615">
        <v>0.57894736842105265</v>
      </c>
      <c r="M39" s="615">
        <v>19</v>
      </c>
      <c r="N39" s="615">
        <v>9</v>
      </c>
      <c r="O39" s="615">
        <v>171</v>
      </c>
      <c r="P39" s="628">
        <v>0.47368421052631576</v>
      </c>
      <c r="Q39" s="616">
        <v>19</v>
      </c>
    </row>
    <row r="40" spans="1:17" ht="14.4" customHeight="1" x14ac:dyDescent="0.3">
      <c r="A40" s="611" t="s">
        <v>1544</v>
      </c>
      <c r="B40" s="612" t="s">
        <v>1545</v>
      </c>
      <c r="C40" s="612" t="s">
        <v>1331</v>
      </c>
      <c r="D40" s="612" t="s">
        <v>1576</v>
      </c>
      <c r="E40" s="612" t="s">
        <v>1577</v>
      </c>
      <c r="F40" s="615">
        <v>3</v>
      </c>
      <c r="G40" s="615">
        <v>315</v>
      </c>
      <c r="H40" s="615">
        <v>1</v>
      </c>
      <c r="I40" s="615">
        <v>105</v>
      </c>
      <c r="J40" s="615"/>
      <c r="K40" s="615"/>
      <c r="L40" s="615"/>
      <c r="M40" s="615"/>
      <c r="N40" s="615"/>
      <c r="O40" s="615"/>
      <c r="P40" s="628"/>
      <c r="Q40" s="616"/>
    </row>
    <row r="41" spans="1:17" ht="14.4" customHeight="1" x14ac:dyDescent="0.3">
      <c r="A41" s="611" t="s">
        <v>1544</v>
      </c>
      <c r="B41" s="612" t="s">
        <v>1545</v>
      </c>
      <c r="C41" s="612" t="s">
        <v>1331</v>
      </c>
      <c r="D41" s="612" t="s">
        <v>1578</v>
      </c>
      <c r="E41" s="612" t="s">
        <v>1579</v>
      </c>
      <c r="F41" s="615">
        <v>6</v>
      </c>
      <c r="G41" s="615">
        <v>2766</v>
      </c>
      <c r="H41" s="615">
        <v>1</v>
      </c>
      <c r="I41" s="615">
        <v>461</v>
      </c>
      <c r="J41" s="615">
        <v>3</v>
      </c>
      <c r="K41" s="615">
        <v>1383</v>
      </c>
      <c r="L41" s="615">
        <v>0.5</v>
      </c>
      <c r="M41" s="615">
        <v>461</v>
      </c>
      <c r="N41" s="615">
        <v>4</v>
      </c>
      <c r="O41" s="615">
        <v>1848</v>
      </c>
      <c r="P41" s="628">
        <v>0.66811279826464209</v>
      </c>
      <c r="Q41" s="616">
        <v>462</v>
      </c>
    </row>
    <row r="42" spans="1:17" ht="14.4" customHeight="1" x14ac:dyDescent="0.3">
      <c r="A42" s="611" t="s">
        <v>1544</v>
      </c>
      <c r="B42" s="612" t="s">
        <v>1545</v>
      </c>
      <c r="C42" s="612" t="s">
        <v>1331</v>
      </c>
      <c r="D42" s="612" t="s">
        <v>1580</v>
      </c>
      <c r="E42" s="612" t="s">
        <v>1581</v>
      </c>
      <c r="F42" s="615">
        <v>9</v>
      </c>
      <c r="G42" s="615">
        <v>2808</v>
      </c>
      <c r="H42" s="615">
        <v>1</v>
      </c>
      <c r="I42" s="615">
        <v>312</v>
      </c>
      <c r="J42" s="615">
        <v>10</v>
      </c>
      <c r="K42" s="615">
        <v>3120</v>
      </c>
      <c r="L42" s="615">
        <v>1.1111111111111112</v>
      </c>
      <c r="M42" s="615">
        <v>312</v>
      </c>
      <c r="N42" s="615">
        <v>9</v>
      </c>
      <c r="O42" s="615">
        <v>2808</v>
      </c>
      <c r="P42" s="628">
        <v>1</v>
      </c>
      <c r="Q42" s="616">
        <v>312</v>
      </c>
    </row>
    <row r="43" spans="1:17" ht="14.4" customHeight="1" x14ac:dyDescent="0.3">
      <c r="A43" s="611" t="s">
        <v>1544</v>
      </c>
      <c r="B43" s="612" t="s">
        <v>1545</v>
      </c>
      <c r="C43" s="612" t="s">
        <v>1331</v>
      </c>
      <c r="D43" s="612" t="s">
        <v>1582</v>
      </c>
      <c r="E43" s="612" t="s">
        <v>1583</v>
      </c>
      <c r="F43" s="615">
        <v>325</v>
      </c>
      <c r="G43" s="615">
        <v>60125</v>
      </c>
      <c r="H43" s="615">
        <v>1</v>
      </c>
      <c r="I43" s="615">
        <v>185</v>
      </c>
      <c r="J43" s="615">
        <v>246</v>
      </c>
      <c r="K43" s="615">
        <v>45510</v>
      </c>
      <c r="L43" s="615">
        <v>0.75692307692307692</v>
      </c>
      <c r="M43" s="615">
        <v>185</v>
      </c>
      <c r="N43" s="615">
        <v>299</v>
      </c>
      <c r="O43" s="615">
        <v>55614</v>
      </c>
      <c r="P43" s="628">
        <v>0.92497297297297298</v>
      </c>
      <c r="Q43" s="616">
        <v>186</v>
      </c>
    </row>
    <row r="44" spans="1:17" ht="14.4" customHeight="1" x14ac:dyDescent="0.3">
      <c r="A44" s="611" t="s">
        <v>1544</v>
      </c>
      <c r="B44" s="612" t="s">
        <v>1545</v>
      </c>
      <c r="C44" s="612" t="s">
        <v>1331</v>
      </c>
      <c r="D44" s="612" t="s">
        <v>1584</v>
      </c>
      <c r="E44" s="612" t="s">
        <v>1585</v>
      </c>
      <c r="F44" s="615">
        <v>1</v>
      </c>
      <c r="G44" s="615">
        <v>1210</v>
      </c>
      <c r="H44" s="615">
        <v>1</v>
      </c>
      <c r="I44" s="615">
        <v>1210</v>
      </c>
      <c r="J44" s="615"/>
      <c r="K44" s="615"/>
      <c r="L44" s="615"/>
      <c r="M44" s="615"/>
      <c r="N44" s="615"/>
      <c r="O44" s="615"/>
      <c r="P44" s="628"/>
      <c r="Q44" s="616"/>
    </row>
    <row r="45" spans="1:17" ht="14.4" customHeight="1" x14ac:dyDescent="0.3">
      <c r="A45" s="611" t="s">
        <v>1544</v>
      </c>
      <c r="B45" s="612" t="s">
        <v>1545</v>
      </c>
      <c r="C45" s="612" t="s">
        <v>1331</v>
      </c>
      <c r="D45" s="612" t="s">
        <v>1586</v>
      </c>
      <c r="E45" s="612" t="s">
        <v>1587</v>
      </c>
      <c r="F45" s="615">
        <v>6</v>
      </c>
      <c r="G45" s="615">
        <v>4698</v>
      </c>
      <c r="H45" s="615">
        <v>1</v>
      </c>
      <c r="I45" s="615">
        <v>783</v>
      </c>
      <c r="J45" s="615"/>
      <c r="K45" s="615"/>
      <c r="L45" s="615"/>
      <c r="M45" s="615"/>
      <c r="N45" s="615">
        <v>15</v>
      </c>
      <c r="O45" s="615">
        <v>11790</v>
      </c>
      <c r="P45" s="628">
        <v>2.5095785440613025</v>
      </c>
      <c r="Q45" s="616">
        <v>786</v>
      </c>
    </row>
    <row r="46" spans="1:17" ht="14.4" customHeight="1" x14ac:dyDescent="0.3">
      <c r="A46" s="611" t="s">
        <v>1544</v>
      </c>
      <c r="B46" s="612" t="s">
        <v>1545</v>
      </c>
      <c r="C46" s="612" t="s">
        <v>1331</v>
      </c>
      <c r="D46" s="612" t="s">
        <v>1588</v>
      </c>
      <c r="E46" s="612" t="s">
        <v>1589</v>
      </c>
      <c r="F46" s="615"/>
      <c r="G46" s="615"/>
      <c r="H46" s="615"/>
      <c r="I46" s="615"/>
      <c r="J46" s="615">
        <v>1</v>
      </c>
      <c r="K46" s="615">
        <v>186</v>
      </c>
      <c r="L46" s="615"/>
      <c r="M46" s="615">
        <v>186</v>
      </c>
      <c r="N46" s="615"/>
      <c r="O46" s="615"/>
      <c r="P46" s="628"/>
      <c r="Q46" s="616"/>
    </row>
    <row r="47" spans="1:17" ht="14.4" customHeight="1" x14ac:dyDescent="0.3">
      <c r="A47" s="611" t="s">
        <v>1544</v>
      </c>
      <c r="B47" s="612" t="s">
        <v>1545</v>
      </c>
      <c r="C47" s="612" t="s">
        <v>1331</v>
      </c>
      <c r="D47" s="612" t="s">
        <v>1590</v>
      </c>
      <c r="E47" s="612" t="s">
        <v>1591</v>
      </c>
      <c r="F47" s="615"/>
      <c r="G47" s="615"/>
      <c r="H47" s="615"/>
      <c r="I47" s="615"/>
      <c r="J47" s="615">
        <v>2</v>
      </c>
      <c r="K47" s="615">
        <v>354</v>
      </c>
      <c r="L47" s="615"/>
      <c r="M47" s="615">
        <v>177</v>
      </c>
      <c r="N47" s="615"/>
      <c r="O47" s="615"/>
      <c r="P47" s="628"/>
      <c r="Q47" s="616"/>
    </row>
    <row r="48" spans="1:17" ht="14.4" customHeight="1" x14ac:dyDescent="0.3">
      <c r="A48" s="611" t="s">
        <v>1544</v>
      </c>
      <c r="B48" s="612" t="s">
        <v>1545</v>
      </c>
      <c r="C48" s="612" t="s">
        <v>1331</v>
      </c>
      <c r="D48" s="612" t="s">
        <v>1592</v>
      </c>
      <c r="E48" s="612" t="s">
        <v>1593</v>
      </c>
      <c r="F48" s="615">
        <v>19</v>
      </c>
      <c r="G48" s="615">
        <v>4313</v>
      </c>
      <c r="H48" s="615">
        <v>1</v>
      </c>
      <c r="I48" s="615">
        <v>227</v>
      </c>
      <c r="J48" s="615">
        <v>22</v>
      </c>
      <c r="K48" s="615">
        <v>4994</v>
      </c>
      <c r="L48" s="615">
        <v>1.1578947368421053</v>
      </c>
      <c r="M48" s="615">
        <v>227</v>
      </c>
      <c r="N48" s="615">
        <v>22</v>
      </c>
      <c r="O48" s="615">
        <v>5016</v>
      </c>
      <c r="P48" s="628">
        <v>1.1629955947136563</v>
      </c>
      <c r="Q48" s="616">
        <v>228</v>
      </c>
    </row>
    <row r="49" spans="1:17" ht="14.4" customHeight="1" x14ac:dyDescent="0.3">
      <c r="A49" s="611" t="s">
        <v>1544</v>
      </c>
      <c r="B49" s="612" t="s">
        <v>1545</v>
      </c>
      <c r="C49" s="612" t="s">
        <v>1331</v>
      </c>
      <c r="D49" s="612" t="s">
        <v>1594</v>
      </c>
      <c r="E49" s="612" t="s">
        <v>1595</v>
      </c>
      <c r="F49" s="615">
        <v>1</v>
      </c>
      <c r="G49" s="615">
        <v>560</v>
      </c>
      <c r="H49" s="615">
        <v>1</v>
      </c>
      <c r="I49" s="615">
        <v>560</v>
      </c>
      <c r="J49" s="615"/>
      <c r="K49" s="615"/>
      <c r="L49" s="615"/>
      <c r="M49" s="615"/>
      <c r="N49" s="615"/>
      <c r="O49" s="615"/>
      <c r="P49" s="628"/>
      <c r="Q49" s="616"/>
    </row>
    <row r="50" spans="1:17" ht="14.4" customHeight="1" x14ac:dyDescent="0.3">
      <c r="A50" s="611" t="s">
        <v>1544</v>
      </c>
      <c r="B50" s="612" t="s">
        <v>1545</v>
      </c>
      <c r="C50" s="612" t="s">
        <v>1331</v>
      </c>
      <c r="D50" s="612" t="s">
        <v>1596</v>
      </c>
      <c r="E50" s="612" t="s">
        <v>1597</v>
      </c>
      <c r="F50" s="615"/>
      <c r="G50" s="615"/>
      <c r="H50" s="615"/>
      <c r="I50" s="615"/>
      <c r="J50" s="615"/>
      <c r="K50" s="615"/>
      <c r="L50" s="615"/>
      <c r="M50" s="615"/>
      <c r="N50" s="615">
        <v>1</v>
      </c>
      <c r="O50" s="615">
        <v>178</v>
      </c>
      <c r="P50" s="628"/>
      <c r="Q50" s="616">
        <v>178</v>
      </c>
    </row>
    <row r="51" spans="1:17" ht="14.4" customHeight="1" x14ac:dyDescent="0.3">
      <c r="A51" s="611" t="s">
        <v>1544</v>
      </c>
      <c r="B51" s="612" t="s">
        <v>1545</v>
      </c>
      <c r="C51" s="612" t="s">
        <v>1331</v>
      </c>
      <c r="D51" s="612" t="s">
        <v>1598</v>
      </c>
      <c r="E51" s="612" t="s">
        <v>1599</v>
      </c>
      <c r="F51" s="615">
        <v>1</v>
      </c>
      <c r="G51" s="615">
        <v>88</v>
      </c>
      <c r="H51" s="615">
        <v>1</v>
      </c>
      <c r="I51" s="615">
        <v>88</v>
      </c>
      <c r="J51" s="615"/>
      <c r="K51" s="615"/>
      <c r="L51" s="615"/>
      <c r="M51" s="615"/>
      <c r="N51" s="615"/>
      <c r="O51" s="615"/>
      <c r="P51" s="628"/>
      <c r="Q51" s="616"/>
    </row>
    <row r="52" spans="1:17" ht="14.4" customHeight="1" x14ac:dyDescent="0.3">
      <c r="A52" s="611" t="s">
        <v>1544</v>
      </c>
      <c r="B52" s="612" t="s">
        <v>1545</v>
      </c>
      <c r="C52" s="612" t="s">
        <v>1331</v>
      </c>
      <c r="D52" s="612" t="s">
        <v>1600</v>
      </c>
      <c r="E52" s="612" t="s">
        <v>1601</v>
      </c>
      <c r="F52" s="615">
        <v>1014</v>
      </c>
      <c r="G52" s="615">
        <v>29406</v>
      </c>
      <c r="H52" s="615">
        <v>1</v>
      </c>
      <c r="I52" s="615">
        <v>29</v>
      </c>
      <c r="J52" s="615">
        <v>610</v>
      </c>
      <c r="K52" s="615">
        <v>17690</v>
      </c>
      <c r="L52" s="615">
        <v>0.60157790927021693</v>
      </c>
      <c r="M52" s="615">
        <v>29</v>
      </c>
      <c r="N52" s="615">
        <v>325</v>
      </c>
      <c r="O52" s="615">
        <v>9750</v>
      </c>
      <c r="P52" s="628">
        <v>0.33156498673740054</v>
      </c>
      <c r="Q52" s="616">
        <v>30</v>
      </c>
    </row>
    <row r="53" spans="1:17" ht="14.4" customHeight="1" x14ac:dyDescent="0.3">
      <c r="A53" s="611" t="s">
        <v>1544</v>
      </c>
      <c r="B53" s="612" t="s">
        <v>1545</v>
      </c>
      <c r="C53" s="612" t="s">
        <v>1331</v>
      </c>
      <c r="D53" s="612" t="s">
        <v>1602</v>
      </c>
      <c r="E53" s="612" t="s">
        <v>1603</v>
      </c>
      <c r="F53" s="615">
        <v>11</v>
      </c>
      <c r="G53" s="615">
        <v>132</v>
      </c>
      <c r="H53" s="615">
        <v>1</v>
      </c>
      <c r="I53" s="615">
        <v>12</v>
      </c>
      <c r="J53" s="615">
        <v>8</v>
      </c>
      <c r="K53" s="615">
        <v>96</v>
      </c>
      <c r="L53" s="615">
        <v>0.72727272727272729</v>
      </c>
      <c r="M53" s="615">
        <v>12</v>
      </c>
      <c r="N53" s="615">
        <v>3</v>
      </c>
      <c r="O53" s="615">
        <v>36</v>
      </c>
      <c r="P53" s="628">
        <v>0.27272727272727271</v>
      </c>
      <c r="Q53" s="616">
        <v>12</v>
      </c>
    </row>
    <row r="54" spans="1:17" ht="14.4" customHeight="1" x14ac:dyDescent="0.3">
      <c r="A54" s="611" t="s">
        <v>1544</v>
      </c>
      <c r="B54" s="612" t="s">
        <v>1545</v>
      </c>
      <c r="C54" s="612" t="s">
        <v>1331</v>
      </c>
      <c r="D54" s="612" t="s">
        <v>1604</v>
      </c>
      <c r="E54" s="612" t="s">
        <v>1605</v>
      </c>
      <c r="F54" s="615">
        <v>1</v>
      </c>
      <c r="G54" s="615">
        <v>181</v>
      </c>
      <c r="H54" s="615">
        <v>1</v>
      </c>
      <c r="I54" s="615">
        <v>181</v>
      </c>
      <c r="J54" s="615">
        <v>2</v>
      </c>
      <c r="K54" s="615">
        <v>362</v>
      </c>
      <c r="L54" s="615">
        <v>2</v>
      </c>
      <c r="M54" s="615">
        <v>181</v>
      </c>
      <c r="N54" s="615"/>
      <c r="O54" s="615"/>
      <c r="P54" s="628"/>
      <c r="Q54" s="616"/>
    </row>
    <row r="55" spans="1:17" ht="14.4" customHeight="1" x14ac:dyDescent="0.3">
      <c r="A55" s="611" t="s">
        <v>1544</v>
      </c>
      <c r="B55" s="612" t="s">
        <v>1545</v>
      </c>
      <c r="C55" s="612" t="s">
        <v>1331</v>
      </c>
      <c r="D55" s="612" t="s">
        <v>1606</v>
      </c>
      <c r="E55" s="612" t="s">
        <v>1607</v>
      </c>
      <c r="F55" s="615">
        <v>1009</v>
      </c>
      <c r="G55" s="615">
        <v>71639</v>
      </c>
      <c r="H55" s="615">
        <v>1</v>
      </c>
      <c r="I55" s="615">
        <v>71</v>
      </c>
      <c r="J55" s="615">
        <v>802</v>
      </c>
      <c r="K55" s="615">
        <v>56942</v>
      </c>
      <c r="L55" s="615">
        <v>0.79484638255698714</v>
      </c>
      <c r="M55" s="615">
        <v>71</v>
      </c>
      <c r="N55" s="615">
        <v>14</v>
      </c>
      <c r="O55" s="615">
        <v>1008</v>
      </c>
      <c r="P55" s="628">
        <v>1.40705481651056E-2</v>
      </c>
      <c r="Q55" s="616">
        <v>72</v>
      </c>
    </row>
    <row r="56" spans="1:17" ht="14.4" customHeight="1" x14ac:dyDescent="0.3">
      <c r="A56" s="611" t="s">
        <v>1544</v>
      </c>
      <c r="B56" s="612" t="s">
        <v>1545</v>
      </c>
      <c r="C56" s="612" t="s">
        <v>1331</v>
      </c>
      <c r="D56" s="612" t="s">
        <v>1506</v>
      </c>
      <c r="E56" s="612" t="s">
        <v>1507</v>
      </c>
      <c r="F56" s="615"/>
      <c r="G56" s="615"/>
      <c r="H56" s="615"/>
      <c r="I56" s="615"/>
      <c r="J56" s="615">
        <v>1</v>
      </c>
      <c r="K56" s="615">
        <v>1245</v>
      </c>
      <c r="L56" s="615"/>
      <c r="M56" s="615">
        <v>1245</v>
      </c>
      <c r="N56" s="615">
        <v>10</v>
      </c>
      <c r="O56" s="615">
        <v>12680</v>
      </c>
      <c r="P56" s="628"/>
      <c r="Q56" s="616">
        <v>1268</v>
      </c>
    </row>
    <row r="57" spans="1:17" ht="14.4" customHeight="1" x14ac:dyDescent="0.3">
      <c r="A57" s="611" t="s">
        <v>1544</v>
      </c>
      <c r="B57" s="612" t="s">
        <v>1545</v>
      </c>
      <c r="C57" s="612" t="s">
        <v>1331</v>
      </c>
      <c r="D57" s="612" t="s">
        <v>1608</v>
      </c>
      <c r="E57" s="612" t="s">
        <v>1609</v>
      </c>
      <c r="F57" s="615">
        <v>286</v>
      </c>
      <c r="G57" s="615">
        <v>42042</v>
      </c>
      <c r="H57" s="615">
        <v>1</v>
      </c>
      <c r="I57" s="615">
        <v>147</v>
      </c>
      <c r="J57" s="615">
        <v>220</v>
      </c>
      <c r="K57" s="615">
        <v>32340</v>
      </c>
      <c r="L57" s="615">
        <v>0.76923076923076927</v>
      </c>
      <c r="M57" s="615">
        <v>147</v>
      </c>
      <c r="N57" s="615">
        <v>278</v>
      </c>
      <c r="O57" s="615">
        <v>41144</v>
      </c>
      <c r="P57" s="628">
        <v>0.97864040721183576</v>
      </c>
      <c r="Q57" s="616">
        <v>148</v>
      </c>
    </row>
    <row r="58" spans="1:17" ht="14.4" customHeight="1" x14ac:dyDescent="0.3">
      <c r="A58" s="611" t="s">
        <v>1544</v>
      </c>
      <c r="B58" s="612" t="s">
        <v>1545</v>
      </c>
      <c r="C58" s="612" t="s">
        <v>1331</v>
      </c>
      <c r="D58" s="612" t="s">
        <v>1610</v>
      </c>
      <c r="E58" s="612" t="s">
        <v>1611</v>
      </c>
      <c r="F58" s="615">
        <v>1018</v>
      </c>
      <c r="G58" s="615">
        <v>29522</v>
      </c>
      <c r="H58" s="615">
        <v>1</v>
      </c>
      <c r="I58" s="615">
        <v>29</v>
      </c>
      <c r="J58" s="615">
        <v>616</v>
      </c>
      <c r="K58" s="615">
        <v>17864</v>
      </c>
      <c r="L58" s="615">
        <v>0.60510805500982323</v>
      </c>
      <c r="M58" s="615">
        <v>29</v>
      </c>
      <c r="N58" s="615">
        <v>335</v>
      </c>
      <c r="O58" s="615">
        <v>10050</v>
      </c>
      <c r="P58" s="628">
        <v>0.34042409050877309</v>
      </c>
      <c r="Q58" s="616">
        <v>30</v>
      </c>
    </row>
    <row r="59" spans="1:17" ht="14.4" customHeight="1" x14ac:dyDescent="0.3">
      <c r="A59" s="611" t="s">
        <v>1544</v>
      </c>
      <c r="B59" s="612" t="s">
        <v>1545</v>
      </c>
      <c r="C59" s="612" t="s">
        <v>1331</v>
      </c>
      <c r="D59" s="612" t="s">
        <v>1612</v>
      </c>
      <c r="E59" s="612" t="s">
        <v>1613</v>
      </c>
      <c r="F59" s="615"/>
      <c r="G59" s="615"/>
      <c r="H59" s="615"/>
      <c r="I59" s="615"/>
      <c r="J59" s="615"/>
      <c r="K59" s="615"/>
      <c r="L59" s="615"/>
      <c r="M59" s="615"/>
      <c r="N59" s="615">
        <v>1</v>
      </c>
      <c r="O59" s="615">
        <v>31</v>
      </c>
      <c r="P59" s="628"/>
      <c r="Q59" s="616">
        <v>31</v>
      </c>
    </row>
    <row r="60" spans="1:17" ht="14.4" customHeight="1" x14ac:dyDescent="0.3">
      <c r="A60" s="611" t="s">
        <v>1544</v>
      </c>
      <c r="B60" s="612" t="s">
        <v>1545</v>
      </c>
      <c r="C60" s="612" t="s">
        <v>1331</v>
      </c>
      <c r="D60" s="612" t="s">
        <v>1614</v>
      </c>
      <c r="E60" s="612" t="s">
        <v>1615</v>
      </c>
      <c r="F60" s="615">
        <v>20</v>
      </c>
      <c r="G60" s="615">
        <v>540</v>
      </c>
      <c r="H60" s="615">
        <v>1</v>
      </c>
      <c r="I60" s="615">
        <v>27</v>
      </c>
      <c r="J60" s="615">
        <v>10</v>
      </c>
      <c r="K60" s="615">
        <v>270</v>
      </c>
      <c r="L60" s="615">
        <v>0.5</v>
      </c>
      <c r="M60" s="615">
        <v>27</v>
      </c>
      <c r="N60" s="615">
        <v>14</v>
      </c>
      <c r="O60" s="615">
        <v>378</v>
      </c>
      <c r="P60" s="628">
        <v>0.7</v>
      </c>
      <c r="Q60" s="616">
        <v>27</v>
      </c>
    </row>
    <row r="61" spans="1:17" ht="14.4" customHeight="1" x14ac:dyDescent="0.3">
      <c r="A61" s="611" t="s">
        <v>1544</v>
      </c>
      <c r="B61" s="612" t="s">
        <v>1545</v>
      </c>
      <c r="C61" s="612" t="s">
        <v>1331</v>
      </c>
      <c r="D61" s="612" t="s">
        <v>1616</v>
      </c>
      <c r="E61" s="612" t="s">
        <v>1617</v>
      </c>
      <c r="F61" s="615"/>
      <c r="G61" s="615"/>
      <c r="H61" s="615"/>
      <c r="I61" s="615"/>
      <c r="J61" s="615"/>
      <c r="K61" s="615"/>
      <c r="L61" s="615"/>
      <c r="M61" s="615"/>
      <c r="N61" s="615">
        <v>1</v>
      </c>
      <c r="O61" s="615">
        <v>162</v>
      </c>
      <c r="P61" s="628"/>
      <c r="Q61" s="616">
        <v>162</v>
      </c>
    </row>
    <row r="62" spans="1:17" ht="14.4" customHeight="1" x14ac:dyDescent="0.3">
      <c r="A62" s="611" t="s">
        <v>1544</v>
      </c>
      <c r="B62" s="612" t="s">
        <v>1545</v>
      </c>
      <c r="C62" s="612" t="s">
        <v>1331</v>
      </c>
      <c r="D62" s="612" t="s">
        <v>1618</v>
      </c>
      <c r="E62" s="612" t="s">
        <v>1619</v>
      </c>
      <c r="F62" s="615">
        <v>6</v>
      </c>
      <c r="G62" s="615">
        <v>132</v>
      </c>
      <c r="H62" s="615">
        <v>1</v>
      </c>
      <c r="I62" s="615">
        <v>22</v>
      </c>
      <c r="J62" s="615">
        <v>1</v>
      </c>
      <c r="K62" s="615">
        <v>22</v>
      </c>
      <c r="L62" s="615">
        <v>0.16666666666666666</v>
      </c>
      <c r="M62" s="615">
        <v>22</v>
      </c>
      <c r="N62" s="615">
        <v>7</v>
      </c>
      <c r="O62" s="615">
        <v>154</v>
      </c>
      <c r="P62" s="628">
        <v>1.1666666666666667</v>
      </c>
      <c r="Q62" s="616">
        <v>22</v>
      </c>
    </row>
    <row r="63" spans="1:17" ht="14.4" customHeight="1" x14ac:dyDescent="0.3">
      <c r="A63" s="611" t="s">
        <v>1544</v>
      </c>
      <c r="B63" s="612" t="s">
        <v>1545</v>
      </c>
      <c r="C63" s="612" t="s">
        <v>1331</v>
      </c>
      <c r="D63" s="612" t="s">
        <v>1620</v>
      </c>
      <c r="E63" s="612" t="s">
        <v>1621</v>
      </c>
      <c r="F63" s="615">
        <v>11</v>
      </c>
      <c r="G63" s="615">
        <v>275</v>
      </c>
      <c r="H63" s="615">
        <v>1</v>
      </c>
      <c r="I63" s="615">
        <v>25</v>
      </c>
      <c r="J63" s="615">
        <v>7</v>
      </c>
      <c r="K63" s="615">
        <v>175</v>
      </c>
      <c r="L63" s="615">
        <v>0.63636363636363635</v>
      </c>
      <c r="M63" s="615">
        <v>25</v>
      </c>
      <c r="N63" s="615">
        <v>14</v>
      </c>
      <c r="O63" s="615">
        <v>350</v>
      </c>
      <c r="P63" s="628">
        <v>1.2727272727272727</v>
      </c>
      <c r="Q63" s="616">
        <v>25</v>
      </c>
    </row>
    <row r="64" spans="1:17" ht="14.4" customHeight="1" x14ac:dyDescent="0.3">
      <c r="A64" s="611" t="s">
        <v>1544</v>
      </c>
      <c r="B64" s="612" t="s">
        <v>1545</v>
      </c>
      <c r="C64" s="612" t="s">
        <v>1331</v>
      </c>
      <c r="D64" s="612" t="s">
        <v>1622</v>
      </c>
      <c r="E64" s="612" t="s">
        <v>1623</v>
      </c>
      <c r="F64" s="615">
        <v>9</v>
      </c>
      <c r="G64" s="615">
        <v>297</v>
      </c>
      <c r="H64" s="615">
        <v>1</v>
      </c>
      <c r="I64" s="615">
        <v>33</v>
      </c>
      <c r="J64" s="615">
        <v>7</v>
      </c>
      <c r="K64" s="615">
        <v>231</v>
      </c>
      <c r="L64" s="615">
        <v>0.77777777777777779</v>
      </c>
      <c r="M64" s="615">
        <v>33</v>
      </c>
      <c r="N64" s="615">
        <v>2</v>
      </c>
      <c r="O64" s="615">
        <v>66</v>
      </c>
      <c r="P64" s="628">
        <v>0.22222222222222221</v>
      </c>
      <c r="Q64" s="616">
        <v>33</v>
      </c>
    </row>
    <row r="65" spans="1:17" ht="14.4" customHeight="1" x14ac:dyDescent="0.3">
      <c r="A65" s="611" t="s">
        <v>1544</v>
      </c>
      <c r="B65" s="612" t="s">
        <v>1545</v>
      </c>
      <c r="C65" s="612" t="s">
        <v>1331</v>
      </c>
      <c r="D65" s="612" t="s">
        <v>1624</v>
      </c>
      <c r="E65" s="612" t="s">
        <v>1625</v>
      </c>
      <c r="F65" s="615">
        <v>7</v>
      </c>
      <c r="G65" s="615">
        <v>210</v>
      </c>
      <c r="H65" s="615">
        <v>1</v>
      </c>
      <c r="I65" s="615">
        <v>30</v>
      </c>
      <c r="J65" s="615"/>
      <c r="K65" s="615"/>
      <c r="L65" s="615"/>
      <c r="M65" s="615"/>
      <c r="N65" s="615">
        <v>8</v>
      </c>
      <c r="O65" s="615">
        <v>240</v>
      </c>
      <c r="P65" s="628">
        <v>1.1428571428571428</v>
      </c>
      <c r="Q65" s="616">
        <v>30</v>
      </c>
    </row>
    <row r="66" spans="1:17" ht="14.4" customHeight="1" x14ac:dyDescent="0.3">
      <c r="A66" s="611" t="s">
        <v>1544</v>
      </c>
      <c r="B66" s="612" t="s">
        <v>1545</v>
      </c>
      <c r="C66" s="612" t="s">
        <v>1331</v>
      </c>
      <c r="D66" s="612" t="s">
        <v>1626</v>
      </c>
      <c r="E66" s="612" t="s">
        <v>1627</v>
      </c>
      <c r="F66" s="615">
        <v>5</v>
      </c>
      <c r="G66" s="615">
        <v>130</v>
      </c>
      <c r="H66" s="615">
        <v>1</v>
      </c>
      <c r="I66" s="615">
        <v>26</v>
      </c>
      <c r="J66" s="615">
        <v>6</v>
      </c>
      <c r="K66" s="615">
        <v>156</v>
      </c>
      <c r="L66" s="615">
        <v>1.2</v>
      </c>
      <c r="M66" s="615">
        <v>26</v>
      </c>
      <c r="N66" s="615">
        <v>4</v>
      </c>
      <c r="O66" s="615">
        <v>104</v>
      </c>
      <c r="P66" s="628">
        <v>0.8</v>
      </c>
      <c r="Q66" s="616">
        <v>26</v>
      </c>
    </row>
    <row r="67" spans="1:17" ht="14.4" customHeight="1" x14ac:dyDescent="0.3">
      <c r="A67" s="611" t="s">
        <v>1544</v>
      </c>
      <c r="B67" s="612" t="s">
        <v>1545</v>
      </c>
      <c r="C67" s="612" t="s">
        <v>1331</v>
      </c>
      <c r="D67" s="612" t="s">
        <v>1628</v>
      </c>
      <c r="E67" s="612" t="s">
        <v>1629</v>
      </c>
      <c r="F67" s="615">
        <v>1</v>
      </c>
      <c r="G67" s="615">
        <v>174</v>
      </c>
      <c r="H67" s="615">
        <v>1</v>
      </c>
      <c r="I67" s="615">
        <v>174</v>
      </c>
      <c r="J67" s="615">
        <v>2</v>
      </c>
      <c r="K67" s="615">
        <v>348</v>
      </c>
      <c r="L67" s="615">
        <v>2</v>
      </c>
      <c r="M67" s="615">
        <v>174</v>
      </c>
      <c r="N67" s="615"/>
      <c r="O67" s="615"/>
      <c r="P67" s="628"/>
      <c r="Q67" s="616"/>
    </row>
    <row r="68" spans="1:17" ht="14.4" customHeight="1" x14ac:dyDescent="0.3">
      <c r="A68" s="611" t="s">
        <v>1544</v>
      </c>
      <c r="B68" s="612" t="s">
        <v>1545</v>
      </c>
      <c r="C68" s="612" t="s">
        <v>1331</v>
      </c>
      <c r="D68" s="612" t="s">
        <v>1630</v>
      </c>
      <c r="E68" s="612" t="s">
        <v>1631</v>
      </c>
      <c r="F68" s="615">
        <v>53</v>
      </c>
      <c r="G68" s="615">
        <v>795</v>
      </c>
      <c r="H68" s="615">
        <v>1</v>
      </c>
      <c r="I68" s="615">
        <v>15</v>
      </c>
      <c r="J68" s="615">
        <v>48</v>
      </c>
      <c r="K68" s="615">
        <v>720</v>
      </c>
      <c r="L68" s="615">
        <v>0.90566037735849059</v>
      </c>
      <c r="M68" s="615">
        <v>15</v>
      </c>
      <c r="N68" s="615">
        <v>46</v>
      </c>
      <c r="O68" s="615">
        <v>690</v>
      </c>
      <c r="P68" s="628">
        <v>0.86792452830188682</v>
      </c>
      <c r="Q68" s="616">
        <v>15</v>
      </c>
    </row>
    <row r="69" spans="1:17" ht="14.4" customHeight="1" x14ac:dyDescent="0.3">
      <c r="A69" s="611" t="s">
        <v>1544</v>
      </c>
      <c r="B69" s="612" t="s">
        <v>1545</v>
      </c>
      <c r="C69" s="612" t="s">
        <v>1331</v>
      </c>
      <c r="D69" s="612" t="s">
        <v>1632</v>
      </c>
      <c r="E69" s="612" t="s">
        <v>1633</v>
      </c>
      <c r="F69" s="615">
        <v>19</v>
      </c>
      <c r="G69" s="615">
        <v>437</v>
      </c>
      <c r="H69" s="615">
        <v>1</v>
      </c>
      <c r="I69" s="615">
        <v>23</v>
      </c>
      <c r="J69" s="615">
        <v>14</v>
      </c>
      <c r="K69" s="615">
        <v>322</v>
      </c>
      <c r="L69" s="615">
        <v>0.73684210526315785</v>
      </c>
      <c r="M69" s="615">
        <v>23</v>
      </c>
      <c r="N69" s="615">
        <v>16</v>
      </c>
      <c r="O69" s="615">
        <v>368</v>
      </c>
      <c r="P69" s="628">
        <v>0.84210526315789469</v>
      </c>
      <c r="Q69" s="616">
        <v>23</v>
      </c>
    </row>
    <row r="70" spans="1:17" ht="14.4" customHeight="1" x14ac:dyDescent="0.3">
      <c r="A70" s="611" t="s">
        <v>1544</v>
      </c>
      <c r="B70" s="612" t="s">
        <v>1545</v>
      </c>
      <c r="C70" s="612" t="s">
        <v>1331</v>
      </c>
      <c r="D70" s="612" t="s">
        <v>1634</v>
      </c>
      <c r="E70" s="612" t="s">
        <v>1635</v>
      </c>
      <c r="F70" s="615">
        <v>1</v>
      </c>
      <c r="G70" s="615">
        <v>37</v>
      </c>
      <c r="H70" s="615">
        <v>1</v>
      </c>
      <c r="I70" s="615">
        <v>37</v>
      </c>
      <c r="J70" s="615"/>
      <c r="K70" s="615"/>
      <c r="L70" s="615"/>
      <c r="M70" s="615"/>
      <c r="N70" s="615"/>
      <c r="O70" s="615"/>
      <c r="P70" s="628"/>
      <c r="Q70" s="616"/>
    </row>
    <row r="71" spans="1:17" ht="14.4" customHeight="1" x14ac:dyDescent="0.3">
      <c r="A71" s="611" t="s">
        <v>1544</v>
      </c>
      <c r="B71" s="612" t="s">
        <v>1545</v>
      </c>
      <c r="C71" s="612" t="s">
        <v>1331</v>
      </c>
      <c r="D71" s="612" t="s">
        <v>1636</v>
      </c>
      <c r="E71" s="612" t="s">
        <v>1637</v>
      </c>
      <c r="F71" s="615">
        <v>1</v>
      </c>
      <c r="G71" s="615">
        <v>23</v>
      </c>
      <c r="H71" s="615">
        <v>1</v>
      </c>
      <c r="I71" s="615">
        <v>23</v>
      </c>
      <c r="J71" s="615">
        <v>1</v>
      </c>
      <c r="K71" s="615">
        <v>23</v>
      </c>
      <c r="L71" s="615">
        <v>1</v>
      </c>
      <c r="M71" s="615">
        <v>23</v>
      </c>
      <c r="N71" s="615">
        <v>207</v>
      </c>
      <c r="O71" s="615">
        <v>4761</v>
      </c>
      <c r="P71" s="628">
        <v>207</v>
      </c>
      <c r="Q71" s="616">
        <v>23</v>
      </c>
    </row>
    <row r="72" spans="1:17" ht="14.4" customHeight="1" x14ac:dyDescent="0.3">
      <c r="A72" s="611" t="s">
        <v>1544</v>
      </c>
      <c r="B72" s="612" t="s">
        <v>1545</v>
      </c>
      <c r="C72" s="612" t="s">
        <v>1331</v>
      </c>
      <c r="D72" s="612" t="s">
        <v>1638</v>
      </c>
      <c r="E72" s="612" t="s">
        <v>1639</v>
      </c>
      <c r="F72" s="615">
        <v>2</v>
      </c>
      <c r="G72" s="615">
        <v>338</v>
      </c>
      <c r="H72" s="615">
        <v>1</v>
      </c>
      <c r="I72" s="615">
        <v>169</v>
      </c>
      <c r="J72" s="615">
        <v>1</v>
      </c>
      <c r="K72" s="615">
        <v>169</v>
      </c>
      <c r="L72" s="615">
        <v>0.5</v>
      </c>
      <c r="M72" s="615">
        <v>169</v>
      </c>
      <c r="N72" s="615">
        <v>2</v>
      </c>
      <c r="O72" s="615">
        <v>340</v>
      </c>
      <c r="P72" s="628">
        <v>1.0059171597633136</v>
      </c>
      <c r="Q72" s="616">
        <v>170</v>
      </c>
    </row>
    <row r="73" spans="1:17" ht="14.4" customHeight="1" x14ac:dyDescent="0.3">
      <c r="A73" s="611" t="s">
        <v>1544</v>
      </c>
      <c r="B73" s="612" t="s">
        <v>1545</v>
      </c>
      <c r="C73" s="612" t="s">
        <v>1331</v>
      </c>
      <c r="D73" s="612" t="s">
        <v>1640</v>
      </c>
      <c r="E73" s="612" t="s">
        <v>1641</v>
      </c>
      <c r="F73" s="615">
        <v>1</v>
      </c>
      <c r="G73" s="615">
        <v>277</v>
      </c>
      <c r="H73" s="615">
        <v>1</v>
      </c>
      <c r="I73" s="615">
        <v>277</v>
      </c>
      <c r="J73" s="615">
        <v>1</v>
      </c>
      <c r="K73" s="615">
        <v>277</v>
      </c>
      <c r="L73" s="615">
        <v>1</v>
      </c>
      <c r="M73" s="615">
        <v>277</v>
      </c>
      <c r="N73" s="615"/>
      <c r="O73" s="615"/>
      <c r="P73" s="628"/>
      <c r="Q73" s="616"/>
    </row>
    <row r="74" spans="1:17" ht="14.4" customHeight="1" x14ac:dyDescent="0.3">
      <c r="A74" s="611" t="s">
        <v>1544</v>
      </c>
      <c r="B74" s="612" t="s">
        <v>1545</v>
      </c>
      <c r="C74" s="612" t="s">
        <v>1331</v>
      </c>
      <c r="D74" s="612" t="s">
        <v>1642</v>
      </c>
      <c r="E74" s="612" t="s">
        <v>1643</v>
      </c>
      <c r="F74" s="615">
        <v>5</v>
      </c>
      <c r="G74" s="615">
        <v>145</v>
      </c>
      <c r="H74" s="615">
        <v>1</v>
      </c>
      <c r="I74" s="615">
        <v>29</v>
      </c>
      <c r="J74" s="615">
        <v>6</v>
      </c>
      <c r="K74" s="615">
        <v>174</v>
      </c>
      <c r="L74" s="615">
        <v>1.2</v>
      </c>
      <c r="M74" s="615">
        <v>29</v>
      </c>
      <c r="N74" s="615">
        <v>4</v>
      </c>
      <c r="O74" s="615">
        <v>116</v>
      </c>
      <c r="P74" s="628">
        <v>0.8</v>
      </c>
      <c r="Q74" s="616">
        <v>29</v>
      </c>
    </row>
    <row r="75" spans="1:17" ht="14.4" customHeight="1" x14ac:dyDescent="0.3">
      <c r="A75" s="611" t="s">
        <v>1544</v>
      </c>
      <c r="B75" s="612" t="s">
        <v>1545</v>
      </c>
      <c r="C75" s="612" t="s">
        <v>1331</v>
      </c>
      <c r="D75" s="612" t="s">
        <v>1644</v>
      </c>
      <c r="E75" s="612" t="s">
        <v>1645</v>
      </c>
      <c r="F75" s="615"/>
      <c r="G75" s="615"/>
      <c r="H75" s="615"/>
      <c r="I75" s="615"/>
      <c r="J75" s="615">
        <v>2</v>
      </c>
      <c r="K75" s="615">
        <v>394</v>
      </c>
      <c r="L75" s="615"/>
      <c r="M75" s="615">
        <v>197</v>
      </c>
      <c r="N75" s="615">
        <v>1</v>
      </c>
      <c r="O75" s="615">
        <v>198</v>
      </c>
      <c r="P75" s="628"/>
      <c r="Q75" s="616">
        <v>198</v>
      </c>
    </row>
    <row r="76" spans="1:17" ht="14.4" customHeight="1" x14ac:dyDescent="0.3">
      <c r="A76" s="611" t="s">
        <v>1544</v>
      </c>
      <c r="B76" s="612" t="s">
        <v>1545</v>
      </c>
      <c r="C76" s="612" t="s">
        <v>1331</v>
      </c>
      <c r="D76" s="612" t="s">
        <v>1646</v>
      </c>
      <c r="E76" s="612" t="s">
        <v>1647</v>
      </c>
      <c r="F76" s="615">
        <v>7</v>
      </c>
      <c r="G76" s="615">
        <v>105</v>
      </c>
      <c r="H76" s="615">
        <v>1</v>
      </c>
      <c r="I76" s="615">
        <v>15</v>
      </c>
      <c r="J76" s="615">
        <v>2</v>
      </c>
      <c r="K76" s="615">
        <v>30</v>
      </c>
      <c r="L76" s="615">
        <v>0.2857142857142857</v>
      </c>
      <c r="M76" s="615">
        <v>15</v>
      </c>
      <c r="N76" s="615">
        <v>7</v>
      </c>
      <c r="O76" s="615">
        <v>105</v>
      </c>
      <c r="P76" s="628">
        <v>1</v>
      </c>
      <c r="Q76" s="616">
        <v>15</v>
      </c>
    </row>
    <row r="77" spans="1:17" ht="14.4" customHeight="1" x14ac:dyDescent="0.3">
      <c r="A77" s="611" t="s">
        <v>1544</v>
      </c>
      <c r="B77" s="612" t="s">
        <v>1545</v>
      </c>
      <c r="C77" s="612" t="s">
        <v>1331</v>
      </c>
      <c r="D77" s="612" t="s">
        <v>1648</v>
      </c>
      <c r="E77" s="612" t="s">
        <v>1649</v>
      </c>
      <c r="F77" s="615">
        <v>39</v>
      </c>
      <c r="G77" s="615">
        <v>741</v>
      </c>
      <c r="H77" s="615">
        <v>1</v>
      </c>
      <c r="I77" s="615">
        <v>19</v>
      </c>
      <c r="J77" s="615">
        <v>33</v>
      </c>
      <c r="K77" s="615">
        <v>627</v>
      </c>
      <c r="L77" s="615">
        <v>0.84615384615384615</v>
      </c>
      <c r="M77" s="615">
        <v>19</v>
      </c>
      <c r="N77" s="615">
        <v>31</v>
      </c>
      <c r="O77" s="615">
        <v>589</v>
      </c>
      <c r="P77" s="628">
        <v>0.79487179487179482</v>
      </c>
      <c r="Q77" s="616">
        <v>19</v>
      </c>
    </row>
    <row r="78" spans="1:17" ht="14.4" customHeight="1" x14ac:dyDescent="0.3">
      <c r="A78" s="611" t="s">
        <v>1544</v>
      </c>
      <c r="B78" s="612" t="s">
        <v>1545</v>
      </c>
      <c r="C78" s="612" t="s">
        <v>1331</v>
      </c>
      <c r="D78" s="612" t="s">
        <v>1650</v>
      </c>
      <c r="E78" s="612" t="s">
        <v>1651</v>
      </c>
      <c r="F78" s="615">
        <v>40</v>
      </c>
      <c r="G78" s="615">
        <v>800</v>
      </c>
      <c r="H78" s="615">
        <v>1</v>
      </c>
      <c r="I78" s="615">
        <v>20</v>
      </c>
      <c r="J78" s="615">
        <v>22</v>
      </c>
      <c r="K78" s="615">
        <v>440</v>
      </c>
      <c r="L78" s="615">
        <v>0.55000000000000004</v>
      </c>
      <c r="M78" s="615">
        <v>20</v>
      </c>
      <c r="N78" s="615">
        <v>35</v>
      </c>
      <c r="O78" s="615">
        <v>700</v>
      </c>
      <c r="P78" s="628">
        <v>0.875</v>
      </c>
      <c r="Q78" s="616">
        <v>20</v>
      </c>
    </row>
    <row r="79" spans="1:17" ht="14.4" customHeight="1" x14ac:dyDescent="0.3">
      <c r="A79" s="611" t="s">
        <v>1544</v>
      </c>
      <c r="B79" s="612" t="s">
        <v>1545</v>
      </c>
      <c r="C79" s="612" t="s">
        <v>1331</v>
      </c>
      <c r="D79" s="612" t="s">
        <v>1652</v>
      </c>
      <c r="E79" s="612" t="s">
        <v>1653</v>
      </c>
      <c r="F79" s="615">
        <v>1</v>
      </c>
      <c r="G79" s="615">
        <v>184</v>
      </c>
      <c r="H79" s="615">
        <v>1</v>
      </c>
      <c r="I79" s="615">
        <v>184</v>
      </c>
      <c r="J79" s="615"/>
      <c r="K79" s="615"/>
      <c r="L79" s="615"/>
      <c r="M79" s="615"/>
      <c r="N79" s="615"/>
      <c r="O79" s="615"/>
      <c r="P79" s="628"/>
      <c r="Q79" s="616"/>
    </row>
    <row r="80" spans="1:17" ht="14.4" customHeight="1" x14ac:dyDescent="0.3">
      <c r="A80" s="611" t="s">
        <v>1544</v>
      </c>
      <c r="B80" s="612" t="s">
        <v>1545</v>
      </c>
      <c r="C80" s="612" t="s">
        <v>1331</v>
      </c>
      <c r="D80" s="612" t="s">
        <v>1654</v>
      </c>
      <c r="E80" s="612" t="s">
        <v>1655</v>
      </c>
      <c r="F80" s="615">
        <v>1</v>
      </c>
      <c r="G80" s="615">
        <v>266</v>
      </c>
      <c r="H80" s="615">
        <v>1</v>
      </c>
      <c r="I80" s="615">
        <v>266</v>
      </c>
      <c r="J80" s="615"/>
      <c r="K80" s="615"/>
      <c r="L80" s="615"/>
      <c r="M80" s="615"/>
      <c r="N80" s="615"/>
      <c r="O80" s="615"/>
      <c r="P80" s="628"/>
      <c r="Q80" s="616"/>
    </row>
    <row r="81" spans="1:17" ht="14.4" customHeight="1" x14ac:dyDescent="0.3">
      <c r="A81" s="611" t="s">
        <v>1544</v>
      </c>
      <c r="B81" s="612" t="s">
        <v>1545</v>
      </c>
      <c r="C81" s="612" t="s">
        <v>1331</v>
      </c>
      <c r="D81" s="612" t="s">
        <v>1656</v>
      </c>
      <c r="E81" s="612" t="s">
        <v>1657</v>
      </c>
      <c r="F81" s="615"/>
      <c r="G81" s="615"/>
      <c r="H81" s="615"/>
      <c r="I81" s="615"/>
      <c r="J81" s="615"/>
      <c r="K81" s="615"/>
      <c r="L81" s="615"/>
      <c r="M81" s="615"/>
      <c r="N81" s="615">
        <v>1</v>
      </c>
      <c r="O81" s="615">
        <v>162</v>
      </c>
      <c r="P81" s="628"/>
      <c r="Q81" s="616">
        <v>162</v>
      </c>
    </row>
    <row r="82" spans="1:17" ht="14.4" customHeight="1" x14ac:dyDescent="0.3">
      <c r="A82" s="611" t="s">
        <v>1544</v>
      </c>
      <c r="B82" s="612" t="s">
        <v>1545</v>
      </c>
      <c r="C82" s="612" t="s">
        <v>1331</v>
      </c>
      <c r="D82" s="612" t="s">
        <v>1658</v>
      </c>
      <c r="E82" s="612" t="s">
        <v>1659</v>
      </c>
      <c r="F82" s="615">
        <v>3</v>
      </c>
      <c r="G82" s="615">
        <v>1932</v>
      </c>
      <c r="H82" s="615">
        <v>1</v>
      </c>
      <c r="I82" s="615">
        <v>644</v>
      </c>
      <c r="J82" s="615"/>
      <c r="K82" s="615"/>
      <c r="L82" s="615"/>
      <c r="M82" s="615"/>
      <c r="N82" s="615"/>
      <c r="O82" s="615"/>
      <c r="P82" s="628"/>
      <c r="Q82" s="616"/>
    </row>
    <row r="83" spans="1:17" ht="14.4" customHeight="1" x14ac:dyDescent="0.3">
      <c r="A83" s="611" t="s">
        <v>1544</v>
      </c>
      <c r="B83" s="612" t="s">
        <v>1545</v>
      </c>
      <c r="C83" s="612" t="s">
        <v>1331</v>
      </c>
      <c r="D83" s="612" t="s">
        <v>1660</v>
      </c>
      <c r="E83" s="612" t="s">
        <v>1661</v>
      </c>
      <c r="F83" s="615">
        <v>8</v>
      </c>
      <c r="G83" s="615">
        <v>624</v>
      </c>
      <c r="H83" s="615">
        <v>1</v>
      </c>
      <c r="I83" s="615">
        <v>78</v>
      </c>
      <c r="J83" s="615">
        <v>10</v>
      </c>
      <c r="K83" s="615">
        <v>780</v>
      </c>
      <c r="L83" s="615">
        <v>1.25</v>
      </c>
      <c r="M83" s="615">
        <v>78</v>
      </c>
      <c r="N83" s="615">
        <v>9</v>
      </c>
      <c r="O83" s="615">
        <v>702</v>
      </c>
      <c r="P83" s="628">
        <v>1.125</v>
      </c>
      <c r="Q83" s="616">
        <v>78</v>
      </c>
    </row>
    <row r="84" spans="1:17" ht="14.4" customHeight="1" x14ac:dyDescent="0.3">
      <c r="A84" s="611" t="s">
        <v>1544</v>
      </c>
      <c r="B84" s="612" t="s">
        <v>1545</v>
      </c>
      <c r="C84" s="612" t="s">
        <v>1331</v>
      </c>
      <c r="D84" s="612" t="s">
        <v>1662</v>
      </c>
      <c r="E84" s="612" t="s">
        <v>1663</v>
      </c>
      <c r="F84" s="615">
        <v>1</v>
      </c>
      <c r="G84" s="615">
        <v>21</v>
      </c>
      <c r="H84" s="615">
        <v>1</v>
      </c>
      <c r="I84" s="615">
        <v>21</v>
      </c>
      <c r="J84" s="615">
        <v>2</v>
      </c>
      <c r="K84" s="615">
        <v>42</v>
      </c>
      <c r="L84" s="615">
        <v>2</v>
      </c>
      <c r="M84" s="615">
        <v>21</v>
      </c>
      <c r="N84" s="615">
        <v>3</v>
      </c>
      <c r="O84" s="615">
        <v>63</v>
      </c>
      <c r="P84" s="628">
        <v>3</v>
      </c>
      <c r="Q84" s="616">
        <v>21</v>
      </c>
    </row>
    <row r="85" spans="1:17" ht="14.4" customHeight="1" x14ac:dyDescent="0.3">
      <c r="A85" s="611" t="s">
        <v>1544</v>
      </c>
      <c r="B85" s="612" t="s">
        <v>1545</v>
      </c>
      <c r="C85" s="612" t="s">
        <v>1331</v>
      </c>
      <c r="D85" s="612" t="s">
        <v>1664</v>
      </c>
      <c r="E85" s="612" t="s">
        <v>1665</v>
      </c>
      <c r="F85" s="615">
        <v>2</v>
      </c>
      <c r="G85" s="615">
        <v>2176</v>
      </c>
      <c r="H85" s="615">
        <v>1</v>
      </c>
      <c r="I85" s="615">
        <v>1088</v>
      </c>
      <c r="J85" s="615"/>
      <c r="K85" s="615"/>
      <c r="L85" s="615"/>
      <c r="M85" s="615"/>
      <c r="N85" s="615"/>
      <c r="O85" s="615"/>
      <c r="P85" s="628"/>
      <c r="Q85" s="616"/>
    </row>
    <row r="86" spans="1:17" ht="14.4" customHeight="1" x14ac:dyDescent="0.3">
      <c r="A86" s="611" t="s">
        <v>1544</v>
      </c>
      <c r="B86" s="612" t="s">
        <v>1545</v>
      </c>
      <c r="C86" s="612" t="s">
        <v>1331</v>
      </c>
      <c r="D86" s="612" t="s">
        <v>1666</v>
      </c>
      <c r="E86" s="612" t="s">
        <v>1667</v>
      </c>
      <c r="F86" s="615"/>
      <c r="G86" s="615"/>
      <c r="H86" s="615"/>
      <c r="I86" s="615"/>
      <c r="J86" s="615">
        <v>3</v>
      </c>
      <c r="K86" s="615">
        <v>66</v>
      </c>
      <c r="L86" s="615"/>
      <c r="M86" s="615">
        <v>22</v>
      </c>
      <c r="N86" s="615">
        <v>2</v>
      </c>
      <c r="O86" s="615">
        <v>44</v>
      </c>
      <c r="P86" s="628"/>
      <c r="Q86" s="616">
        <v>22</v>
      </c>
    </row>
    <row r="87" spans="1:17" ht="14.4" customHeight="1" x14ac:dyDescent="0.3">
      <c r="A87" s="611" t="s">
        <v>1544</v>
      </c>
      <c r="B87" s="612" t="s">
        <v>1545</v>
      </c>
      <c r="C87" s="612" t="s">
        <v>1331</v>
      </c>
      <c r="D87" s="612" t="s">
        <v>1668</v>
      </c>
      <c r="E87" s="612" t="s">
        <v>1669</v>
      </c>
      <c r="F87" s="615">
        <v>2</v>
      </c>
      <c r="G87" s="615">
        <v>1136</v>
      </c>
      <c r="H87" s="615">
        <v>1</v>
      </c>
      <c r="I87" s="615">
        <v>568</v>
      </c>
      <c r="J87" s="615"/>
      <c r="K87" s="615"/>
      <c r="L87" s="615"/>
      <c r="M87" s="615"/>
      <c r="N87" s="615"/>
      <c r="O87" s="615"/>
      <c r="P87" s="628"/>
      <c r="Q87" s="616"/>
    </row>
    <row r="88" spans="1:17" ht="14.4" customHeight="1" x14ac:dyDescent="0.3">
      <c r="A88" s="611" t="s">
        <v>1544</v>
      </c>
      <c r="B88" s="612" t="s">
        <v>1545</v>
      </c>
      <c r="C88" s="612" t="s">
        <v>1331</v>
      </c>
      <c r="D88" s="612" t="s">
        <v>1670</v>
      </c>
      <c r="E88" s="612" t="s">
        <v>1671</v>
      </c>
      <c r="F88" s="615"/>
      <c r="G88" s="615"/>
      <c r="H88" s="615"/>
      <c r="I88" s="615"/>
      <c r="J88" s="615">
        <v>1</v>
      </c>
      <c r="K88" s="615">
        <v>564</v>
      </c>
      <c r="L88" s="615"/>
      <c r="M88" s="615">
        <v>564</v>
      </c>
      <c r="N88" s="615">
        <v>18</v>
      </c>
      <c r="O88" s="615">
        <v>10296</v>
      </c>
      <c r="P88" s="628"/>
      <c r="Q88" s="616">
        <v>572</v>
      </c>
    </row>
    <row r="89" spans="1:17" ht="14.4" customHeight="1" x14ac:dyDescent="0.3">
      <c r="A89" s="611" t="s">
        <v>1544</v>
      </c>
      <c r="B89" s="612" t="s">
        <v>1545</v>
      </c>
      <c r="C89" s="612" t="s">
        <v>1331</v>
      </c>
      <c r="D89" s="612" t="s">
        <v>1672</v>
      </c>
      <c r="E89" s="612" t="s">
        <v>1673</v>
      </c>
      <c r="F89" s="615"/>
      <c r="G89" s="615"/>
      <c r="H89" s="615"/>
      <c r="I89" s="615"/>
      <c r="J89" s="615">
        <v>1</v>
      </c>
      <c r="K89" s="615">
        <v>1002</v>
      </c>
      <c r="L89" s="615"/>
      <c r="M89" s="615">
        <v>1002</v>
      </c>
      <c r="N89" s="615">
        <v>18</v>
      </c>
      <c r="O89" s="615">
        <v>18144</v>
      </c>
      <c r="P89" s="628"/>
      <c r="Q89" s="616">
        <v>1008</v>
      </c>
    </row>
    <row r="90" spans="1:17" ht="14.4" customHeight="1" x14ac:dyDescent="0.3">
      <c r="A90" s="611" t="s">
        <v>1544</v>
      </c>
      <c r="B90" s="612" t="s">
        <v>1545</v>
      </c>
      <c r="C90" s="612" t="s">
        <v>1331</v>
      </c>
      <c r="D90" s="612" t="s">
        <v>1674</v>
      </c>
      <c r="E90" s="612" t="s">
        <v>1675</v>
      </c>
      <c r="F90" s="615"/>
      <c r="G90" s="615"/>
      <c r="H90" s="615"/>
      <c r="I90" s="615"/>
      <c r="J90" s="615"/>
      <c r="K90" s="615"/>
      <c r="L90" s="615"/>
      <c r="M90" s="615"/>
      <c r="N90" s="615">
        <v>1</v>
      </c>
      <c r="O90" s="615">
        <v>264</v>
      </c>
      <c r="P90" s="628"/>
      <c r="Q90" s="616">
        <v>264</v>
      </c>
    </row>
    <row r="91" spans="1:17" ht="14.4" customHeight="1" x14ac:dyDescent="0.3">
      <c r="A91" s="611" t="s">
        <v>1544</v>
      </c>
      <c r="B91" s="612" t="s">
        <v>1545</v>
      </c>
      <c r="C91" s="612" t="s">
        <v>1331</v>
      </c>
      <c r="D91" s="612" t="s">
        <v>1676</v>
      </c>
      <c r="E91" s="612" t="s">
        <v>1677</v>
      </c>
      <c r="F91" s="615">
        <v>4</v>
      </c>
      <c r="G91" s="615">
        <v>92</v>
      </c>
      <c r="H91" s="615">
        <v>1</v>
      </c>
      <c r="I91" s="615">
        <v>23</v>
      </c>
      <c r="J91" s="615">
        <v>1</v>
      </c>
      <c r="K91" s="615">
        <v>23</v>
      </c>
      <c r="L91" s="615">
        <v>0.25</v>
      </c>
      <c r="M91" s="615">
        <v>23</v>
      </c>
      <c r="N91" s="615">
        <v>1</v>
      </c>
      <c r="O91" s="615">
        <v>23</v>
      </c>
      <c r="P91" s="628">
        <v>0.25</v>
      </c>
      <c r="Q91" s="616">
        <v>23</v>
      </c>
    </row>
    <row r="92" spans="1:17" ht="14.4" customHeight="1" x14ac:dyDescent="0.3">
      <c r="A92" s="611" t="s">
        <v>1544</v>
      </c>
      <c r="B92" s="612" t="s">
        <v>1545</v>
      </c>
      <c r="C92" s="612" t="s">
        <v>1331</v>
      </c>
      <c r="D92" s="612" t="s">
        <v>1678</v>
      </c>
      <c r="E92" s="612" t="s">
        <v>1679</v>
      </c>
      <c r="F92" s="615">
        <v>1</v>
      </c>
      <c r="G92" s="615">
        <v>291</v>
      </c>
      <c r="H92" s="615">
        <v>1</v>
      </c>
      <c r="I92" s="615">
        <v>291</v>
      </c>
      <c r="J92" s="615"/>
      <c r="K92" s="615"/>
      <c r="L92" s="615"/>
      <c r="M92" s="615"/>
      <c r="N92" s="615"/>
      <c r="O92" s="615"/>
      <c r="P92" s="628"/>
      <c r="Q92" s="616"/>
    </row>
    <row r="93" spans="1:17" ht="14.4" customHeight="1" x14ac:dyDescent="0.3">
      <c r="A93" s="611" t="s">
        <v>1544</v>
      </c>
      <c r="B93" s="612" t="s">
        <v>1545</v>
      </c>
      <c r="C93" s="612" t="s">
        <v>1331</v>
      </c>
      <c r="D93" s="612" t="s">
        <v>1680</v>
      </c>
      <c r="E93" s="612" t="s">
        <v>1681</v>
      </c>
      <c r="F93" s="615"/>
      <c r="G93" s="615"/>
      <c r="H93" s="615"/>
      <c r="I93" s="615"/>
      <c r="J93" s="615"/>
      <c r="K93" s="615"/>
      <c r="L93" s="615"/>
      <c r="M93" s="615"/>
      <c r="N93" s="615">
        <v>1</v>
      </c>
      <c r="O93" s="615">
        <v>371</v>
      </c>
      <c r="P93" s="628"/>
      <c r="Q93" s="616">
        <v>371</v>
      </c>
    </row>
    <row r="94" spans="1:17" ht="14.4" customHeight="1" x14ac:dyDescent="0.3">
      <c r="A94" s="611" t="s">
        <v>1544</v>
      </c>
      <c r="B94" s="612" t="s">
        <v>1545</v>
      </c>
      <c r="C94" s="612" t="s">
        <v>1331</v>
      </c>
      <c r="D94" s="612" t="s">
        <v>1682</v>
      </c>
      <c r="E94" s="612" t="s">
        <v>1683</v>
      </c>
      <c r="F94" s="615">
        <v>9</v>
      </c>
      <c r="G94" s="615">
        <v>405</v>
      </c>
      <c r="H94" s="615">
        <v>1</v>
      </c>
      <c r="I94" s="615">
        <v>45</v>
      </c>
      <c r="J94" s="615">
        <v>4</v>
      </c>
      <c r="K94" s="615">
        <v>180</v>
      </c>
      <c r="L94" s="615">
        <v>0.44444444444444442</v>
      </c>
      <c r="M94" s="615">
        <v>45</v>
      </c>
      <c r="N94" s="615">
        <v>2</v>
      </c>
      <c r="O94" s="615">
        <v>90</v>
      </c>
      <c r="P94" s="628">
        <v>0.22222222222222221</v>
      </c>
      <c r="Q94" s="616">
        <v>45</v>
      </c>
    </row>
    <row r="95" spans="1:17" ht="14.4" customHeight="1" x14ac:dyDescent="0.3">
      <c r="A95" s="611" t="s">
        <v>1544</v>
      </c>
      <c r="B95" s="612" t="s">
        <v>1545</v>
      </c>
      <c r="C95" s="612" t="s">
        <v>1331</v>
      </c>
      <c r="D95" s="612" t="s">
        <v>1684</v>
      </c>
      <c r="E95" s="612" t="s">
        <v>1583</v>
      </c>
      <c r="F95" s="615">
        <v>3</v>
      </c>
      <c r="G95" s="615">
        <v>555</v>
      </c>
      <c r="H95" s="615">
        <v>1</v>
      </c>
      <c r="I95" s="615">
        <v>185</v>
      </c>
      <c r="J95" s="615"/>
      <c r="K95" s="615"/>
      <c r="L95" s="615"/>
      <c r="M95" s="615"/>
      <c r="N95" s="615"/>
      <c r="O95" s="615"/>
      <c r="P95" s="628"/>
      <c r="Q95" s="616"/>
    </row>
    <row r="96" spans="1:17" ht="14.4" customHeight="1" x14ac:dyDescent="0.3">
      <c r="A96" s="611" t="s">
        <v>1544</v>
      </c>
      <c r="B96" s="612" t="s">
        <v>1545</v>
      </c>
      <c r="C96" s="612" t="s">
        <v>1331</v>
      </c>
      <c r="D96" s="612" t="s">
        <v>1685</v>
      </c>
      <c r="E96" s="612" t="s">
        <v>1686</v>
      </c>
      <c r="F96" s="615"/>
      <c r="G96" s="615"/>
      <c r="H96" s="615"/>
      <c r="I96" s="615"/>
      <c r="J96" s="615">
        <v>1</v>
      </c>
      <c r="K96" s="615">
        <v>145</v>
      </c>
      <c r="L96" s="615"/>
      <c r="M96" s="615">
        <v>145</v>
      </c>
      <c r="N96" s="615"/>
      <c r="O96" s="615"/>
      <c r="P96" s="628"/>
      <c r="Q96" s="616"/>
    </row>
    <row r="97" spans="1:17" ht="14.4" customHeight="1" x14ac:dyDescent="0.3">
      <c r="A97" s="611" t="s">
        <v>1544</v>
      </c>
      <c r="B97" s="612" t="s">
        <v>1545</v>
      </c>
      <c r="C97" s="612" t="s">
        <v>1331</v>
      </c>
      <c r="D97" s="612" t="s">
        <v>1687</v>
      </c>
      <c r="E97" s="612" t="s">
        <v>1688</v>
      </c>
      <c r="F97" s="615"/>
      <c r="G97" s="615"/>
      <c r="H97" s="615"/>
      <c r="I97" s="615"/>
      <c r="J97" s="615">
        <v>65</v>
      </c>
      <c r="K97" s="615">
        <v>2990</v>
      </c>
      <c r="L97" s="615"/>
      <c r="M97" s="615">
        <v>46</v>
      </c>
      <c r="N97" s="615">
        <v>14</v>
      </c>
      <c r="O97" s="615">
        <v>644</v>
      </c>
      <c r="P97" s="628"/>
      <c r="Q97" s="616">
        <v>46</v>
      </c>
    </row>
    <row r="98" spans="1:17" ht="14.4" customHeight="1" x14ac:dyDescent="0.3">
      <c r="A98" s="611" t="s">
        <v>1544</v>
      </c>
      <c r="B98" s="612" t="s">
        <v>1545</v>
      </c>
      <c r="C98" s="612" t="s">
        <v>1331</v>
      </c>
      <c r="D98" s="612" t="s">
        <v>1689</v>
      </c>
      <c r="E98" s="612" t="s">
        <v>1690</v>
      </c>
      <c r="F98" s="615"/>
      <c r="G98" s="615"/>
      <c r="H98" s="615"/>
      <c r="I98" s="615"/>
      <c r="J98" s="615">
        <v>1</v>
      </c>
      <c r="K98" s="615">
        <v>30</v>
      </c>
      <c r="L98" s="615"/>
      <c r="M98" s="615">
        <v>30</v>
      </c>
      <c r="N98" s="615"/>
      <c r="O98" s="615"/>
      <c r="P98" s="628"/>
      <c r="Q98" s="616"/>
    </row>
    <row r="99" spans="1:17" ht="14.4" customHeight="1" x14ac:dyDescent="0.3">
      <c r="A99" s="611" t="s">
        <v>1544</v>
      </c>
      <c r="B99" s="612" t="s">
        <v>1545</v>
      </c>
      <c r="C99" s="612" t="s">
        <v>1331</v>
      </c>
      <c r="D99" s="612" t="s">
        <v>1691</v>
      </c>
      <c r="E99" s="612" t="s">
        <v>1692</v>
      </c>
      <c r="F99" s="615"/>
      <c r="G99" s="615"/>
      <c r="H99" s="615"/>
      <c r="I99" s="615"/>
      <c r="J99" s="615"/>
      <c r="K99" s="615"/>
      <c r="L99" s="615"/>
      <c r="M99" s="615"/>
      <c r="N99" s="615">
        <v>1</v>
      </c>
      <c r="O99" s="615">
        <v>292</v>
      </c>
      <c r="P99" s="628"/>
      <c r="Q99" s="616">
        <v>292</v>
      </c>
    </row>
    <row r="100" spans="1:17" ht="14.4" customHeight="1" x14ac:dyDescent="0.3">
      <c r="A100" s="611" t="s">
        <v>1544</v>
      </c>
      <c r="B100" s="612" t="s">
        <v>1693</v>
      </c>
      <c r="C100" s="612" t="s">
        <v>1331</v>
      </c>
      <c r="D100" s="612" t="s">
        <v>1694</v>
      </c>
      <c r="E100" s="612" t="s">
        <v>1695</v>
      </c>
      <c r="F100" s="615">
        <v>83</v>
      </c>
      <c r="G100" s="615">
        <v>85905</v>
      </c>
      <c r="H100" s="615">
        <v>1</v>
      </c>
      <c r="I100" s="615">
        <v>1035</v>
      </c>
      <c r="J100" s="615">
        <v>64</v>
      </c>
      <c r="K100" s="615">
        <v>66240</v>
      </c>
      <c r="L100" s="615">
        <v>0.77108433734939763</v>
      </c>
      <c r="M100" s="615">
        <v>1035</v>
      </c>
      <c r="N100" s="615">
        <v>81</v>
      </c>
      <c r="O100" s="615">
        <v>83997</v>
      </c>
      <c r="P100" s="628">
        <v>0.97778941854374013</v>
      </c>
      <c r="Q100" s="616">
        <v>1037</v>
      </c>
    </row>
    <row r="101" spans="1:17" ht="14.4" customHeight="1" x14ac:dyDescent="0.3">
      <c r="A101" s="611" t="s">
        <v>1696</v>
      </c>
      <c r="B101" s="612" t="s">
        <v>1697</v>
      </c>
      <c r="C101" s="612" t="s">
        <v>1314</v>
      </c>
      <c r="D101" s="612" t="s">
        <v>1698</v>
      </c>
      <c r="E101" s="612" t="s">
        <v>1699</v>
      </c>
      <c r="F101" s="615"/>
      <c r="G101" s="615"/>
      <c r="H101" s="615"/>
      <c r="I101" s="615"/>
      <c r="J101" s="615"/>
      <c r="K101" s="615"/>
      <c r="L101" s="615"/>
      <c r="M101" s="615"/>
      <c r="N101" s="615">
        <v>0.01</v>
      </c>
      <c r="O101" s="615">
        <v>49.43</v>
      </c>
      <c r="P101" s="628"/>
      <c r="Q101" s="616">
        <v>4943</v>
      </c>
    </row>
    <row r="102" spans="1:17" ht="14.4" customHeight="1" x14ac:dyDescent="0.3">
      <c r="A102" s="611" t="s">
        <v>1696</v>
      </c>
      <c r="B102" s="612" t="s">
        <v>1697</v>
      </c>
      <c r="C102" s="612" t="s">
        <v>1314</v>
      </c>
      <c r="D102" s="612" t="s">
        <v>1700</v>
      </c>
      <c r="E102" s="612" t="s">
        <v>1699</v>
      </c>
      <c r="F102" s="615"/>
      <c r="G102" s="615"/>
      <c r="H102" s="615"/>
      <c r="I102" s="615"/>
      <c r="J102" s="615">
        <v>0.03</v>
      </c>
      <c r="K102" s="615">
        <v>195.19</v>
      </c>
      <c r="L102" s="615"/>
      <c r="M102" s="615">
        <v>6506.3333333333339</v>
      </c>
      <c r="N102" s="615"/>
      <c r="O102" s="615"/>
      <c r="P102" s="628"/>
      <c r="Q102" s="616"/>
    </row>
    <row r="103" spans="1:17" ht="14.4" customHeight="1" x14ac:dyDescent="0.3">
      <c r="A103" s="611" t="s">
        <v>1696</v>
      </c>
      <c r="B103" s="612" t="s">
        <v>1697</v>
      </c>
      <c r="C103" s="612" t="s">
        <v>1314</v>
      </c>
      <c r="D103" s="612" t="s">
        <v>1701</v>
      </c>
      <c r="E103" s="612" t="s">
        <v>1363</v>
      </c>
      <c r="F103" s="615"/>
      <c r="G103" s="615"/>
      <c r="H103" s="615"/>
      <c r="I103" s="615"/>
      <c r="J103" s="615">
        <v>0.01</v>
      </c>
      <c r="K103" s="615">
        <v>57.61</v>
      </c>
      <c r="L103" s="615"/>
      <c r="M103" s="615">
        <v>5761</v>
      </c>
      <c r="N103" s="615"/>
      <c r="O103" s="615"/>
      <c r="P103" s="628"/>
      <c r="Q103" s="616"/>
    </row>
    <row r="104" spans="1:17" ht="14.4" customHeight="1" x14ac:dyDescent="0.3">
      <c r="A104" s="611" t="s">
        <v>1696</v>
      </c>
      <c r="B104" s="612" t="s">
        <v>1697</v>
      </c>
      <c r="C104" s="612" t="s">
        <v>1314</v>
      </c>
      <c r="D104" s="612" t="s">
        <v>1702</v>
      </c>
      <c r="E104" s="612" t="s">
        <v>1703</v>
      </c>
      <c r="F104" s="615"/>
      <c r="G104" s="615"/>
      <c r="H104" s="615"/>
      <c r="I104" s="615"/>
      <c r="J104" s="615"/>
      <c r="K104" s="615"/>
      <c r="L104" s="615"/>
      <c r="M104" s="615"/>
      <c r="N104" s="615">
        <v>0.02</v>
      </c>
      <c r="O104" s="615">
        <v>88.54</v>
      </c>
      <c r="P104" s="628"/>
      <c r="Q104" s="616">
        <v>4427</v>
      </c>
    </row>
    <row r="105" spans="1:17" ht="14.4" customHeight="1" x14ac:dyDescent="0.3">
      <c r="A105" s="611" t="s">
        <v>1696</v>
      </c>
      <c r="B105" s="612" t="s">
        <v>1697</v>
      </c>
      <c r="C105" s="612" t="s">
        <v>1314</v>
      </c>
      <c r="D105" s="612" t="s">
        <v>1704</v>
      </c>
      <c r="E105" s="612" t="s">
        <v>1703</v>
      </c>
      <c r="F105" s="615">
        <v>0.01</v>
      </c>
      <c r="G105" s="615">
        <v>109.21</v>
      </c>
      <c r="H105" s="615">
        <v>1</v>
      </c>
      <c r="I105" s="615">
        <v>10921</v>
      </c>
      <c r="J105" s="615"/>
      <c r="K105" s="615"/>
      <c r="L105" s="615"/>
      <c r="M105" s="615"/>
      <c r="N105" s="615">
        <v>0.08</v>
      </c>
      <c r="O105" s="615">
        <v>708.32</v>
      </c>
      <c r="P105" s="628">
        <v>6.4858529438696095</v>
      </c>
      <c r="Q105" s="616">
        <v>8854</v>
      </c>
    </row>
    <row r="106" spans="1:17" ht="14.4" customHeight="1" x14ac:dyDescent="0.3">
      <c r="A106" s="611" t="s">
        <v>1696</v>
      </c>
      <c r="B106" s="612" t="s">
        <v>1697</v>
      </c>
      <c r="C106" s="612" t="s">
        <v>1314</v>
      </c>
      <c r="D106" s="612" t="s">
        <v>1705</v>
      </c>
      <c r="E106" s="612" t="s">
        <v>1706</v>
      </c>
      <c r="F106" s="615">
        <v>0.15000000000000002</v>
      </c>
      <c r="G106" s="615">
        <v>293.41000000000003</v>
      </c>
      <c r="H106" s="615">
        <v>1</v>
      </c>
      <c r="I106" s="615">
        <v>1956.0666666666666</v>
      </c>
      <c r="J106" s="615"/>
      <c r="K106" s="615"/>
      <c r="L106" s="615"/>
      <c r="M106" s="615"/>
      <c r="N106" s="615">
        <v>0.2</v>
      </c>
      <c r="O106" s="615">
        <v>389.86</v>
      </c>
      <c r="P106" s="628">
        <v>1.3287209024913942</v>
      </c>
      <c r="Q106" s="616">
        <v>1949.3</v>
      </c>
    </row>
    <row r="107" spans="1:17" ht="14.4" customHeight="1" x14ac:dyDescent="0.3">
      <c r="A107" s="611" t="s">
        <v>1696</v>
      </c>
      <c r="B107" s="612" t="s">
        <v>1697</v>
      </c>
      <c r="C107" s="612" t="s">
        <v>1314</v>
      </c>
      <c r="D107" s="612" t="s">
        <v>1707</v>
      </c>
      <c r="E107" s="612" t="s">
        <v>1703</v>
      </c>
      <c r="F107" s="615"/>
      <c r="G107" s="615"/>
      <c r="H107" s="615"/>
      <c r="I107" s="615"/>
      <c r="J107" s="615"/>
      <c r="K107" s="615"/>
      <c r="L107" s="615"/>
      <c r="M107" s="615"/>
      <c r="N107" s="615">
        <v>0.15</v>
      </c>
      <c r="O107" s="615">
        <v>265.62</v>
      </c>
      <c r="P107" s="628"/>
      <c r="Q107" s="616">
        <v>1770.8000000000002</v>
      </c>
    </row>
    <row r="108" spans="1:17" ht="14.4" customHeight="1" x14ac:dyDescent="0.3">
      <c r="A108" s="611" t="s">
        <v>1696</v>
      </c>
      <c r="B108" s="612" t="s">
        <v>1697</v>
      </c>
      <c r="C108" s="612" t="s">
        <v>1331</v>
      </c>
      <c r="D108" s="612" t="s">
        <v>1708</v>
      </c>
      <c r="E108" s="612" t="s">
        <v>1709</v>
      </c>
      <c r="F108" s="615">
        <v>9</v>
      </c>
      <c r="G108" s="615">
        <v>1953</v>
      </c>
      <c r="H108" s="615">
        <v>1</v>
      </c>
      <c r="I108" s="615">
        <v>217</v>
      </c>
      <c r="J108" s="615">
        <v>14</v>
      </c>
      <c r="K108" s="615">
        <v>3038</v>
      </c>
      <c r="L108" s="615">
        <v>1.5555555555555556</v>
      </c>
      <c r="M108" s="615">
        <v>217</v>
      </c>
      <c r="N108" s="615">
        <v>5</v>
      </c>
      <c r="O108" s="615">
        <v>1095</v>
      </c>
      <c r="P108" s="628">
        <v>0.5606758832565284</v>
      </c>
      <c r="Q108" s="616">
        <v>219</v>
      </c>
    </row>
    <row r="109" spans="1:17" ht="14.4" customHeight="1" x14ac:dyDescent="0.3">
      <c r="A109" s="611" t="s">
        <v>1696</v>
      </c>
      <c r="B109" s="612" t="s">
        <v>1697</v>
      </c>
      <c r="C109" s="612" t="s">
        <v>1331</v>
      </c>
      <c r="D109" s="612" t="s">
        <v>1710</v>
      </c>
      <c r="E109" s="612" t="s">
        <v>1711</v>
      </c>
      <c r="F109" s="615">
        <v>4</v>
      </c>
      <c r="G109" s="615">
        <v>876</v>
      </c>
      <c r="H109" s="615">
        <v>1</v>
      </c>
      <c r="I109" s="615">
        <v>219</v>
      </c>
      <c r="J109" s="615">
        <v>4</v>
      </c>
      <c r="K109" s="615">
        <v>876</v>
      </c>
      <c r="L109" s="615">
        <v>1</v>
      </c>
      <c r="M109" s="615">
        <v>219</v>
      </c>
      <c r="N109" s="615">
        <v>12</v>
      </c>
      <c r="O109" s="615">
        <v>2652</v>
      </c>
      <c r="P109" s="628">
        <v>3.0273972602739727</v>
      </c>
      <c r="Q109" s="616">
        <v>221</v>
      </c>
    </row>
    <row r="110" spans="1:17" ht="14.4" customHeight="1" x14ac:dyDescent="0.3">
      <c r="A110" s="611" t="s">
        <v>1696</v>
      </c>
      <c r="B110" s="612" t="s">
        <v>1697</v>
      </c>
      <c r="C110" s="612" t="s">
        <v>1331</v>
      </c>
      <c r="D110" s="612" t="s">
        <v>1712</v>
      </c>
      <c r="E110" s="612" t="s">
        <v>1713</v>
      </c>
      <c r="F110" s="615">
        <v>1</v>
      </c>
      <c r="G110" s="615">
        <v>449</v>
      </c>
      <c r="H110" s="615">
        <v>1</v>
      </c>
      <c r="I110" s="615">
        <v>449</v>
      </c>
      <c r="J110" s="615"/>
      <c r="K110" s="615"/>
      <c r="L110" s="615"/>
      <c r="M110" s="615"/>
      <c r="N110" s="615"/>
      <c r="O110" s="615"/>
      <c r="P110" s="628"/>
      <c r="Q110" s="616"/>
    </row>
    <row r="111" spans="1:17" ht="14.4" customHeight="1" x14ac:dyDescent="0.3">
      <c r="A111" s="611" t="s">
        <v>1696</v>
      </c>
      <c r="B111" s="612" t="s">
        <v>1697</v>
      </c>
      <c r="C111" s="612" t="s">
        <v>1331</v>
      </c>
      <c r="D111" s="612" t="s">
        <v>1714</v>
      </c>
      <c r="E111" s="612" t="s">
        <v>1715</v>
      </c>
      <c r="F111" s="615">
        <v>9</v>
      </c>
      <c r="G111" s="615">
        <v>45612</v>
      </c>
      <c r="H111" s="615">
        <v>1</v>
      </c>
      <c r="I111" s="615">
        <v>5068</v>
      </c>
      <c r="J111" s="615">
        <v>1</v>
      </c>
      <c r="K111" s="615">
        <v>5068</v>
      </c>
      <c r="L111" s="615">
        <v>0.1111111111111111</v>
      </c>
      <c r="M111" s="615">
        <v>5068</v>
      </c>
      <c r="N111" s="615">
        <v>1</v>
      </c>
      <c r="O111" s="615">
        <v>5076</v>
      </c>
      <c r="P111" s="628">
        <v>0.11128650355169692</v>
      </c>
      <c r="Q111" s="616">
        <v>5076</v>
      </c>
    </row>
    <row r="112" spans="1:17" ht="14.4" customHeight="1" x14ac:dyDescent="0.3">
      <c r="A112" s="611" t="s">
        <v>1696</v>
      </c>
      <c r="B112" s="612" t="s">
        <v>1697</v>
      </c>
      <c r="C112" s="612" t="s">
        <v>1331</v>
      </c>
      <c r="D112" s="612" t="s">
        <v>1716</v>
      </c>
      <c r="E112" s="612" t="s">
        <v>1717</v>
      </c>
      <c r="F112" s="615">
        <v>1</v>
      </c>
      <c r="G112" s="615">
        <v>5508</v>
      </c>
      <c r="H112" s="615">
        <v>1</v>
      </c>
      <c r="I112" s="615">
        <v>5508</v>
      </c>
      <c r="J112" s="615"/>
      <c r="K112" s="615"/>
      <c r="L112" s="615"/>
      <c r="M112" s="615"/>
      <c r="N112" s="615"/>
      <c r="O112" s="615"/>
      <c r="P112" s="628"/>
      <c r="Q112" s="616"/>
    </row>
    <row r="113" spans="1:17" ht="14.4" customHeight="1" x14ac:dyDescent="0.3">
      <c r="A113" s="611" t="s">
        <v>1696</v>
      </c>
      <c r="B113" s="612" t="s">
        <v>1697</v>
      </c>
      <c r="C113" s="612" t="s">
        <v>1331</v>
      </c>
      <c r="D113" s="612" t="s">
        <v>1718</v>
      </c>
      <c r="E113" s="612" t="s">
        <v>1719</v>
      </c>
      <c r="F113" s="615">
        <v>61</v>
      </c>
      <c r="G113" s="615">
        <v>10553</v>
      </c>
      <c r="H113" s="615">
        <v>1</v>
      </c>
      <c r="I113" s="615">
        <v>173</v>
      </c>
      <c r="J113" s="615">
        <v>72</v>
      </c>
      <c r="K113" s="615">
        <v>12456</v>
      </c>
      <c r="L113" s="615">
        <v>1.180327868852459</v>
      </c>
      <c r="M113" s="615">
        <v>173</v>
      </c>
      <c r="N113" s="615">
        <v>44</v>
      </c>
      <c r="O113" s="615">
        <v>7700</v>
      </c>
      <c r="P113" s="628">
        <v>0.72965033639723298</v>
      </c>
      <c r="Q113" s="616">
        <v>175</v>
      </c>
    </row>
    <row r="114" spans="1:17" ht="14.4" customHeight="1" x14ac:dyDescent="0.3">
      <c r="A114" s="611" t="s">
        <v>1696</v>
      </c>
      <c r="B114" s="612" t="s">
        <v>1697</v>
      </c>
      <c r="C114" s="612" t="s">
        <v>1331</v>
      </c>
      <c r="D114" s="612" t="s">
        <v>1720</v>
      </c>
      <c r="E114" s="612" t="s">
        <v>1721</v>
      </c>
      <c r="F114" s="615">
        <v>6</v>
      </c>
      <c r="G114" s="615">
        <v>16152</v>
      </c>
      <c r="H114" s="615">
        <v>1</v>
      </c>
      <c r="I114" s="615">
        <v>2692</v>
      </c>
      <c r="J114" s="615"/>
      <c r="K114" s="615"/>
      <c r="L114" s="615"/>
      <c r="M114" s="615"/>
      <c r="N114" s="615">
        <v>1</v>
      </c>
      <c r="O114" s="615">
        <v>2696</v>
      </c>
      <c r="P114" s="628">
        <v>0.16691431401684001</v>
      </c>
      <c r="Q114" s="616">
        <v>2696</v>
      </c>
    </row>
    <row r="115" spans="1:17" ht="14.4" customHeight="1" x14ac:dyDescent="0.3">
      <c r="A115" s="611" t="s">
        <v>1696</v>
      </c>
      <c r="B115" s="612" t="s">
        <v>1697</v>
      </c>
      <c r="C115" s="612" t="s">
        <v>1331</v>
      </c>
      <c r="D115" s="612" t="s">
        <v>1722</v>
      </c>
      <c r="E115" s="612" t="s">
        <v>1723</v>
      </c>
      <c r="F115" s="615">
        <v>1</v>
      </c>
      <c r="G115" s="615">
        <v>658</v>
      </c>
      <c r="H115" s="615">
        <v>1</v>
      </c>
      <c r="I115" s="615">
        <v>658</v>
      </c>
      <c r="J115" s="615">
        <v>1</v>
      </c>
      <c r="K115" s="615">
        <v>658</v>
      </c>
      <c r="L115" s="615">
        <v>1</v>
      </c>
      <c r="M115" s="615">
        <v>658</v>
      </c>
      <c r="N115" s="615">
        <v>5</v>
      </c>
      <c r="O115" s="615">
        <v>3310</v>
      </c>
      <c r="P115" s="628">
        <v>5.0303951367781155</v>
      </c>
      <c r="Q115" s="616">
        <v>662</v>
      </c>
    </row>
    <row r="116" spans="1:17" ht="14.4" customHeight="1" x14ac:dyDescent="0.3">
      <c r="A116" s="611" t="s">
        <v>1696</v>
      </c>
      <c r="B116" s="612" t="s">
        <v>1697</v>
      </c>
      <c r="C116" s="612" t="s">
        <v>1331</v>
      </c>
      <c r="D116" s="612" t="s">
        <v>1724</v>
      </c>
      <c r="E116" s="612" t="s">
        <v>1725</v>
      </c>
      <c r="F116" s="615">
        <v>1</v>
      </c>
      <c r="G116" s="615">
        <v>555</v>
      </c>
      <c r="H116" s="615">
        <v>1</v>
      </c>
      <c r="I116" s="615">
        <v>555</v>
      </c>
      <c r="J116" s="615"/>
      <c r="K116" s="615"/>
      <c r="L116" s="615"/>
      <c r="M116" s="615"/>
      <c r="N116" s="615"/>
      <c r="O116" s="615"/>
      <c r="P116" s="628"/>
      <c r="Q116" s="616"/>
    </row>
    <row r="117" spans="1:17" ht="14.4" customHeight="1" x14ac:dyDescent="0.3">
      <c r="A117" s="611" t="s">
        <v>1696</v>
      </c>
      <c r="B117" s="612" t="s">
        <v>1697</v>
      </c>
      <c r="C117" s="612" t="s">
        <v>1331</v>
      </c>
      <c r="D117" s="612" t="s">
        <v>1726</v>
      </c>
      <c r="E117" s="612" t="s">
        <v>1727</v>
      </c>
      <c r="F117" s="615"/>
      <c r="G117" s="615"/>
      <c r="H117" s="615"/>
      <c r="I117" s="615"/>
      <c r="J117" s="615">
        <v>1</v>
      </c>
      <c r="K117" s="615">
        <v>193</v>
      </c>
      <c r="L117" s="615"/>
      <c r="M117" s="615">
        <v>193</v>
      </c>
      <c r="N117" s="615"/>
      <c r="O117" s="615"/>
      <c r="P117" s="628"/>
      <c r="Q117" s="616"/>
    </row>
    <row r="118" spans="1:17" ht="14.4" customHeight="1" x14ac:dyDescent="0.3">
      <c r="A118" s="611" t="s">
        <v>1696</v>
      </c>
      <c r="B118" s="612" t="s">
        <v>1697</v>
      </c>
      <c r="C118" s="612" t="s">
        <v>1331</v>
      </c>
      <c r="D118" s="612" t="s">
        <v>1728</v>
      </c>
      <c r="E118" s="612" t="s">
        <v>1729</v>
      </c>
      <c r="F118" s="615"/>
      <c r="G118" s="615"/>
      <c r="H118" s="615"/>
      <c r="I118" s="615"/>
      <c r="J118" s="615">
        <v>1</v>
      </c>
      <c r="K118" s="615">
        <v>415</v>
      </c>
      <c r="L118" s="615"/>
      <c r="M118" s="615">
        <v>415</v>
      </c>
      <c r="N118" s="615"/>
      <c r="O118" s="615"/>
      <c r="P118" s="628"/>
      <c r="Q118" s="616"/>
    </row>
    <row r="119" spans="1:17" ht="14.4" customHeight="1" x14ac:dyDescent="0.3">
      <c r="A119" s="611" t="s">
        <v>1696</v>
      </c>
      <c r="B119" s="612" t="s">
        <v>1697</v>
      </c>
      <c r="C119" s="612" t="s">
        <v>1331</v>
      </c>
      <c r="D119" s="612" t="s">
        <v>1730</v>
      </c>
      <c r="E119" s="612" t="s">
        <v>1731</v>
      </c>
      <c r="F119" s="615">
        <v>1</v>
      </c>
      <c r="G119" s="615">
        <v>912</v>
      </c>
      <c r="H119" s="615">
        <v>1</v>
      </c>
      <c r="I119" s="615">
        <v>912</v>
      </c>
      <c r="J119" s="615"/>
      <c r="K119" s="615"/>
      <c r="L119" s="615"/>
      <c r="M119" s="615"/>
      <c r="N119" s="615">
        <v>3</v>
      </c>
      <c r="O119" s="615">
        <v>2751</v>
      </c>
      <c r="P119" s="628">
        <v>3.0164473684210527</v>
      </c>
      <c r="Q119" s="616">
        <v>917</v>
      </c>
    </row>
    <row r="120" spans="1:17" ht="14.4" customHeight="1" x14ac:dyDescent="0.3">
      <c r="A120" s="611" t="s">
        <v>1732</v>
      </c>
      <c r="B120" s="612" t="s">
        <v>1733</v>
      </c>
      <c r="C120" s="612" t="s">
        <v>1331</v>
      </c>
      <c r="D120" s="612" t="s">
        <v>1734</v>
      </c>
      <c r="E120" s="612" t="s">
        <v>1735</v>
      </c>
      <c r="F120" s="615">
        <v>4</v>
      </c>
      <c r="G120" s="615">
        <v>812</v>
      </c>
      <c r="H120" s="615">
        <v>1</v>
      </c>
      <c r="I120" s="615">
        <v>203</v>
      </c>
      <c r="J120" s="615">
        <v>5</v>
      </c>
      <c r="K120" s="615">
        <v>1015</v>
      </c>
      <c r="L120" s="615">
        <v>1.25</v>
      </c>
      <c r="M120" s="615">
        <v>203</v>
      </c>
      <c r="N120" s="615">
        <v>3</v>
      </c>
      <c r="O120" s="615">
        <v>618</v>
      </c>
      <c r="P120" s="628">
        <v>0.76108374384236455</v>
      </c>
      <c r="Q120" s="616">
        <v>206</v>
      </c>
    </row>
    <row r="121" spans="1:17" ht="14.4" customHeight="1" x14ac:dyDescent="0.3">
      <c r="A121" s="611" t="s">
        <v>1732</v>
      </c>
      <c r="B121" s="612" t="s">
        <v>1733</v>
      </c>
      <c r="C121" s="612" t="s">
        <v>1331</v>
      </c>
      <c r="D121" s="612" t="s">
        <v>1736</v>
      </c>
      <c r="E121" s="612" t="s">
        <v>1737</v>
      </c>
      <c r="F121" s="615">
        <v>7</v>
      </c>
      <c r="G121" s="615">
        <v>2044</v>
      </c>
      <c r="H121" s="615">
        <v>1</v>
      </c>
      <c r="I121" s="615">
        <v>292</v>
      </c>
      <c r="J121" s="615">
        <v>7</v>
      </c>
      <c r="K121" s="615">
        <v>2044</v>
      </c>
      <c r="L121" s="615">
        <v>1</v>
      </c>
      <c r="M121" s="615">
        <v>292</v>
      </c>
      <c r="N121" s="615">
        <v>6</v>
      </c>
      <c r="O121" s="615">
        <v>1770</v>
      </c>
      <c r="P121" s="628">
        <v>0.86594911937377694</v>
      </c>
      <c r="Q121" s="616">
        <v>295</v>
      </c>
    </row>
    <row r="122" spans="1:17" ht="14.4" customHeight="1" x14ac:dyDescent="0.3">
      <c r="A122" s="611" t="s">
        <v>1732</v>
      </c>
      <c r="B122" s="612" t="s">
        <v>1733</v>
      </c>
      <c r="C122" s="612" t="s">
        <v>1331</v>
      </c>
      <c r="D122" s="612" t="s">
        <v>1738</v>
      </c>
      <c r="E122" s="612" t="s">
        <v>1739</v>
      </c>
      <c r="F122" s="615">
        <v>6</v>
      </c>
      <c r="G122" s="615">
        <v>558</v>
      </c>
      <c r="H122" s="615">
        <v>1</v>
      </c>
      <c r="I122" s="615">
        <v>93</v>
      </c>
      <c r="J122" s="615"/>
      <c r="K122" s="615"/>
      <c r="L122" s="615"/>
      <c r="M122" s="615"/>
      <c r="N122" s="615"/>
      <c r="O122" s="615"/>
      <c r="P122" s="628"/>
      <c r="Q122" s="616"/>
    </row>
    <row r="123" spans="1:17" ht="14.4" customHeight="1" x14ac:dyDescent="0.3">
      <c r="A123" s="611" t="s">
        <v>1732</v>
      </c>
      <c r="B123" s="612" t="s">
        <v>1733</v>
      </c>
      <c r="C123" s="612" t="s">
        <v>1331</v>
      </c>
      <c r="D123" s="612" t="s">
        <v>1740</v>
      </c>
      <c r="E123" s="612" t="s">
        <v>1741</v>
      </c>
      <c r="F123" s="615">
        <v>1</v>
      </c>
      <c r="G123" s="615">
        <v>220</v>
      </c>
      <c r="H123" s="615">
        <v>1</v>
      </c>
      <c r="I123" s="615">
        <v>220</v>
      </c>
      <c r="J123" s="615">
        <v>1</v>
      </c>
      <c r="K123" s="615">
        <v>220</v>
      </c>
      <c r="L123" s="615">
        <v>1</v>
      </c>
      <c r="M123" s="615">
        <v>220</v>
      </c>
      <c r="N123" s="615"/>
      <c r="O123" s="615"/>
      <c r="P123" s="628"/>
      <c r="Q123" s="616"/>
    </row>
    <row r="124" spans="1:17" ht="14.4" customHeight="1" x14ac:dyDescent="0.3">
      <c r="A124" s="611" t="s">
        <v>1732</v>
      </c>
      <c r="B124" s="612" t="s">
        <v>1733</v>
      </c>
      <c r="C124" s="612" t="s">
        <v>1331</v>
      </c>
      <c r="D124" s="612" t="s">
        <v>1742</v>
      </c>
      <c r="E124" s="612" t="s">
        <v>1743</v>
      </c>
      <c r="F124" s="615">
        <v>10</v>
      </c>
      <c r="G124" s="615">
        <v>1340</v>
      </c>
      <c r="H124" s="615">
        <v>1</v>
      </c>
      <c r="I124" s="615">
        <v>134</v>
      </c>
      <c r="J124" s="615">
        <v>4</v>
      </c>
      <c r="K124" s="615">
        <v>536</v>
      </c>
      <c r="L124" s="615">
        <v>0.4</v>
      </c>
      <c r="M124" s="615">
        <v>134</v>
      </c>
      <c r="N124" s="615">
        <v>4</v>
      </c>
      <c r="O124" s="615">
        <v>540</v>
      </c>
      <c r="P124" s="628">
        <v>0.40298507462686567</v>
      </c>
      <c r="Q124" s="616">
        <v>135</v>
      </c>
    </row>
    <row r="125" spans="1:17" ht="14.4" customHeight="1" x14ac:dyDescent="0.3">
      <c r="A125" s="611" t="s">
        <v>1732</v>
      </c>
      <c r="B125" s="612" t="s">
        <v>1733</v>
      </c>
      <c r="C125" s="612" t="s">
        <v>1331</v>
      </c>
      <c r="D125" s="612" t="s">
        <v>1744</v>
      </c>
      <c r="E125" s="612" t="s">
        <v>1745</v>
      </c>
      <c r="F125" s="615">
        <v>5</v>
      </c>
      <c r="G125" s="615">
        <v>1400</v>
      </c>
      <c r="H125" s="615">
        <v>1</v>
      </c>
      <c r="I125" s="615">
        <v>280</v>
      </c>
      <c r="J125" s="615">
        <v>1</v>
      </c>
      <c r="K125" s="615">
        <v>280</v>
      </c>
      <c r="L125" s="615">
        <v>0.2</v>
      </c>
      <c r="M125" s="615">
        <v>280</v>
      </c>
      <c r="N125" s="615">
        <v>2</v>
      </c>
      <c r="O125" s="615">
        <v>570</v>
      </c>
      <c r="P125" s="628">
        <v>0.40714285714285714</v>
      </c>
      <c r="Q125" s="616">
        <v>285</v>
      </c>
    </row>
    <row r="126" spans="1:17" ht="14.4" customHeight="1" x14ac:dyDescent="0.3">
      <c r="A126" s="611" t="s">
        <v>1732</v>
      </c>
      <c r="B126" s="612" t="s">
        <v>1733</v>
      </c>
      <c r="C126" s="612" t="s">
        <v>1331</v>
      </c>
      <c r="D126" s="612" t="s">
        <v>1746</v>
      </c>
      <c r="E126" s="612" t="s">
        <v>1747</v>
      </c>
      <c r="F126" s="615">
        <v>8</v>
      </c>
      <c r="G126" s="615">
        <v>1272</v>
      </c>
      <c r="H126" s="615">
        <v>1</v>
      </c>
      <c r="I126" s="615">
        <v>159</v>
      </c>
      <c r="J126" s="615">
        <v>5</v>
      </c>
      <c r="K126" s="615">
        <v>795</v>
      </c>
      <c r="L126" s="615">
        <v>0.625</v>
      </c>
      <c r="M126" s="615">
        <v>159</v>
      </c>
      <c r="N126" s="615">
        <v>4</v>
      </c>
      <c r="O126" s="615">
        <v>644</v>
      </c>
      <c r="P126" s="628">
        <v>0.50628930817610063</v>
      </c>
      <c r="Q126" s="616">
        <v>161</v>
      </c>
    </row>
    <row r="127" spans="1:17" ht="14.4" customHeight="1" x14ac:dyDescent="0.3">
      <c r="A127" s="611" t="s">
        <v>1732</v>
      </c>
      <c r="B127" s="612" t="s">
        <v>1733</v>
      </c>
      <c r="C127" s="612" t="s">
        <v>1331</v>
      </c>
      <c r="D127" s="612" t="s">
        <v>1748</v>
      </c>
      <c r="E127" s="612" t="s">
        <v>1749</v>
      </c>
      <c r="F127" s="615"/>
      <c r="G127" s="615"/>
      <c r="H127" s="615"/>
      <c r="I127" s="615"/>
      <c r="J127" s="615">
        <v>1</v>
      </c>
      <c r="K127" s="615">
        <v>141</v>
      </c>
      <c r="L127" s="615"/>
      <c r="M127" s="615">
        <v>141</v>
      </c>
      <c r="N127" s="615"/>
      <c r="O127" s="615"/>
      <c r="P127" s="628"/>
      <c r="Q127" s="616"/>
    </row>
    <row r="128" spans="1:17" ht="14.4" customHeight="1" x14ac:dyDescent="0.3">
      <c r="A128" s="611" t="s">
        <v>1732</v>
      </c>
      <c r="B128" s="612" t="s">
        <v>1733</v>
      </c>
      <c r="C128" s="612" t="s">
        <v>1331</v>
      </c>
      <c r="D128" s="612" t="s">
        <v>1750</v>
      </c>
      <c r="E128" s="612" t="s">
        <v>1749</v>
      </c>
      <c r="F128" s="615">
        <v>10</v>
      </c>
      <c r="G128" s="615">
        <v>780</v>
      </c>
      <c r="H128" s="615">
        <v>1</v>
      </c>
      <c r="I128" s="615">
        <v>78</v>
      </c>
      <c r="J128" s="615">
        <v>4</v>
      </c>
      <c r="K128" s="615">
        <v>312</v>
      </c>
      <c r="L128" s="615">
        <v>0.4</v>
      </c>
      <c r="M128" s="615">
        <v>78</v>
      </c>
      <c r="N128" s="615">
        <v>4</v>
      </c>
      <c r="O128" s="615">
        <v>312</v>
      </c>
      <c r="P128" s="628">
        <v>0.4</v>
      </c>
      <c r="Q128" s="616">
        <v>78</v>
      </c>
    </row>
    <row r="129" spans="1:17" ht="14.4" customHeight="1" x14ac:dyDescent="0.3">
      <c r="A129" s="611" t="s">
        <v>1732</v>
      </c>
      <c r="B129" s="612" t="s">
        <v>1733</v>
      </c>
      <c r="C129" s="612" t="s">
        <v>1331</v>
      </c>
      <c r="D129" s="612" t="s">
        <v>1751</v>
      </c>
      <c r="E129" s="612" t="s">
        <v>1752</v>
      </c>
      <c r="F129" s="615"/>
      <c r="G129" s="615"/>
      <c r="H129" s="615"/>
      <c r="I129" s="615"/>
      <c r="J129" s="615">
        <v>1</v>
      </c>
      <c r="K129" s="615">
        <v>303</v>
      </c>
      <c r="L129" s="615"/>
      <c r="M129" s="615">
        <v>303</v>
      </c>
      <c r="N129" s="615"/>
      <c r="O129" s="615"/>
      <c r="P129" s="628"/>
      <c r="Q129" s="616"/>
    </row>
    <row r="130" spans="1:17" ht="14.4" customHeight="1" x14ac:dyDescent="0.3">
      <c r="A130" s="611" t="s">
        <v>1732</v>
      </c>
      <c r="B130" s="612" t="s">
        <v>1733</v>
      </c>
      <c r="C130" s="612" t="s">
        <v>1331</v>
      </c>
      <c r="D130" s="612" t="s">
        <v>1753</v>
      </c>
      <c r="E130" s="612" t="s">
        <v>1754</v>
      </c>
      <c r="F130" s="615">
        <v>336</v>
      </c>
      <c r="G130" s="615">
        <v>163296</v>
      </c>
      <c r="H130" s="615">
        <v>1</v>
      </c>
      <c r="I130" s="615">
        <v>486</v>
      </c>
      <c r="J130" s="615">
        <v>312</v>
      </c>
      <c r="K130" s="615">
        <v>151632</v>
      </c>
      <c r="L130" s="615">
        <v>0.9285714285714286</v>
      </c>
      <c r="M130" s="615">
        <v>486</v>
      </c>
      <c r="N130" s="615">
        <v>331</v>
      </c>
      <c r="O130" s="615">
        <v>161197</v>
      </c>
      <c r="P130" s="628">
        <v>0.98714604154418972</v>
      </c>
      <c r="Q130" s="616">
        <v>487</v>
      </c>
    </row>
    <row r="131" spans="1:17" ht="14.4" customHeight="1" x14ac:dyDescent="0.3">
      <c r="A131" s="611" t="s">
        <v>1732</v>
      </c>
      <c r="B131" s="612" t="s">
        <v>1733</v>
      </c>
      <c r="C131" s="612" t="s">
        <v>1331</v>
      </c>
      <c r="D131" s="612" t="s">
        <v>1755</v>
      </c>
      <c r="E131" s="612" t="s">
        <v>1756</v>
      </c>
      <c r="F131" s="615">
        <v>8</v>
      </c>
      <c r="G131" s="615">
        <v>1280</v>
      </c>
      <c r="H131" s="615">
        <v>1</v>
      </c>
      <c r="I131" s="615">
        <v>160</v>
      </c>
      <c r="J131" s="615">
        <v>4</v>
      </c>
      <c r="K131" s="615">
        <v>640</v>
      </c>
      <c r="L131" s="615">
        <v>0.5</v>
      </c>
      <c r="M131" s="615">
        <v>160</v>
      </c>
      <c r="N131" s="615">
        <v>4</v>
      </c>
      <c r="O131" s="615">
        <v>644</v>
      </c>
      <c r="P131" s="628">
        <v>0.50312500000000004</v>
      </c>
      <c r="Q131" s="616">
        <v>161</v>
      </c>
    </row>
    <row r="132" spans="1:17" ht="14.4" customHeight="1" x14ac:dyDescent="0.3">
      <c r="A132" s="611" t="s">
        <v>1732</v>
      </c>
      <c r="B132" s="612" t="s">
        <v>1733</v>
      </c>
      <c r="C132" s="612" t="s">
        <v>1331</v>
      </c>
      <c r="D132" s="612" t="s">
        <v>1757</v>
      </c>
      <c r="E132" s="612" t="s">
        <v>1735</v>
      </c>
      <c r="F132" s="615">
        <v>21</v>
      </c>
      <c r="G132" s="615">
        <v>1470</v>
      </c>
      <c r="H132" s="615">
        <v>1</v>
      </c>
      <c r="I132" s="615">
        <v>70</v>
      </c>
      <c r="J132" s="615">
        <v>16</v>
      </c>
      <c r="K132" s="615">
        <v>1120</v>
      </c>
      <c r="L132" s="615">
        <v>0.76190476190476186</v>
      </c>
      <c r="M132" s="615">
        <v>70</v>
      </c>
      <c r="N132" s="615">
        <v>10</v>
      </c>
      <c r="O132" s="615">
        <v>710</v>
      </c>
      <c r="P132" s="628">
        <v>0.48299319727891155</v>
      </c>
      <c r="Q132" s="616">
        <v>71</v>
      </c>
    </row>
    <row r="133" spans="1:17" ht="14.4" customHeight="1" x14ac:dyDescent="0.3">
      <c r="A133" s="611" t="s">
        <v>1732</v>
      </c>
      <c r="B133" s="612" t="s">
        <v>1733</v>
      </c>
      <c r="C133" s="612" t="s">
        <v>1331</v>
      </c>
      <c r="D133" s="612" t="s">
        <v>1758</v>
      </c>
      <c r="E133" s="612" t="s">
        <v>1759</v>
      </c>
      <c r="F133" s="615">
        <v>3</v>
      </c>
      <c r="G133" s="615">
        <v>3567</v>
      </c>
      <c r="H133" s="615">
        <v>1</v>
      </c>
      <c r="I133" s="615">
        <v>1189</v>
      </c>
      <c r="J133" s="615">
        <v>2</v>
      </c>
      <c r="K133" s="615">
        <v>2378</v>
      </c>
      <c r="L133" s="615">
        <v>0.66666666666666663</v>
      </c>
      <c r="M133" s="615">
        <v>1189</v>
      </c>
      <c r="N133" s="615"/>
      <c r="O133" s="615"/>
      <c r="P133" s="628"/>
      <c r="Q133" s="616"/>
    </row>
    <row r="134" spans="1:17" ht="14.4" customHeight="1" x14ac:dyDescent="0.3">
      <c r="A134" s="611" t="s">
        <v>1732</v>
      </c>
      <c r="B134" s="612" t="s">
        <v>1733</v>
      </c>
      <c r="C134" s="612" t="s">
        <v>1331</v>
      </c>
      <c r="D134" s="612" t="s">
        <v>1760</v>
      </c>
      <c r="E134" s="612" t="s">
        <v>1761</v>
      </c>
      <c r="F134" s="615">
        <v>59</v>
      </c>
      <c r="G134" s="615">
        <v>6372</v>
      </c>
      <c r="H134" s="615">
        <v>1</v>
      </c>
      <c r="I134" s="615">
        <v>108</v>
      </c>
      <c r="J134" s="615">
        <v>74</v>
      </c>
      <c r="K134" s="615">
        <v>7992</v>
      </c>
      <c r="L134" s="615">
        <v>1.2542372881355932</v>
      </c>
      <c r="M134" s="615">
        <v>108</v>
      </c>
      <c r="N134" s="615">
        <v>64</v>
      </c>
      <c r="O134" s="615">
        <v>7040</v>
      </c>
      <c r="P134" s="628">
        <v>1.1048336472065285</v>
      </c>
      <c r="Q134" s="616">
        <v>110</v>
      </c>
    </row>
    <row r="135" spans="1:17" ht="14.4" customHeight="1" x14ac:dyDescent="0.3">
      <c r="A135" s="611" t="s">
        <v>1732</v>
      </c>
      <c r="B135" s="612" t="s">
        <v>1733</v>
      </c>
      <c r="C135" s="612" t="s">
        <v>1331</v>
      </c>
      <c r="D135" s="612" t="s">
        <v>1762</v>
      </c>
      <c r="E135" s="612" t="s">
        <v>1763</v>
      </c>
      <c r="F135" s="615">
        <v>154</v>
      </c>
      <c r="G135" s="615">
        <v>22176</v>
      </c>
      <c r="H135" s="615">
        <v>1</v>
      </c>
      <c r="I135" s="615">
        <v>144</v>
      </c>
      <c r="J135" s="615">
        <v>155</v>
      </c>
      <c r="K135" s="615">
        <v>22320</v>
      </c>
      <c r="L135" s="615">
        <v>1.0064935064935066</v>
      </c>
      <c r="M135" s="615">
        <v>144</v>
      </c>
      <c r="N135" s="615">
        <v>152</v>
      </c>
      <c r="O135" s="615">
        <v>22192</v>
      </c>
      <c r="P135" s="628">
        <v>1.0007215007215007</v>
      </c>
      <c r="Q135" s="616">
        <v>146</v>
      </c>
    </row>
    <row r="136" spans="1:17" ht="14.4" customHeight="1" x14ac:dyDescent="0.3">
      <c r="A136" s="611" t="s">
        <v>1732</v>
      </c>
      <c r="B136" s="612" t="s">
        <v>1733</v>
      </c>
      <c r="C136" s="612" t="s">
        <v>1331</v>
      </c>
      <c r="D136" s="612" t="s">
        <v>1764</v>
      </c>
      <c r="E136" s="612" t="s">
        <v>1765</v>
      </c>
      <c r="F136" s="615">
        <v>1</v>
      </c>
      <c r="G136" s="615">
        <v>1020</v>
      </c>
      <c r="H136" s="615">
        <v>1</v>
      </c>
      <c r="I136" s="615">
        <v>1020</v>
      </c>
      <c r="J136" s="615"/>
      <c r="K136" s="615"/>
      <c r="L136" s="615"/>
      <c r="M136" s="615"/>
      <c r="N136" s="615"/>
      <c r="O136" s="615"/>
      <c r="P136" s="628"/>
      <c r="Q136" s="616"/>
    </row>
    <row r="137" spans="1:17" ht="14.4" customHeight="1" x14ac:dyDescent="0.3">
      <c r="A137" s="611" t="s">
        <v>1732</v>
      </c>
      <c r="B137" s="612" t="s">
        <v>1733</v>
      </c>
      <c r="C137" s="612" t="s">
        <v>1331</v>
      </c>
      <c r="D137" s="612" t="s">
        <v>1766</v>
      </c>
      <c r="E137" s="612" t="s">
        <v>1767</v>
      </c>
      <c r="F137" s="615">
        <v>1</v>
      </c>
      <c r="G137" s="615">
        <v>291</v>
      </c>
      <c r="H137" s="615">
        <v>1</v>
      </c>
      <c r="I137" s="615">
        <v>291</v>
      </c>
      <c r="J137" s="615"/>
      <c r="K137" s="615"/>
      <c r="L137" s="615"/>
      <c r="M137" s="615"/>
      <c r="N137" s="615">
        <v>1</v>
      </c>
      <c r="O137" s="615">
        <v>294</v>
      </c>
      <c r="P137" s="628">
        <v>1.0103092783505154</v>
      </c>
      <c r="Q137" s="616">
        <v>294</v>
      </c>
    </row>
    <row r="138" spans="1:17" ht="14.4" customHeight="1" x14ac:dyDescent="0.3">
      <c r="A138" s="611" t="s">
        <v>1768</v>
      </c>
      <c r="B138" s="612" t="s">
        <v>1769</v>
      </c>
      <c r="C138" s="612" t="s">
        <v>1331</v>
      </c>
      <c r="D138" s="612" t="s">
        <v>1770</v>
      </c>
      <c r="E138" s="612" t="s">
        <v>1771</v>
      </c>
      <c r="F138" s="615">
        <v>2</v>
      </c>
      <c r="G138" s="615">
        <v>106</v>
      </c>
      <c r="H138" s="615">
        <v>1</v>
      </c>
      <c r="I138" s="615">
        <v>53</v>
      </c>
      <c r="J138" s="615">
        <v>6</v>
      </c>
      <c r="K138" s="615">
        <v>318</v>
      </c>
      <c r="L138" s="615">
        <v>3</v>
      </c>
      <c r="M138" s="615">
        <v>53</v>
      </c>
      <c r="N138" s="615"/>
      <c r="O138" s="615"/>
      <c r="P138" s="628"/>
      <c r="Q138" s="616"/>
    </row>
    <row r="139" spans="1:17" ht="14.4" customHeight="1" x14ac:dyDescent="0.3">
      <c r="A139" s="611" t="s">
        <v>1768</v>
      </c>
      <c r="B139" s="612" t="s">
        <v>1769</v>
      </c>
      <c r="C139" s="612" t="s">
        <v>1331</v>
      </c>
      <c r="D139" s="612" t="s">
        <v>1772</v>
      </c>
      <c r="E139" s="612" t="s">
        <v>1773</v>
      </c>
      <c r="F139" s="615"/>
      <c r="G139" s="615"/>
      <c r="H139" s="615"/>
      <c r="I139" s="615"/>
      <c r="J139" s="615"/>
      <c r="K139" s="615"/>
      <c r="L139" s="615"/>
      <c r="M139" s="615"/>
      <c r="N139" s="615">
        <v>10</v>
      </c>
      <c r="O139" s="615">
        <v>1230</v>
      </c>
      <c r="P139" s="628"/>
      <c r="Q139" s="616">
        <v>123</v>
      </c>
    </row>
    <row r="140" spans="1:17" ht="14.4" customHeight="1" x14ac:dyDescent="0.3">
      <c r="A140" s="611" t="s">
        <v>1768</v>
      </c>
      <c r="B140" s="612" t="s">
        <v>1769</v>
      </c>
      <c r="C140" s="612" t="s">
        <v>1331</v>
      </c>
      <c r="D140" s="612" t="s">
        <v>1774</v>
      </c>
      <c r="E140" s="612" t="s">
        <v>1775</v>
      </c>
      <c r="F140" s="615"/>
      <c r="G140" s="615"/>
      <c r="H140" s="615"/>
      <c r="I140" s="615"/>
      <c r="J140" s="615"/>
      <c r="K140" s="615"/>
      <c r="L140" s="615"/>
      <c r="M140" s="615"/>
      <c r="N140" s="615">
        <v>1</v>
      </c>
      <c r="O140" s="615">
        <v>172</v>
      </c>
      <c r="P140" s="628"/>
      <c r="Q140" s="616">
        <v>172</v>
      </c>
    </row>
    <row r="141" spans="1:17" ht="14.4" customHeight="1" x14ac:dyDescent="0.3">
      <c r="A141" s="611" t="s">
        <v>1768</v>
      </c>
      <c r="B141" s="612" t="s">
        <v>1769</v>
      </c>
      <c r="C141" s="612" t="s">
        <v>1331</v>
      </c>
      <c r="D141" s="612" t="s">
        <v>1776</v>
      </c>
      <c r="E141" s="612" t="s">
        <v>1777</v>
      </c>
      <c r="F141" s="615"/>
      <c r="G141" s="615"/>
      <c r="H141" s="615"/>
      <c r="I141" s="615"/>
      <c r="J141" s="615"/>
      <c r="K141" s="615"/>
      <c r="L141" s="615"/>
      <c r="M141" s="615"/>
      <c r="N141" s="615">
        <v>1</v>
      </c>
      <c r="O141" s="615">
        <v>533</v>
      </c>
      <c r="P141" s="628"/>
      <c r="Q141" s="616">
        <v>533</v>
      </c>
    </row>
    <row r="142" spans="1:17" ht="14.4" customHeight="1" x14ac:dyDescent="0.3">
      <c r="A142" s="611" t="s">
        <v>1768</v>
      </c>
      <c r="B142" s="612" t="s">
        <v>1769</v>
      </c>
      <c r="C142" s="612" t="s">
        <v>1331</v>
      </c>
      <c r="D142" s="612" t="s">
        <v>1778</v>
      </c>
      <c r="E142" s="612" t="s">
        <v>1779</v>
      </c>
      <c r="F142" s="615">
        <v>1</v>
      </c>
      <c r="G142" s="615">
        <v>338</v>
      </c>
      <c r="H142" s="615">
        <v>1</v>
      </c>
      <c r="I142" s="615">
        <v>338</v>
      </c>
      <c r="J142" s="615">
        <v>8</v>
      </c>
      <c r="K142" s="615">
        <v>2704</v>
      </c>
      <c r="L142" s="615">
        <v>8</v>
      </c>
      <c r="M142" s="615">
        <v>338</v>
      </c>
      <c r="N142" s="615">
        <v>8</v>
      </c>
      <c r="O142" s="615">
        <v>2728</v>
      </c>
      <c r="P142" s="628">
        <v>8.0710059171597628</v>
      </c>
      <c r="Q142" s="616">
        <v>341</v>
      </c>
    </row>
    <row r="143" spans="1:17" ht="14.4" customHeight="1" x14ac:dyDescent="0.3">
      <c r="A143" s="611" t="s">
        <v>1768</v>
      </c>
      <c r="B143" s="612" t="s">
        <v>1769</v>
      </c>
      <c r="C143" s="612" t="s">
        <v>1331</v>
      </c>
      <c r="D143" s="612" t="s">
        <v>1780</v>
      </c>
      <c r="E143" s="612" t="s">
        <v>1781</v>
      </c>
      <c r="F143" s="615">
        <v>1</v>
      </c>
      <c r="G143" s="615">
        <v>281</v>
      </c>
      <c r="H143" s="615">
        <v>1</v>
      </c>
      <c r="I143" s="615">
        <v>281</v>
      </c>
      <c r="J143" s="615">
        <v>1</v>
      </c>
      <c r="K143" s="615">
        <v>281</v>
      </c>
      <c r="L143" s="615">
        <v>1</v>
      </c>
      <c r="M143" s="615">
        <v>281</v>
      </c>
      <c r="N143" s="615">
        <v>3</v>
      </c>
      <c r="O143" s="615">
        <v>855</v>
      </c>
      <c r="P143" s="628">
        <v>3.0427046263345194</v>
      </c>
      <c r="Q143" s="616">
        <v>285</v>
      </c>
    </row>
    <row r="144" spans="1:17" ht="14.4" customHeight="1" x14ac:dyDescent="0.3">
      <c r="A144" s="611" t="s">
        <v>1768</v>
      </c>
      <c r="B144" s="612" t="s">
        <v>1769</v>
      </c>
      <c r="C144" s="612" t="s">
        <v>1331</v>
      </c>
      <c r="D144" s="612" t="s">
        <v>1782</v>
      </c>
      <c r="E144" s="612" t="s">
        <v>1783</v>
      </c>
      <c r="F144" s="615"/>
      <c r="G144" s="615"/>
      <c r="H144" s="615"/>
      <c r="I144" s="615"/>
      <c r="J144" s="615">
        <v>2</v>
      </c>
      <c r="K144" s="615">
        <v>912</v>
      </c>
      <c r="L144" s="615"/>
      <c r="M144" s="615">
        <v>456</v>
      </c>
      <c r="N144" s="615">
        <v>3</v>
      </c>
      <c r="O144" s="615">
        <v>1386</v>
      </c>
      <c r="P144" s="628"/>
      <c r="Q144" s="616">
        <v>462</v>
      </c>
    </row>
    <row r="145" spans="1:17" ht="14.4" customHeight="1" x14ac:dyDescent="0.3">
      <c r="A145" s="611" t="s">
        <v>1768</v>
      </c>
      <c r="B145" s="612" t="s">
        <v>1769</v>
      </c>
      <c r="C145" s="612" t="s">
        <v>1331</v>
      </c>
      <c r="D145" s="612" t="s">
        <v>1784</v>
      </c>
      <c r="E145" s="612" t="s">
        <v>1785</v>
      </c>
      <c r="F145" s="615">
        <v>1</v>
      </c>
      <c r="G145" s="615">
        <v>348</v>
      </c>
      <c r="H145" s="615">
        <v>1</v>
      </c>
      <c r="I145" s="615">
        <v>348</v>
      </c>
      <c r="J145" s="615">
        <v>3</v>
      </c>
      <c r="K145" s="615">
        <v>1044</v>
      </c>
      <c r="L145" s="615">
        <v>3</v>
      </c>
      <c r="M145" s="615">
        <v>348</v>
      </c>
      <c r="N145" s="615">
        <v>7</v>
      </c>
      <c r="O145" s="615">
        <v>2492</v>
      </c>
      <c r="P145" s="628">
        <v>7.1609195402298846</v>
      </c>
      <c r="Q145" s="616">
        <v>356</v>
      </c>
    </row>
    <row r="146" spans="1:17" ht="14.4" customHeight="1" x14ac:dyDescent="0.3">
      <c r="A146" s="611" t="s">
        <v>1768</v>
      </c>
      <c r="B146" s="612" t="s">
        <v>1769</v>
      </c>
      <c r="C146" s="612" t="s">
        <v>1331</v>
      </c>
      <c r="D146" s="612" t="s">
        <v>1786</v>
      </c>
      <c r="E146" s="612" t="s">
        <v>1787</v>
      </c>
      <c r="F146" s="615"/>
      <c r="G146" s="615"/>
      <c r="H146" s="615"/>
      <c r="I146" s="615"/>
      <c r="J146" s="615"/>
      <c r="K146" s="615"/>
      <c r="L146" s="615"/>
      <c r="M146" s="615"/>
      <c r="N146" s="615">
        <v>1</v>
      </c>
      <c r="O146" s="615">
        <v>437</v>
      </c>
      <c r="P146" s="628"/>
      <c r="Q146" s="616">
        <v>437</v>
      </c>
    </row>
    <row r="147" spans="1:17" ht="14.4" customHeight="1" x14ac:dyDescent="0.3">
      <c r="A147" s="611" t="s">
        <v>1768</v>
      </c>
      <c r="B147" s="612" t="s">
        <v>1769</v>
      </c>
      <c r="C147" s="612" t="s">
        <v>1331</v>
      </c>
      <c r="D147" s="612" t="s">
        <v>1788</v>
      </c>
      <c r="E147" s="612" t="s">
        <v>1789</v>
      </c>
      <c r="F147" s="615"/>
      <c r="G147" s="615"/>
      <c r="H147" s="615"/>
      <c r="I147" s="615"/>
      <c r="J147" s="615"/>
      <c r="K147" s="615"/>
      <c r="L147" s="615"/>
      <c r="M147" s="615"/>
      <c r="N147" s="615">
        <v>2</v>
      </c>
      <c r="O147" s="615">
        <v>108</v>
      </c>
      <c r="P147" s="628"/>
      <c r="Q147" s="616">
        <v>54</v>
      </c>
    </row>
    <row r="148" spans="1:17" ht="14.4" customHeight="1" x14ac:dyDescent="0.3">
      <c r="A148" s="611" t="s">
        <v>1768</v>
      </c>
      <c r="B148" s="612" t="s">
        <v>1769</v>
      </c>
      <c r="C148" s="612" t="s">
        <v>1331</v>
      </c>
      <c r="D148" s="612" t="s">
        <v>1790</v>
      </c>
      <c r="E148" s="612" t="s">
        <v>1791</v>
      </c>
      <c r="F148" s="615">
        <v>4</v>
      </c>
      <c r="G148" s="615">
        <v>660</v>
      </c>
      <c r="H148" s="615">
        <v>1</v>
      </c>
      <c r="I148" s="615">
        <v>165</v>
      </c>
      <c r="J148" s="615">
        <v>1</v>
      </c>
      <c r="K148" s="615">
        <v>165</v>
      </c>
      <c r="L148" s="615">
        <v>0.25</v>
      </c>
      <c r="M148" s="615">
        <v>165</v>
      </c>
      <c r="N148" s="615">
        <v>23</v>
      </c>
      <c r="O148" s="615">
        <v>3887</v>
      </c>
      <c r="P148" s="628">
        <v>5.8893939393939396</v>
      </c>
      <c r="Q148" s="616">
        <v>169</v>
      </c>
    </row>
    <row r="149" spans="1:17" ht="14.4" customHeight="1" x14ac:dyDescent="0.3">
      <c r="A149" s="611" t="s">
        <v>1792</v>
      </c>
      <c r="B149" s="612" t="s">
        <v>1793</v>
      </c>
      <c r="C149" s="612" t="s">
        <v>1331</v>
      </c>
      <c r="D149" s="612" t="s">
        <v>1794</v>
      </c>
      <c r="E149" s="612" t="s">
        <v>1795</v>
      </c>
      <c r="F149" s="615">
        <v>50</v>
      </c>
      <c r="G149" s="615">
        <v>7950</v>
      </c>
      <c r="H149" s="615">
        <v>1</v>
      </c>
      <c r="I149" s="615">
        <v>159</v>
      </c>
      <c r="J149" s="615">
        <v>40</v>
      </c>
      <c r="K149" s="615">
        <v>6360</v>
      </c>
      <c r="L149" s="615">
        <v>0.8</v>
      </c>
      <c r="M149" s="615">
        <v>159</v>
      </c>
      <c r="N149" s="615">
        <v>41</v>
      </c>
      <c r="O149" s="615">
        <v>6601</v>
      </c>
      <c r="P149" s="628">
        <v>0.83031446540880505</v>
      </c>
      <c r="Q149" s="616">
        <v>161</v>
      </c>
    </row>
    <row r="150" spans="1:17" ht="14.4" customHeight="1" x14ac:dyDescent="0.3">
      <c r="A150" s="611" t="s">
        <v>1792</v>
      </c>
      <c r="B150" s="612" t="s">
        <v>1793</v>
      </c>
      <c r="C150" s="612" t="s">
        <v>1331</v>
      </c>
      <c r="D150" s="612" t="s">
        <v>1796</v>
      </c>
      <c r="E150" s="612" t="s">
        <v>1797</v>
      </c>
      <c r="F150" s="615"/>
      <c r="G150" s="615"/>
      <c r="H150" s="615"/>
      <c r="I150" s="615"/>
      <c r="J150" s="615">
        <v>4</v>
      </c>
      <c r="K150" s="615">
        <v>4660</v>
      </c>
      <c r="L150" s="615"/>
      <c r="M150" s="615">
        <v>1165</v>
      </c>
      <c r="N150" s="615">
        <v>7</v>
      </c>
      <c r="O150" s="615">
        <v>8183</v>
      </c>
      <c r="P150" s="628"/>
      <c r="Q150" s="616">
        <v>1169</v>
      </c>
    </row>
    <row r="151" spans="1:17" ht="14.4" customHeight="1" x14ac:dyDescent="0.3">
      <c r="A151" s="611" t="s">
        <v>1792</v>
      </c>
      <c r="B151" s="612" t="s">
        <v>1793</v>
      </c>
      <c r="C151" s="612" t="s">
        <v>1331</v>
      </c>
      <c r="D151" s="612" t="s">
        <v>1798</v>
      </c>
      <c r="E151" s="612" t="s">
        <v>1799</v>
      </c>
      <c r="F151" s="615">
        <v>876</v>
      </c>
      <c r="G151" s="615">
        <v>34164</v>
      </c>
      <c r="H151" s="615">
        <v>1</v>
      </c>
      <c r="I151" s="615">
        <v>39</v>
      </c>
      <c r="J151" s="615">
        <v>368</v>
      </c>
      <c r="K151" s="615">
        <v>14352</v>
      </c>
      <c r="L151" s="615">
        <v>0.42009132420091322</v>
      </c>
      <c r="M151" s="615">
        <v>39</v>
      </c>
      <c r="N151" s="615">
        <v>351</v>
      </c>
      <c r="O151" s="615">
        <v>14040</v>
      </c>
      <c r="P151" s="628">
        <v>0.41095890410958902</v>
      </c>
      <c r="Q151" s="616">
        <v>40</v>
      </c>
    </row>
    <row r="152" spans="1:17" ht="14.4" customHeight="1" x14ac:dyDescent="0.3">
      <c r="A152" s="611" t="s">
        <v>1792</v>
      </c>
      <c r="B152" s="612" t="s">
        <v>1793</v>
      </c>
      <c r="C152" s="612" t="s">
        <v>1331</v>
      </c>
      <c r="D152" s="612" t="s">
        <v>1800</v>
      </c>
      <c r="E152" s="612" t="s">
        <v>1801</v>
      </c>
      <c r="F152" s="615"/>
      <c r="G152" s="615"/>
      <c r="H152" s="615"/>
      <c r="I152" s="615"/>
      <c r="J152" s="615">
        <v>2</v>
      </c>
      <c r="K152" s="615">
        <v>764</v>
      </c>
      <c r="L152" s="615"/>
      <c r="M152" s="615">
        <v>382</v>
      </c>
      <c r="N152" s="615">
        <v>1</v>
      </c>
      <c r="O152" s="615">
        <v>383</v>
      </c>
      <c r="P152" s="628"/>
      <c r="Q152" s="616">
        <v>383</v>
      </c>
    </row>
    <row r="153" spans="1:17" ht="14.4" customHeight="1" x14ac:dyDescent="0.3">
      <c r="A153" s="611" t="s">
        <v>1792</v>
      </c>
      <c r="B153" s="612" t="s">
        <v>1793</v>
      </c>
      <c r="C153" s="612" t="s">
        <v>1331</v>
      </c>
      <c r="D153" s="612" t="s">
        <v>1802</v>
      </c>
      <c r="E153" s="612" t="s">
        <v>1803</v>
      </c>
      <c r="F153" s="615"/>
      <c r="G153" s="615"/>
      <c r="H153" s="615"/>
      <c r="I153" s="615"/>
      <c r="J153" s="615"/>
      <c r="K153" s="615"/>
      <c r="L153" s="615"/>
      <c r="M153" s="615"/>
      <c r="N153" s="615">
        <v>2</v>
      </c>
      <c r="O153" s="615">
        <v>74</v>
      </c>
      <c r="P153" s="628"/>
      <c r="Q153" s="616">
        <v>37</v>
      </c>
    </row>
    <row r="154" spans="1:17" ht="14.4" customHeight="1" x14ac:dyDescent="0.3">
      <c r="A154" s="611" t="s">
        <v>1792</v>
      </c>
      <c r="B154" s="612" t="s">
        <v>1793</v>
      </c>
      <c r="C154" s="612" t="s">
        <v>1331</v>
      </c>
      <c r="D154" s="612" t="s">
        <v>1804</v>
      </c>
      <c r="E154" s="612" t="s">
        <v>1805</v>
      </c>
      <c r="F154" s="615">
        <v>3</v>
      </c>
      <c r="G154" s="615">
        <v>1332</v>
      </c>
      <c r="H154" s="615">
        <v>1</v>
      </c>
      <c r="I154" s="615">
        <v>444</v>
      </c>
      <c r="J154" s="615"/>
      <c r="K154" s="615"/>
      <c r="L154" s="615"/>
      <c r="M154" s="615"/>
      <c r="N154" s="615">
        <v>3</v>
      </c>
      <c r="O154" s="615">
        <v>1335</v>
      </c>
      <c r="P154" s="628">
        <v>1.0022522522522523</v>
      </c>
      <c r="Q154" s="616">
        <v>445</v>
      </c>
    </row>
    <row r="155" spans="1:17" ht="14.4" customHeight="1" x14ac:dyDescent="0.3">
      <c r="A155" s="611" t="s">
        <v>1792</v>
      </c>
      <c r="B155" s="612" t="s">
        <v>1793</v>
      </c>
      <c r="C155" s="612" t="s">
        <v>1331</v>
      </c>
      <c r="D155" s="612" t="s">
        <v>1806</v>
      </c>
      <c r="E155" s="612" t="s">
        <v>1807</v>
      </c>
      <c r="F155" s="615"/>
      <c r="G155" s="615"/>
      <c r="H155" s="615"/>
      <c r="I155" s="615"/>
      <c r="J155" s="615"/>
      <c r="K155" s="615"/>
      <c r="L155" s="615"/>
      <c r="M155" s="615"/>
      <c r="N155" s="615">
        <v>2</v>
      </c>
      <c r="O155" s="615">
        <v>982</v>
      </c>
      <c r="P155" s="628"/>
      <c r="Q155" s="616">
        <v>491</v>
      </c>
    </row>
    <row r="156" spans="1:17" ht="14.4" customHeight="1" x14ac:dyDescent="0.3">
      <c r="A156" s="611" t="s">
        <v>1792</v>
      </c>
      <c r="B156" s="612" t="s">
        <v>1793</v>
      </c>
      <c r="C156" s="612" t="s">
        <v>1331</v>
      </c>
      <c r="D156" s="612" t="s">
        <v>1808</v>
      </c>
      <c r="E156" s="612" t="s">
        <v>1809</v>
      </c>
      <c r="F156" s="615">
        <v>1</v>
      </c>
      <c r="G156" s="615">
        <v>31</v>
      </c>
      <c r="H156" s="615">
        <v>1</v>
      </c>
      <c r="I156" s="615">
        <v>31</v>
      </c>
      <c r="J156" s="615">
        <v>1</v>
      </c>
      <c r="K156" s="615">
        <v>31</v>
      </c>
      <c r="L156" s="615">
        <v>1</v>
      </c>
      <c r="M156" s="615">
        <v>31</v>
      </c>
      <c r="N156" s="615">
        <v>1</v>
      </c>
      <c r="O156" s="615">
        <v>31</v>
      </c>
      <c r="P156" s="628">
        <v>1</v>
      </c>
      <c r="Q156" s="616">
        <v>31</v>
      </c>
    </row>
    <row r="157" spans="1:17" ht="14.4" customHeight="1" x14ac:dyDescent="0.3">
      <c r="A157" s="611" t="s">
        <v>1792</v>
      </c>
      <c r="B157" s="612" t="s">
        <v>1793</v>
      </c>
      <c r="C157" s="612" t="s">
        <v>1331</v>
      </c>
      <c r="D157" s="612" t="s">
        <v>1810</v>
      </c>
      <c r="E157" s="612" t="s">
        <v>1811</v>
      </c>
      <c r="F157" s="615">
        <v>4</v>
      </c>
      <c r="G157" s="615">
        <v>924</v>
      </c>
      <c r="H157" s="615">
        <v>1</v>
      </c>
      <c r="I157" s="615">
        <v>231</v>
      </c>
      <c r="J157" s="615">
        <v>2</v>
      </c>
      <c r="K157" s="615">
        <v>462</v>
      </c>
      <c r="L157" s="615">
        <v>0.5</v>
      </c>
      <c r="M157" s="615">
        <v>231</v>
      </c>
      <c r="N157" s="615"/>
      <c r="O157" s="615"/>
      <c r="P157" s="628"/>
      <c r="Q157" s="616"/>
    </row>
    <row r="158" spans="1:17" ht="14.4" customHeight="1" x14ac:dyDescent="0.3">
      <c r="A158" s="611" t="s">
        <v>1792</v>
      </c>
      <c r="B158" s="612" t="s">
        <v>1793</v>
      </c>
      <c r="C158" s="612" t="s">
        <v>1331</v>
      </c>
      <c r="D158" s="612" t="s">
        <v>1812</v>
      </c>
      <c r="E158" s="612" t="s">
        <v>1813</v>
      </c>
      <c r="F158" s="615">
        <v>462</v>
      </c>
      <c r="G158" s="615">
        <v>52206</v>
      </c>
      <c r="H158" s="615">
        <v>1</v>
      </c>
      <c r="I158" s="615">
        <v>113</v>
      </c>
      <c r="J158" s="615">
        <v>307</v>
      </c>
      <c r="K158" s="615">
        <v>34691</v>
      </c>
      <c r="L158" s="615">
        <v>0.66450216450216448</v>
      </c>
      <c r="M158" s="615">
        <v>113</v>
      </c>
      <c r="N158" s="615">
        <v>270</v>
      </c>
      <c r="O158" s="615">
        <v>31320</v>
      </c>
      <c r="P158" s="628">
        <v>0.59993104240891848</v>
      </c>
      <c r="Q158" s="616">
        <v>116</v>
      </c>
    </row>
    <row r="159" spans="1:17" ht="14.4" customHeight="1" x14ac:dyDescent="0.3">
      <c r="A159" s="611" t="s">
        <v>1792</v>
      </c>
      <c r="B159" s="612" t="s">
        <v>1793</v>
      </c>
      <c r="C159" s="612" t="s">
        <v>1331</v>
      </c>
      <c r="D159" s="612" t="s">
        <v>1814</v>
      </c>
      <c r="E159" s="612" t="s">
        <v>1815</v>
      </c>
      <c r="F159" s="615">
        <v>29</v>
      </c>
      <c r="G159" s="615">
        <v>2436</v>
      </c>
      <c r="H159" s="615">
        <v>1</v>
      </c>
      <c r="I159" s="615">
        <v>84</v>
      </c>
      <c r="J159" s="615">
        <v>16</v>
      </c>
      <c r="K159" s="615">
        <v>1344</v>
      </c>
      <c r="L159" s="615">
        <v>0.55172413793103448</v>
      </c>
      <c r="M159" s="615">
        <v>84</v>
      </c>
      <c r="N159" s="615">
        <v>22</v>
      </c>
      <c r="O159" s="615">
        <v>1870</v>
      </c>
      <c r="P159" s="628">
        <v>0.76765188834154352</v>
      </c>
      <c r="Q159" s="616">
        <v>85</v>
      </c>
    </row>
    <row r="160" spans="1:17" ht="14.4" customHeight="1" x14ac:dyDescent="0.3">
      <c r="A160" s="611" t="s">
        <v>1792</v>
      </c>
      <c r="B160" s="612" t="s">
        <v>1793</v>
      </c>
      <c r="C160" s="612" t="s">
        <v>1331</v>
      </c>
      <c r="D160" s="612" t="s">
        <v>1816</v>
      </c>
      <c r="E160" s="612" t="s">
        <v>1817</v>
      </c>
      <c r="F160" s="615">
        <v>6</v>
      </c>
      <c r="G160" s="615">
        <v>576</v>
      </c>
      <c r="H160" s="615">
        <v>1</v>
      </c>
      <c r="I160" s="615">
        <v>96</v>
      </c>
      <c r="J160" s="615"/>
      <c r="K160" s="615"/>
      <c r="L160" s="615"/>
      <c r="M160" s="615"/>
      <c r="N160" s="615">
        <v>1</v>
      </c>
      <c r="O160" s="615">
        <v>98</v>
      </c>
      <c r="P160" s="628">
        <v>0.1701388888888889</v>
      </c>
      <c r="Q160" s="616">
        <v>98</v>
      </c>
    </row>
    <row r="161" spans="1:17" ht="14.4" customHeight="1" x14ac:dyDescent="0.3">
      <c r="A161" s="611" t="s">
        <v>1792</v>
      </c>
      <c r="B161" s="612" t="s">
        <v>1793</v>
      </c>
      <c r="C161" s="612" t="s">
        <v>1331</v>
      </c>
      <c r="D161" s="612" t="s">
        <v>1818</v>
      </c>
      <c r="E161" s="612" t="s">
        <v>1819</v>
      </c>
      <c r="F161" s="615">
        <v>36</v>
      </c>
      <c r="G161" s="615">
        <v>756</v>
      </c>
      <c r="H161" s="615">
        <v>1</v>
      </c>
      <c r="I161" s="615">
        <v>21</v>
      </c>
      <c r="J161" s="615">
        <v>9</v>
      </c>
      <c r="K161" s="615">
        <v>189</v>
      </c>
      <c r="L161" s="615">
        <v>0.25</v>
      </c>
      <c r="M161" s="615">
        <v>21</v>
      </c>
      <c r="N161" s="615">
        <v>2</v>
      </c>
      <c r="O161" s="615">
        <v>42</v>
      </c>
      <c r="P161" s="628">
        <v>5.5555555555555552E-2</v>
      </c>
      <c r="Q161" s="616">
        <v>21</v>
      </c>
    </row>
    <row r="162" spans="1:17" ht="14.4" customHeight="1" x14ac:dyDescent="0.3">
      <c r="A162" s="611" t="s">
        <v>1792</v>
      </c>
      <c r="B162" s="612" t="s">
        <v>1793</v>
      </c>
      <c r="C162" s="612" t="s">
        <v>1331</v>
      </c>
      <c r="D162" s="612" t="s">
        <v>1753</v>
      </c>
      <c r="E162" s="612" t="s">
        <v>1754</v>
      </c>
      <c r="F162" s="615">
        <v>9</v>
      </c>
      <c r="G162" s="615">
        <v>4374</v>
      </c>
      <c r="H162" s="615">
        <v>1</v>
      </c>
      <c r="I162" s="615">
        <v>486</v>
      </c>
      <c r="J162" s="615">
        <v>21</v>
      </c>
      <c r="K162" s="615">
        <v>10206</v>
      </c>
      <c r="L162" s="615">
        <v>2.3333333333333335</v>
      </c>
      <c r="M162" s="615">
        <v>486</v>
      </c>
      <c r="N162" s="615">
        <v>45</v>
      </c>
      <c r="O162" s="615">
        <v>21915</v>
      </c>
      <c r="P162" s="628">
        <v>5.0102880658436213</v>
      </c>
      <c r="Q162" s="616">
        <v>487</v>
      </c>
    </row>
    <row r="163" spans="1:17" ht="14.4" customHeight="1" x14ac:dyDescent="0.3">
      <c r="A163" s="611" t="s">
        <v>1792</v>
      </c>
      <c r="B163" s="612" t="s">
        <v>1793</v>
      </c>
      <c r="C163" s="612" t="s">
        <v>1331</v>
      </c>
      <c r="D163" s="612" t="s">
        <v>1820</v>
      </c>
      <c r="E163" s="612" t="s">
        <v>1821</v>
      </c>
      <c r="F163" s="615">
        <v>22</v>
      </c>
      <c r="G163" s="615">
        <v>880</v>
      </c>
      <c r="H163" s="615">
        <v>1</v>
      </c>
      <c r="I163" s="615">
        <v>40</v>
      </c>
      <c r="J163" s="615">
        <v>8</v>
      </c>
      <c r="K163" s="615">
        <v>320</v>
      </c>
      <c r="L163" s="615">
        <v>0.36363636363636365</v>
      </c>
      <c r="M163" s="615">
        <v>40</v>
      </c>
      <c r="N163" s="615">
        <v>17</v>
      </c>
      <c r="O163" s="615">
        <v>697</v>
      </c>
      <c r="P163" s="628">
        <v>0.7920454545454545</v>
      </c>
      <c r="Q163" s="616">
        <v>41</v>
      </c>
    </row>
    <row r="164" spans="1:17" ht="14.4" customHeight="1" x14ac:dyDescent="0.3">
      <c r="A164" s="611" t="s">
        <v>1792</v>
      </c>
      <c r="B164" s="612" t="s">
        <v>1793</v>
      </c>
      <c r="C164" s="612" t="s">
        <v>1331</v>
      </c>
      <c r="D164" s="612" t="s">
        <v>1822</v>
      </c>
      <c r="E164" s="612" t="s">
        <v>1823</v>
      </c>
      <c r="F164" s="615">
        <v>1</v>
      </c>
      <c r="G164" s="615">
        <v>604</v>
      </c>
      <c r="H164" s="615">
        <v>1</v>
      </c>
      <c r="I164" s="615">
        <v>604</v>
      </c>
      <c r="J164" s="615">
        <v>1</v>
      </c>
      <c r="K164" s="615">
        <v>604</v>
      </c>
      <c r="L164" s="615">
        <v>1</v>
      </c>
      <c r="M164" s="615">
        <v>604</v>
      </c>
      <c r="N164" s="615">
        <v>1</v>
      </c>
      <c r="O164" s="615">
        <v>608</v>
      </c>
      <c r="P164" s="628">
        <v>1.0066225165562914</v>
      </c>
      <c r="Q164" s="616">
        <v>608</v>
      </c>
    </row>
    <row r="165" spans="1:17" ht="14.4" customHeight="1" x14ac:dyDescent="0.3">
      <c r="A165" s="611" t="s">
        <v>1792</v>
      </c>
      <c r="B165" s="612" t="s">
        <v>1793</v>
      </c>
      <c r="C165" s="612" t="s">
        <v>1331</v>
      </c>
      <c r="D165" s="612" t="s">
        <v>1824</v>
      </c>
      <c r="E165" s="612" t="s">
        <v>1825</v>
      </c>
      <c r="F165" s="615">
        <v>4</v>
      </c>
      <c r="G165" s="615">
        <v>980</v>
      </c>
      <c r="H165" s="615">
        <v>1</v>
      </c>
      <c r="I165" s="615">
        <v>245</v>
      </c>
      <c r="J165" s="615">
        <v>2</v>
      </c>
      <c r="K165" s="615">
        <v>490</v>
      </c>
      <c r="L165" s="615">
        <v>0.5</v>
      </c>
      <c r="M165" s="615">
        <v>245</v>
      </c>
      <c r="N165" s="615"/>
      <c r="O165" s="615"/>
      <c r="P165" s="628"/>
      <c r="Q165" s="616"/>
    </row>
    <row r="166" spans="1:17" ht="14.4" customHeight="1" x14ac:dyDescent="0.3">
      <c r="A166" s="611" t="s">
        <v>1792</v>
      </c>
      <c r="B166" s="612" t="s">
        <v>1793</v>
      </c>
      <c r="C166" s="612" t="s">
        <v>1331</v>
      </c>
      <c r="D166" s="612" t="s">
        <v>1826</v>
      </c>
      <c r="E166" s="612" t="s">
        <v>1827</v>
      </c>
      <c r="F166" s="615">
        <v>114</v>
      </c>
      <c r="G166" s="615">
        <v>3078</v>
      </c>
      <c r="H166" s="615">
        <v>1</v>
      </c>
      <c r="I166" s="615">
        <v>27</v>
      </c>
      <c r="J166" s="615">
        <v>34</v>
      </c>
      <c r="K166" s="615">
        <v>918</v>
      </c>
      <c r="L166" s="615">
        <v>0.2982456140350877</v>
      </c>
      <c r="M166" s="615">
        <v>27</v>
      </c>
      <c r="N166" s="615">
        <v>35</v>
      </c>
      <c r="O166" s="615">
        <v>945</v>
      </c>
      <c r="P166" s="628">
        <v>0.30701754385964913</v>
      </c>
      <c r="Q166" s="616">
        <v>27</v>
      </c>
    </row>
    <row r="167" spans="1:17" ht="14.4" customHeight="1" x14ac:dyDescent="0.3">
      <c r="A167" s="611" t="s">
        <v>1828</v>
      </c>
      <c r="B167" s="612" t="s">
        <v>1693</v>
      </c>
      <c r="C167" s="612" t="s">
        <v>1331</v>
      </c>
      <c r="D167" s="612" t="s">
        <v>1829</v>
      </c>
      <c r="E167" s="612" t="s">
        <v>1830</v>
      </c>
      <c r="F167" s="615"/>
      <c r="G167" s="615"/>
      <c r="H167" s="615"/>
      <c r="I167" s="615"/>
      <c r="J167" s="615"/>
      <c r="K167" s="615"/>
      <c r="L167" s="615"/>
      <c r="M167" s="615"/>
      <c r="N167" s="615">
        <v>1</v>
      </c>
      <c r="O167" s="615">
        <v>167</v>
      </c>
      <c r="P167" s="628"/>
      <c r="Q167" s="616">
        <v>167</v>
      </c>
    </row>
    <row r="168" spans="1:17" ht="14.4" customHeight="1" x14ac:dyDescent="0.3">
      <c r="A168" s="611" t="s">
        <v>1828</v>
      </c>
      <c r="B168" s="612" t="s">
        <v>1693</v>
      </c>
      <c r="C168" s="612" t="s">
        <v>1331</v>
      </c>
      <c r="D168" s="612" t="s">
        <v>1831</v>
      </c>
      <c r="E168" s="612" t="s">
        <v>1832</v>
      </c>
      <c r="F168" s="615"/>
      <c r="G168" s="615"/>
      <c r="H168" s="615"/>
      <c r="I168" s="615"/>
      <c r="J168" s="615"/>
      <c r="K168" s="615"/>
      <c r="L168" s="615"/>
      <c r="M168" s="615"/>
      <c r="N168" s="615">
        <v>1</v>
      </c>
      <c r="O168" s="615">
        <v>173</v>
      </c>
      <c r="P168" s="628"/>
      <c r="Q168" s="616">
        <v>173</v>
      </c>
    </row>
    <row r="169" spans="1:17" ht="14.4" customHeight="1" x14ac:dyDescent="0.3">
      <c r="A169" s="611" t="s">
        <v>1828</v>
      </c>
      <c r="B169" s="612" t="s">
        <v>1693</v>
      </c>
      <c r="C169" s="612" t="s">
        <v>1331</v>
      </c>
      <c r="D169" s="612" t="s">
        <v>1833</v>
      </c>
      <c r="E169" s="612" t="s">
        <v>1834</v>
      </c>
      <c r="F169" s="615">
        <v>1</v>
      </c>
      <c r="G169" s="615">
        <v>545</v>
      </c>
      <c r="H169" s="615">
        <v>1</v>
      </c>
      <c r="I169" s="615">
        <v>545</v>
      </c>
      <c r="J169" s="615"/>
      <c r="K169" s="615"/>
      <c r="L169" s="615"/>
      <c r="M169" s="615"/>
      <c r="N169" s="615">
        <v>2</v>
      </c>
      <c r="O169" s="615">
        <v>1094</v>
      </c>
      <c r="P169" s="628">
        <v>2.0073394495412842</v>
      </c>
      <c r="Q169" s="616">
        <v>547</v>
      </c>
    </row>
    <row r="170" spans="1:17" ht="14.4" customHeight="1" x14ac:dyDescent="0.3">
      <c r="A170" s="611" t="s">
        <v>1828</v>
      </c>
      <c r="B170" s="612" t="s">
        <v>1693</v>
      </c>
      <c r="C170" s="612" t="s">
        <v>1331</v>
      </c>
      <c r="D170" s="612" t="s">
        <v>1835</v>
      </c>
      <c r="E170" s="612" t="s">
        <v>1836</v>
      </c>
      <c r="F170" s="615">
        <v>1</v>
      </c>
      <c r="G170" s="615">
        <v>650</v>
      </c>
      <c r="H170" s="615">
        <v>1</v>
      </c>
      <c r="I170" s="615">
        <v>650</v>
      </c>
      <c r="J170" s="615"/>
      <c r="K170" s="615"/>
      <c r="L170" s="615"/>
      <c r="M170" s="615"/>
      <c r="N170" s="615">
        <v>3</v>
      </c>
      <c r="O170" s="615">
        <v>1956</v>
      </c>
      <c r="P170" s="628">
        <v>3.0092307692307694</v>
      </c>
      <c r="Q170" s="616">
        <v>652</v>
      </c>
    </row>
    <row r="171" spans="1:17" ht="14.4" customHeight="1" x14ac:dyDescent="0.3">
      <c r="A171" s="611" t="s">
        <v>1828</v>
      </c>
      <c r="B171" s="612" t="s">
        <v>1693</v>
      </c>
      <c r="C171" s="612" t="s">
        <v>1331</v>
      </c>
      <c r="D171" s="612" t="s">
        <v>1837</v>
      </c>
      <c r="E171" s="612" t="s">
        <v>1838</v>
      </c>
      <c r="F171" s="615">
        <v>1</v>
      </c>
      <c r="G171" s="615">
        <v>650</v>
      </c>
      <c r="H171" s="615">
        <v>1</v>
      </c>
      <c r="I171" s="615">
        <v>650</v>
      </c>
      <c r="J171" s="615"/>
      <c r="K171" s="615"/>
      <c r="L171" s="615"/>
      <c r="M171" s="615"/>
      <c r="N171" s="615">
        <v>3</v>
      </c>
      <c r="O171" s="615">
        <v>1956</v>
      </c>
      <c r="P171" s="628">
        <v>3.0092307692307694</v>
      </c>
      <c r="Q171" s="616">
        <v>652</v>
      </c>
    </row>
    <row r="172" spans="1:17" ht="14.4" customHeight="1" x14ac:dyDescent="0.3">
      <c r="A172" s="611" t="s">
        <v>1828</v>
      </c>
      <c r="B172" s="612" t="s">
        <v>1693</v>
      </c>
      <c r="C172" s="612" t="s">
        <v>1331</v>
      </c>
      <c r="D172" s="612" t="s">
        <v>1839</v>
      </c>
      <c r="E172" s="612" t="s">
        <v>1840</v>
      </c>
      <c r="F172" s="615"/>
      <c r="G172" s="615"/>
      <c r="H172" s="615"/>
      <c r="I172" s="615"/>
      <c r="J172" s="615"/>
      <c r="K172" s="615"/>
      <c r="L172" s="615"/>
      <c r="M172" s="615"/>
      <c r="N172" s="615">
        <v>1</v>
      </c>
      <c r="O172" s="615">
        <v>347</v>
      </c>
      <c r="P172" s="628"/>
      <c r="Q172" s="616">
        <v>347</v>
      </c>
    </row>
    <row r="173" spans="1:17" ht="14.4" customHeight="1" x14ac:dyDescent="0.3">
      <c r="A173" s="611" t="s">
        <v>1828</v>
      </c>
      <c r="B173" s="612" t="s">
        <v>1693</v>
      </c>
      <c r="C173" s="612" t="s">
        <v>1331</v>
      </c>
      <c r="D173" s="612" t="s">
        <v>1841</v>
      </c>
      <c r="E173" s="612" t="s">
        <v>1842</v>
      </c>
      <c r="F173" s="615">
        <v>1</v>
      </c>
      <c r="G173" s="615">
        <v>310</v>
      </c>
      <c r="H173" s="615">
        <v>1</v>
      </c>
      <c r="I173" s="615">
        <v>310</v>
      </c>
      <c r="J173" s="615"/>
      <c r="K173" s="615"/>
      <c r="L173" s="615"/>
      <c r="M173" s="615"/>
      <c r="N173" s="615">
        <v>10</v>
      </c>
      <c r="O173" s="615">
        <v>3110</v>
      </c>
      <c r="P173" s="628">
        <v>10.03225806451613</v>
      </c>
      <c r="Q173" s="616">
        <v>311</v>
      </c>
    </row>
    <row r="174" spans="1:17" ht="14.4" customHeight="1" x14ac:dyDescent="0.3">
      <c r="A174" s="611" t="s">
        <v>1828</v>
      </c>
      <c r="B174" s="612" t="s">
        <v>1693</v>
      </c>
      <c r="C174" s="612" t="s">
        <v>1331</v>
      </c>
      <c r="D174" s="612" t="s">
        <v>1843</v>
      </c>
      <c r="E174" s="612" t="s">
        <v>1844</v>
      </c>
      <c r="F174" s="615"/>
      <c r="G174" s="615"/>
      <c r="H174" s="615"/>
      <c r="I174" s="615"/>
      <c r="J174" s="615"/>
      <c r="K174" s="615"/>
      <c r="L174" s="615"/>
      <c r="M174" s="615"/>
      <c r="N174" s="615">
        <v>5</v>
      </c>
      <c r="O174" s="615">
        <v>1745</v>
      </c>
      <c r="P174" s="628"/>
      <c r="Q174" s="616">
        <v>349</v>
      </c>
    </row>
    <row r="175" spans="1:17" ht="14.4" customHeight="1" x14ac:dyDescent="0.3">
      <c r="A175" s="611" t="s">
        <v>1828</v>
      </c>
      <c r="B175" s="612" t="s">
        <v>1693</v>
      </c>
      <c r="C175" s="612" t="s">
        <v>1331</v>
      </c>
      <c r="D175" s="612" t="s">
        <v>1845</v>
      </c>
      <c r="E175" s="612" t="s">
        <v>1846</v>
      </c>
      <c r="F175" s="615"/>
      <c r="G175" s="615"/>
      <c r="H175" s="615"/>
      <c r="I175" s="615"/>
      <c r="J175" s="615"/>
      <c r="K175" s="615"/>
      <c r="L175" s="615"/>
      <c r="M175" s="615"/>
      <c r="N175" s="615">
        <v>1</v>
      </c>
      <c r="O175" s="615">
        <v>39</v>
      </c>
      <c r="P175" s="628"/>
      <c r="Q175" s="616">
        <v>39</v>
      </c>
    </row>
    <row r="176" spans="1:17" ht="14.4" customHeight="1" x14ac:dyDescent="0.3">
      <c r="A176" s="611" t="s">
        <v>1828</v>
      </c>
      <c r="B176" s="612" t="s">
        <v>1693</v>
      </c>
      <c r="C176" s="612" t="s">
        <v>1331</v>
      </c>
      <c r="D176" s="612" t="s">
        <v>1638</v>
      </c>
      <c r="E176" s="612" t="s">
        <v>1639</v>
      </c>
      <c r="F176" s="615"/>
      <c r="G176" s="615"/>
      <c r="H176" s="615"/>
      <c r="I176" s="615"/>
      <c r="J176" s="615"/>
      <c r="K176" s="615"/>
      <c r="L176" s="615"/>
      <c r="M176" s="615"/>
      <c r="N176" s="615">
        <v>1</v>
      </c>
      <c r="O176" s="615">
        <v>170</v>
      </c>
      <c r="P176" s="628"/>
      <c r="Q176" s="616">
        <v>170</v>
      </c>
    </row>
    <row r="177" spans="1:17" ht="14.4" customHeight="1" x14ac:dyDescent="0.3">
      <c r="A177" s="611" t="s">
        <v>1828</v>
      </c>
      <c r="B177" s="612" t="s">
        <v>1693</v>
      </c>
      <c r="C177" s="612" t="s">
        <v>1331</v>
      </c>
      <c r="D177" s="612" t="s">
        <v>1847</v>
      </c>
      <c r="E177" s="612" t="s">
        <v>1848</v>
      </c>
      <c r="F177" s="615">
        <v>1</v>
      </c>
      <c r="G177" s="615">
        <v>686</v>
      </c>
      <c r="H177" s="615">
        <v>1</v>
      </c>
      <c r="I177" s="615">
        <v>686</v>
      </c>
      <c r="J177" s="615"/>
      <c r="K177" s="615"/>
      <c r="L177" s="615"/>
      <c r="M177" s="615"/>
      <c r="N177" s="615">
        <v>3</v>
      </c>
      <c r="O177" s="615">
        <v>2064</v>
      </c>
      <c r="P177" s="628">
        <v>3.008746355685131</v>
      </c>
      <c r="Q177" s="616">
        <v>688</v>
      </c>
    </row>
    <row r="178" spans="1:17" ht="14.4" customHeight="1" x14ac:dyDescent="0.3">
      <c r="A178" s="611" t="s">
        <v>1828</v>
      </c>
      <c r="B178" s="612" t="s">
        <v>1693</v>
      </c>
      <c r="C178" s="612" t="s">
        <v>1331</v>
      </c>
      <c r="D178" s="612" t="s">
        <v>1849</v>
      </c>
      <c r="E178" s="612" t="s">
        <v>1850</v>
      </c>
      <c r="F178" s="615">
        <v>1</v>
      </c>
      <c r="G178" s="615">
        <v>347</v>
      </c>
      <c r="H178" s="615">
        <v>1</v>
      </c>
      <c r="I178" s="615">
        <v>347</v>
      </c>
      <c r="J178" s="615"/>
      <c r="K178" s="615"/>
      <c r="L178" s="615"/>
      <c r="M178" s="615"/>
      <c r="N178" s="615">
        <v>1</v>
      </c>
      <c r="O178" s="615">
        <v>348</v>
      </c>
      <c r="P178" s="628">
        <v>1.0028818443804035</v>
      </c>
      <c r="Q178" s="616">
        <v>348</v>
      </c>
    </row>
    <row r="179" spans="1:17" ht="14.4" customHeight="1" x14ac:dyDescent="0.3">
      <c r="A179" s="611" t="s">
        <v>1828</v>
      </c>
      <c r="B179" s="612" t="s">
        <v>1693</v>
      </c>
      <c r="C179" s="612" t="s">
        <v>1331</v>
      </c>
      <c r="D179" s="612" t="s">
        <v>1851</v>
      </c>
      <c r="E179" s="612" t="s">
        <v>1852</v>
      </c>
      <c r="F179" s="615"/>
      <c r="G179" s="615"/>
      <c r="H179" s="615"/>
      <c r="I179" s="615"/>
      <c r="J179" s="615"/>
      <c r="K179" s="615"/>
      <c r="L179" s="615"/>
      <c r="M179" s="615"/>
      <c r="N179" s="615">
        <v>1</v>
      </c>
      <c r="O179" s="615">
        <v>173</v>
      </c>
      <c r="P179" s="628"/>
      <c r="Q179" s="616">
        <v>173</v>
      </c>
    </row>
    <row r="180" spans="1:17" ht="14.4" customHeight="1" x14ac:dyDescent="0.3">
      <c r="A180" s="611" t="s">
        <v>1828</v>
      </c>
      <c r="B180" s="612" t="s">
        <v>1693</v>
      </c>
      <c r="C180" s="612" t="s">
        <v>1331</v>
      </c>
      <c r="D180" s="612" t="s">
        <v>1853</v>
      </c>
      <c r="E180" s="612" t="s">
        <v>1854</v>
      </c>
      <c r="F180" s="615">
        <v>1</v>
      </c>
      <c r="G180" s="615">
        <v>650</v>
      </c>
      <c r="H180" s="615">
        <v>1</v>
      </c>
      <c r="I180" s="615">
        <v>650</v>
      </c>
      <c r="J180" s="615"/>
      <c r="K180" s="615"/>
      <c r="L180" s="615"/>
      <c r="M180" s="615"/>
      <c r="N180" s="615">
        <v>3</v>
      </c>
      <c r="O180" s="615">
        <v>1956</v>
      </c>
      <c r="P180" s="628">
        <v>3.0092307692307694</v>
      </c>
      <c r="Q180" s="616">
        <v>652</v>
      </c>
    </row>
    <row r="181" spans="1:17" ht="14.4" customHeight="1" x14ac:dyDescent="0.3">
      <c r="A181" s="611" t="s">
        <v>1828</v>
      </c>
      <c r="B181" s="612" t="s">
        <v>1693</v>
      </c>
      <c r="C181" s="612" t="s">
        <v>1331</v>
      </c>
      <c r="D181" s="612" t="s">
        <v>1855</v>
      </c>
      <c r="E181" s="612" t="s">
        <v>1856</v>
      </c>
      <c r="F181" s="615">
        <v>1</v>
      </c>
      <c r="G181" s="615">
        <v>650</v>
      </c>
      <c r="H181" s="615">
        <v>1</v>
      </c>
      <c r="I181" s="615">
        <v>650</v>
      </c>
      <c r="J181" s="615"/>
      <c r="K181" s="615"/>
      <c r="L181" s="615"/>
      <c r="M181" s="615"/>
      <c r="N181" s="615">
        <v>3</v>
      </c>
      <c r="O181" s="615">
        <v>1956</v>
      </c>
      <c r="P181" s="628">
        <v>3.0092307692307694</v>
      </c>
      <c r="Q181" s="616">
        <v>652</v>
      </c>
    </row>
    <row r="182" spans="1:17" ht="14.4" customHeight="1" x14ac:dyDescent="0.3">
      <c r="A182" s="611" t="s">
        <v>1828</v>
      </c>
      <c r="B182" s="612" t="s">
        <v>1693</v>
      </c>
      <c r="C182" s="612" t="s">
        <v>1331</v>
      </c>
      <c r="D182" s="612" t="s">
        <v>1857</v>
      </c>
      <c r="E182" s="612" t="s">
        <v>1858</v>
      </c>
      <c r="F182" s="615"/>
      <c r="G182" s="615"/>
      <c r="H182" s="615"/>
      <c r="I182" s="615"/>
      <c r="J182" s="615"/>
      <c r="K182" s="615"/>
      <c r="L182" s="615"/>
      <c r="M182" s="615"/>
      <c r="N182" s="615">
        <v>1</v>
      </c>
      <c r="O182" s="615">
        <v>475</v>
      </c>
      <c r="P182" s="628"/>
      <c r="Q182" s="616">
        <v>475</v>
      </c>
    </row>
    <row r="183" spans="1:17" ht="14.4" customHeight="1" x14ac:dyDescent="0.3">
      <c r="A183" s="611" t="s">
        <v>1828</v>
      </c>
      <c r="B183" s="612" t="s">
        <v>1693</v>
      </c>
      <c r="C183" s="612" t="s">
        <v>1331</v>
      </c>
      <c r="D183" s="612" t="s">
        <v>1859</v>
      </c>
      <c r="E183" s="612" t="s">
        <v>1860</v>
      </c>
      <c r="F183" s="615"/>
      <c r="G183" s="615"/>
      <c r="H183" s="615"/>
      <c r="I183" s="615"/>
      <c r="J183" s="615"/>
      <c r="K183" s="615"/>
      <c r="L183" s="615"/>
      <c r="M183" s="615"/>
      <c r="N183" s="615">
        <v>1</v>
      </c>
      <c r="O183" s="615">
        <v>167</v>
      </c>
      <c r="P183" s="628"/>
      <c r="Q183" s="616">
        <v>167</v>
      </c>
    </row>
    <row r="184" spans="1:17" ht="14.4" customHeight="1" x14ac:dyDescent="0.3">
      <c r="A184" s="611" t="s">
        <v>1828</v>
      </c>
      <c r="B184" s="612" t="s">
        <v>1693</v>
      </c>
      <c r="C184" s="612" t="s">
        <v>1331</v>
      </c>
      <c r="D184" s="612" t="s">
        <v>1861</v>
      </c>
      <c r="E184" s="612" t="s">
        <v>1862</v>
      </c>
      <c r="F184" s="615">
        <v>1</v>
      </c>
      <c r="G184" s="615">
        <v>1395</v>
      </c>
      <c r="H184" s="615">
        <v>1</v>
      </c>
      <c r="I184" s="615">
        <v>1395</v>
      </c>
      <c r="J184" s="615"/>
      <c r="K184" s="615"/>
      <c r="L184" s="615"/>
      <c r="M184" s="615"/>
      <c r="N184" s="615">
        <v>3</v>
      </c>
      <c r="O184" s="615">
        <v>4191</v>
      </c>
      <c r="P184" s="628">
        <v>3.0043010752688173</v>
      </c>
      <c r="Q184" s="616">
        <v>1397</v>
      </c>
    </row>
    <row r="185" spans="1:17" ht="14.4" customHeight="1" thickBot="1" x14ac:dyDescent="0.35">
      <c r="A185" s="617" t="s">
        <v>1828</v>
      </c>
      <c r="B185" s="618" t="s">
        <v>1693</v>
      </c>
      <c r="C185" s="618" t="s">
        <v>1331</v>
      </c>
      <c r="D185" s="618" t="s">
        <v>1863</v>
      </c>
      <c r="E185" s="618" t="s">
        <v>1864</v>
      </c>
      <c r="F185" s="621">
        <v>1</v>
      </c>
      <c r="G185" s="621">
        <v>1016</v>
      </c>
      <c r="H185" s="621">
        <v>1</v>
      </c>
      <c r="I185" s="621">
        <v>1016</v>
      </c>
      <c r="J185" s="621"/>
      <c r="K185" s="621"/>
      <c r="L185" s="621"/>
      <c r="M185" s="621"/>
      <c r="N185" s="621"/>
      <c r="O185" s="621"/>
      <c r="P185" s="629"/>
      <c r="Q185" s="62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305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2393</v>
      </c>
      <c r="D3" s="182">
        <f>SUBTOTAL(9,D6:D1048576)</f>
        <v>2035</v>
      </c>
      <c r="E3" s="182">
        <f>SUBTOTAL(9,E6:E1048576)</f>
        <v>2127</v>
      </c>
      <c r="F3" s="183">
        <f>IF(OR(E3=0,C3=0),"",E3/C3)</f>
        <v>0.88884245716673627</v>
      </c>
      <c r="G3" s="430">
        <f>SUBTOTAL(9,G6:G1048576)</f>
        <v>9666.7587000000003</v>
      </c>
      <c r="H3" s="431">
        <f>SUBTOTAL(9,H6:H1048576)</f>
        <v>8507.9097000000002</v>
      </c>
      <c r="I3" s="431">
        <f>SUBTOTAL(9,I6:I1048576)</f>
        <v>7539.3004000000001</v>
      </c>
      <c r="J3" s="183">
        <f>IF(OR(I3=0,G3=0),"",I3/G3)</f>
        <v>0.77992020220800584</v>
      </c>
      <c r="K3" s="430">
        <f>SUBTOTAL(9,K6:K1048576)</f>
        <v>2309.2799999999997</v>
      </c>
      <c r="L3" s="431">
        <f>SUBTOTAL(9,L6:L1048576)</f>
        <v>2031.4</v>
      </c>
      <c r="M3" s="431">
        <f>SUBTOTAL(9,M6:M1048576)</f>
        <v>1623.54</v>
      </c>
      <c r="N3" s="184">
        <f>IF(OR(M3=0,E3=0),"",M3/E3)</f>
        <v>0.76330042313117064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5"/>
      <c r="B5" s="806"/>
      <c r="C5" s="813">
        <v>2013</v>
      </c>
      <c r="D5" s="813">
        <v>2014</v>
      </c>
      <c r="E5" s="813">
        <v>2015</v>
      </c>
      <c r="F5" s="814" t="s">
        <v>2</v>
      </c>
      <c r="G5" s="824">
        <v>2013</v>
      </c>
      <c r="H5" s="813">
        <v>2014</v>
      </c>
      <c r="I5" s="813">
        <v>2015</v>
      </c>
      <c r="J5" s="814" t="s">
        <v>2</v>
      </c>
      <c r="K5" s="824">
        <v>2013</v>
      </c>
      <c r="L5" s="813">
        <v>2014</v>
      </c>
      <c r="M5" s="813">
        <v>2015</v>
      </c>
      <c r="N5" s="825" t="s">
        <v>80</v>
      </c>
    </row>
    <row r="6" spans="1:14" ht="14.4" customHeight="1" x14ac:dyDescent="0.3">
      <c r="A6" s="807" t="s">
        <v>1356</v>
      </c>
      <c r="B6" s="810" t="s">
        <v>1866</v>
      </c>
      <c r="C6" s="815">
        <v>1657</v>
      </c>
      <c r="D6" s="816">
        <v>1323</v>
      </c>
      <c r="E6" s="816">
        <v>1411</v>
      </c>
      <c r="F6" s="821">
        <v>0.85153892576946288</v>
      </c>
      <c r="G6" s="815">
        <v>1413.6291000000001</v>
      </c>
      <c r="H6" s="816">
        <v>1129.9743000000001</v>
      </c>
      <c r="I6" s="816">
        <v>1217.1874000000003</v>
      </c>
      <c r="J6" s="821">
        <v>0.86103731169654063</v>
      </c>
      <c r="K6" s="815">
        <v>99.42</v>
      </c>
      <c r="L6" s="816">
        <v>79.38</v>
      </c>
      <c r="M6" s="816">
        <v>84.66</v>
      </c>
      <c r="N6" s="826">
        <v>60</v>
      </c>
    </row>
    <row r="7" spans="1:14" ht="14.4" customHeight="1" x14ac:dyDescent="0.3">
      <c r="A7" s="808" t="s">
        <v>1332</v>
      </c>
      <c r="B7" s="811" t="s">
        <v>1866</v>
      </c>
      <c r="C7" s="817">
        <v>81</v>
      </c>
      <c r="D7" s="818">
        <v>117</v>
      </c>
      <c r="E7" s="818">
        <v>98</v>
      </c>
      <c r="F7" s="822">
        <v>1.2098765432098766</v>
      </c>
      <c r="G7" s="817">
        <v>12.611699999999999</v>
      </c>
      <c r="H7" s="818">
        <v>18.216899999999995</v>
      </c>
      <c r="I7" s="818">
        <v>15.611400000000001</v>
      </c>
      <c r="J7" s="822">
        <v>1.2378505673303364</v>
      </c>
      <c r="K7" s="817">
        <v>4.8600000000000003</v>
      </c>
      <c r="L7" s="818">
        <v>7.02</v>
      </c>
      <c r="M7" s="818">
        <v>5.88</v>
      </c>
      <c r="N7" s="827">
        <v>60</v>
      </c>
    </row>
    <row r="8" spans="1:14" ht="14.4" customHeight="1" x14ac:dyDescent="0.3">
      <c r="A8" s="808" t="s">
        <v>1378</v>
      </c>
      <c r="B8" s="811" t="s">
        <v>1867</v>
      </c>
      <c r="C8" s="817">
        <v>44</v>
      </c>
      <c r="D8" s="818">
        <v>43</v>
      </c>
      <c r="E8" s="818">
        <v>55</v>
      </c>
      <c r="F8" s="822">
        <v>1.25</v>
      </c>
      <c r="G8" s="817">
        <v>1146.9563999999998</v>
      </c>
      <c r="H8" s="818">
        <v>1120.9455</v>
      </c>
      <c r="I8" s="818">
        <v>1433.7674999999999</v>
      </c>
      <c r="J8" s="822">
        <v>1.2500627748360793</v>
      </c>
      <c r="K8" s="817">
        <v>352</v>
      </c>
      <c r="L8" s="818">
        <v>344</v>
      </c>
      <c r="M8" s="818">
        <v>440</v>
      </c>
      <c r="N8" s="827">
        <v>8000</v>
      </c>
    </row>
    <row r="9" spans="1:14" ht="14.4" customHeight="1" x14ac:dyDescent="0.3">
      <c r="A9" s="808" t="s">
        <v>1394</v>
      </c>
      <c r="B9" s="811" t="s">
        <v>1867</v>
      </c>
      <c r="C9" s="817">
        <v>159</v>
      </c>
      <c r="D9" s="818">
        <v>142</v>
      </c>
      <c r="E9" s="818">
        <v>91</v>
      </c>
      <c r="F9" s="822">
        <v>0.57232704402515722</v>
      </c>
      <c r="G9" s="817">
        <v>3539.3427000000001</v>
      </c>
      <c r="H9" s="818">
        <v>3161.1329999999998</v>
      </c>
      <c r="I9" s="818">
        <v>2025.7964999999999</v>
      </c>
      <c r="J9" s="822">
        <v>0.57236517390644304</v>
      </c>
      <c r="K9" s="817">
        <v>954</v>
      </c>
      <c r="L9" s="818">
        <v>852</v>
      </c>
      <c r="M9" s="818">
        <v>546</v>
      </c>
      <c r="N9" s="827">
        <v>6000</v>
      </c>
    </row>
    <row r="10" spans="1:14" ht="14.4" customHeight="1" x14ac:dyDescent="0.3">
      <c r="A10" s="808" t="s">
        <v>1380</v>
      </c>
      <c r="B10" s="811" t="s">
        <v>1867</v>
      </c>
      <c r="C10" s="817">
        <v>149</v>
      </c>
      <c r="D10" s="818">
        <v>113</v>
      </c>
      <c r="E10" s="818">
        <v>25</v>
      </c>
      <c r="F10" s="822">
        <v>0.16778523489932887</v>
      </c>
      <c r="G10" s="817">
        <v>1833.2460000000003</v>
      </c>
      <c r="H10" s="818">
        <v>1390.4423999999999</v>
      </c>
      <c r="I10" s="818">
        <v>307.62</v>
      </c>
      <c r="J10" s="822">
        <v>0.16780072068887641</v>
      </c>
      <c r="K10" s="817">
        <v>596</v>
      </c>
      <c r="L10" s="818">
        <v>452</v>
      </c>
      <c r="M10" s="818">
        <v>100</v>
      </c>
      <c r="N10" s="827">
        <v>4000</v>
      </c>
    </row>
    <row r="11" spans="1:14" ht="14.4" customHeight="1" thickBot="1" x14ac:dyDescent="0.35">
      <c r="A11" s="809" t="s">
        <v>1392</v>
      </c>
      <c r="B11" s="812" t="s">
        <v>1867</v>
      </c>
      <c r="C11" s="819">
        <v>303</v>
      </c>
      <c r="D11" s="820">
        <v>297</v>
      </c>
      <c r="E11" s="820">
        <v>447</v>
      </c>
      <c r="F11" s="823">
        <v>1.4752475247524752</v>
      </c>
      <c r="G11" s="819">
        <v>1720.9727999999998</v>
      </c>
      <c r="H11" s="820">
        <v>1687.1976000000002</v>
      </c>
      <c r="I11" s="820">
        <v>2539.3175999999994</v>
      </c>
      <c r="J11" s="823">
        <v>1.4755129192047658</v>
      </c>
      <c r="K11" s="819">
        <v>303</v>
      </c>
      <c r="L11" s="820">
        <v>297</v>
      </c>
      <c r="M11" s="820">
        <v>447</v>
      </c>
      <c r="N11" s="828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305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2013</v>
      </c>
      <c r="C3" s="44">
        <v>2014</v>
      </c>
      <c r="D3" s="11"/>
      <c r="E3" s="458">
        <v>2015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427.88286999999997</v>
      </c>
      <c r="C5" s="33">
        <v>354.81232</v>
      </c>
      <c r="D5" s="12"/>
      <c r="E5" s="214">
        <v>358.40806999999995</v>
      </c>
      <c r="F5" s="32">
        <v>395.92776887455369</v>
      </c>
      <c r="G5" s="213">
        <f>E5-F5</f>
        <v>-37.51969887455374</v>
      </c>
      <c r="H5" s="219">
        <f>IF(F5&lt;0.00000001,"",E5/F5)</f>
        <v>0.9052360005432164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550.34843000000001</v>
      </c>
      <c r="C6" s="35">
        <v>502.59260000000103</v>
      </c>
      <c r="D6" s="12"/>
      <c r="E6" s="215">
        <v>641.72287000000097</v>
      </c>
      <c r="F6" s="34">
        <v>664.91581239009565</v>
      </c>
      <c r="G6" s="216">
        <f>E6-F6</f>
        <v>-23.192942390094686</v>
      </c>
      <c r="H6" s="220">
        <f>IF(F6&lt;0.00000001,"",E6/F6)</f>
        <v>0.96511897903777366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6264.2882900000004</v>
      </c>
      <c r="C7" s="35">
        <v>6202.7014600000166</v>
      </c>
      <c r="D7" s="12"/>
      <c r="E7" s="215">
        <v>6756.2118500000033</v>
      </c>
      <c r="F7" s="34">
        <v>6784.4997863046992</v>
      </c>
      <c r="G7" s="216">
        <f>E7-F7</f>
        <v>-28.287936304695904</v>
      </c>
      <c r="H7" s="220">
        <f>IF(F7&lt;0.00000001,"",E7/F7)</f>
        <v>0.99583050524051919</v>
      </c>
    </row>
    <row r="8" spans="1:8" ht="14.4" customHeight="1" thickBot="1" x14ac:dyDescent="0.35">
      <c r="A8" s="1" t="s">
        <v>84</v>
      </c>
      <c r="B8" s="15">
        <v>1366.3222299999993</v>
      </c>
      <c r="C8" s="37">
        <v>1391.4883000000061</v>
      </c>
      <c r="D8" s="12"/>
      <c r="E8" s="217">
        <v>1359.8367900000085</v>
      </c>
      <c r="F8" s="36">
        <v>1408.9461648965025</v>
      </c>
      <c r="G8" s="218">
        <f>E8-F8</f>
        <v>-49.109374896494046</v>
      </c>
      <c r="H8" s="221">
        <f>IF(F8&lt;0.00000001,"",E8/F8)</f>
        <v>0.96514460515238953</v>
      </c>
    </row>
    <row r="9" spans="1:8" ht="14.4" customHeight="1" thickBot="1" x14ac:dyDescent="0.35">
      <c r="A9" s="2" t="s">
        <v>85</v>
      </c>
      <c r="B9" s="3">
        <v>8608.8418199999996</v>
      </c>
      <c r="C9" s="39">
        <v>8451.5946800000238</v>
      </c>
      <c r="D9" s="12"/>
      <c r="E9" s="3">
        <v>9116.1795800000127</v>
      </c>
      <c r="F9" s="38">
        <v>9254.2895324658512</v>
      </c>
      <c r="G9" s="38">
        <f>E9-F9</f>
        <v>-138.10995246583843</v>
      </c>
      <c r="H9" s="222">
        <f>IF(F9&lt;0.00000001,"",E9/F9)</f>
        <v>0.98507611502954151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10730.939999999999</v>
      </c>
      <c r="C12" s="37">
        <f>IF(ISERROR(VLOOKUP("Celkem",CaseMix!A:D,3,0)),0,VLOOKUP("Celkem",CaseMix!A:D,3,0)*30)</f>
        <v>9359.7000000000007</v>
      </c>
      <c r="D12" s="12"/>
      <c r="E12" s="217">
        <f>IF(ISERROR(VLOOKUP("Celkem",CaseMix!A:D,4,0)),0,VLOOKUP("Celkem",CaseMix!A:D,4,0)*30)</f>
        <v>10913.34</v>
      </c>
      <c r="F12" s="36">
        <f>B12</f>
        <v>10730.939999999999</v>
      </c>
      <c r="G12" s="218">
        <f>E12-F12</f>
        <v>182.40000000000146</v>
      </c>
      <c r="H12" s="221">
        <f>IF(F12&lt;0.00000001,"",E12/F12)</f>
        <v>1.0169975789632597</v>
      </c>
    </row>
    <row r="13" spans="1:8" ht="14.4" customHeight="1" thickBot="1" x14ac:dyDescent="0.35">
      <c r="A13" s="4" t="s">
        <v>88</v>
      </c>
      <c r="B13" s="9">
        <f>SUM(B11:B12)</f>
        <v>10730.939999999999</v>
      </c>
      <c r="C13" s="41">
        <f>SUM(C11:C12)</f>
        <v>9359.7000000000007</v>
      </c>
      <c r="D13" s="12"/>
      <c r="E13" s="9">
        <f>SUM(E11:E12)</f>
        <v>10913.34</v>
      </c>
      <c r="F13" s="40">
        <f>SUM(F11:F12)</f>
        <v>10730.939999999999</v>
      </c>
      <c r="G13" s="40">
        <f>E13-F13</f>
        <v>182.40000000000146</v>
      </c>
      <c r="H13" s="223">
        <f>IF(F13&lt;0.00000001,"",E13/F13)</f>
        <v>1.0169975789632597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1.2465021688596898</v>
      </c>
      <c r="C15" s="43">
        <f>IF(C9=0,"",C13/C9)</f>
        <v>1.1074478077076899</v>
      </c>
      <c r="D15" s="12"/>
      <c r="E15" s="10">
        <f>IF(E9=0,"",E13/E9)</f>
        <v>1.1971396465184581</v>
      </c>
      <c r="F15" s="42">
        <f>IF(F9=0,"",F13/F9)</f>
        <v>1.159563893300914</v>
      </c>
      <c r="G15" s="42">
        <f>IF(ISERROR(F15-E15),"",E15-F15)</f>
        <v>3.7575753217544028E-2</v>
      </c>
      <c r="H15" s="224">
        <f>IF(ISERROR(F15-E15),"",IF(F15&lt;0.00000001,"",E15/F15))</f>
        <v>1.0324050735234414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222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221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283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1.1142415197625994</v>
      </c>
      <c r="C4" s="313">
        <f t="shared" ref="C4:M4" si="0">(C10+C8)/C6</f>
        <v>1.1971396465184583</v>
      </c>
      <c r="D4" s="313">
        <f t="shared" si="0"/>
        <v>0</v>
      </c>
      <c r="E4" s="313">
        <f t="shared" si="0"/>
        <v>0</v>
      </c>
      <c r="F4" s="313">
        <f t="shared" si="0"/>
        <v>0</v>
      </c>
      <c r="G4" s="313">
        <f t="shared" si="0"/>
        <v>0</v>
      </c>
      <c r="H4" s="313">
        <f t="shared" si="0"/>
        <v>0</v>
      </c>
      <c r="I4" s="313">
        <f t="shared" si="0"/>
        <v>0</v>
      </c>
      <c r="J4" s="313">
        <f t="shared" si="0"/>
        <v>0</v>
      </c>
      <c r="K4" s="313">
        <f t="shared" si="0"/>
        <v>0</v>
      </c>
      <c r="L4" s="313">
        <f t="shared" si="0"/>
        <v>0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4450.4803599999996</v>
      </c>
      <c r="C5" s="313">
        <f>IF(ISERROR(VLOOKUP($A5,'Man Tab'!$A:$Q,COLUMN()+2,0)),0,VLOOKUP($A5,'Man Tab'!$A:$Q,COLUMN()+2,0))</f>
        <v>4665.6992200000104</v>
      </c>
      <c r="D5" s="313">
        <f>IF(ISERROR(VLOOKUP($A5,'Man Tab'!$A:$Q,COLUMN()+2,0)),0,VLOOKUP($A5,'Man Tab'!$A:$Q,COLUMN()+2,0))</f>
        <v>0</v>
      </c>
      <c r="E5" s="313">
        <f>IF(ISERROR(VLOOKUP($A5,'Man Tab'!$A:$Q,COLUMN()+2,0)),0,VLOOKUP($A5,'Man Tab'!$A:$Q,COLUMN()+2,0))</f>
        <v>0</v>
      </c>
      <c r="F5" s="313">
        <f>IF(ISERROR(VLOOKUP($A5,'Man Tab'!$A:$Q,COLUMN()+2,0)),0,VLOOKUP($A5,'Man Tab'!$A:$Q,COLUMN()+2,0))</f>
        <v>0</v>
      </c>
      <c r="G5" s="313">
        <f>IF(ISERROR(VLOOKUP($A5,'Man Tab'!$A:$Q,COLUMN()+2,0)),0,VLOOKUP($A5,'Man Tab'!$A:$Q,COLUMN()+2,0))</f>
        <v>0</v>
      </c>
      <c r="H5" s="313">
        <f>IF(ISERROR(VLOOKUP($A5,'Man Tab'!$A:$Q,COLUMN()+2,0)),0,VLOOKUP($A5,'Man Tab'!$A:$Q,COLUMN()+2,0))</f>
        <v>0</v>
      </c>
      <c r="I5" s="313">
        <f>IF(ISERROR(VLOOKUP($A5,'Man Tab'!$A:$Q,COLUMN()+2,0)),0,VLOOKUP($A5,'Man Tab'!$A:$Q,COLUMN()+2,0))</f>
        <v>0</v>
      </c>
      <c r="J5" s="313">
        <f>IF(ISERROR(VLOOKUP($A5,'Man Tab'!$A:$Q,COLUMN()+2,0)),0,VLOOKUP($A5,'Man Tab'!$A:$Q,COLUMN()+2,0))</f>
        <v>0</v>
      </c>
      <c r="K5" s="313">
        <f>IF(ISERROR(VLOOKUP($A5,'Man Tab'!$A:$Q,COLUMN()+2,0)),0,VLOOKUP($A5,'Man Tab'!$A:$Q,COLUMN()+2,0))</f>
        <v>0</v>
      </c>
      <c r="L5" s="313">
        <f>IF(ISERROR(VLOOKUP($A5,'Man Tab'!$A:$Q,COLUMN()+2,0)),0,VLOOKUP($A5,'Man Tab'!$A:$Q,COLUMN()+2,0))</f>
        <v>0</v>
      </c>
      <c r="M5" s="313">
        <f>IF(ISERROR(VLOOKUP($A5,'Man Tab'!$A:$Q,COLUMN()+2,0)),0,VLOOKUP($A5,'Man Tab'!$A:$Q,COLUMN()+2,0))</f>
        <v>0</v>
      </c>
    </row>
    <row r="6" spans="1:13" ht="14.4" customHeight="1" x14ac:dyDescent="0.3">
      <c r="A6" s="314" t="s">
        <v>85</v>
      </c>
      <c r="B6" s="315">
        <f>B5</f>
        <v>4450.4803599999996</v>
      </c>
      <c r="C6" s="315">
        <f t="shared" ref="C6:M6" si="1">C5+B6</f>
        <v>9116.1795800000109</v>
      </c>
      <c r="D6" s="315">
        <f t="shared" si="1"/>
        <v>9116.1795800000109</v>
      </c>
      <c r="E6" s="315">
        <f t="shared" si="1"/>
        <v>9116.1795800000109</v>
      </c>
      <c r="F6" s="315">
        <f t="shared" si="1"/>
        <v>9116.1795800000109</v>
      </c>
      <c r="G6" s="315">
        <f t="shared" si="1"/>
        <v>9116.1795800000109</v>
      </c>
      <c r="H6" s="315">
        <f t="shared" si="1"/>
        <v>9116.1795800000109</v>
      </c>
      <c r="I6" s="315">
        <f t="shared" si="1"/>
        <v>9116.1795800000109</v>
      </c>
      <c r="J6" s="315">
        <f t="shared" si="1"/>
        <v>9116.1795800000109</v>
      </c>
      <c r="K6" s="315">
        <f t="shared" si="1"/>
        <v>9116.1795800000109</v>
      </c>
      <c r="L6" s="315">
        <f t="shared" si="1"/>
        <v>9116.1795800000109</v>
      </c>
      <c r="M6" s="315">
        <f t="shared" si="1"/>
        <v>9116.1795800000109</v>
      </c>
    </row>
    <row r="7" spans="1:13" ht="14.4" customHeight="1" x14ac:dyDescent="0.3">
      <c r="A7" s="314" t="s">
        <v>113</v>
      </c>
      <c r="B7" s="314">
        <v>165.297</v>
      </c>
      <c r="C7" s="314">
        <v>363.77800000000002</v>
      </c>
      <c r="D7" s="314"/>
      <c r="E7" s="314"/>
      <c r="F7" s="314"/>
      <c r="G7" s="314"/>
      <c r="H7" s="314"/>
      <c r="I7" s="314"/>
      <c r="J7" s="314"/>
      <c r="K7" s="314"/>
      <c r="L7" s="314"/>
      <c r="M7" s="314"/>
    </row>
    <row r="8" spans="1:13" ht="14.4" customHeight="1" x14ac:dyDescent="0.3">
      <c r="A8" s="314" t="s">
        <v>86</v>
      </c>
      <c r="B8" s="315">
        <f>B7*30</f>
        <v>4958.91</v>
      </c>
      <c r="C8" s="315">
        <f t="shared" ref="C8:M8" si="2">C7*30</f>
        <v>10913.34</v>
      </c>
      <c r="D8" s="315">
        <f t="shared" si="2"/>
        <v>0</v>
      </c>
      <c r="E8" s="315">
        <f t="shared" si="2"/>
        <v>0</v>
      </c>
      <c r="F8" s="315">
        <f t="shared" si="2"/>
        <v>0</v>
      </c>
      <c r="G8" s="315">
        <f t="shared" si="2"/>
        <v>0</v>
      </c>
      <c r="H8" s="315">
        <f t="shared" si="2"/>
        <v>0</v>
      </c>
      <c r="I8" s="315">
        <f t="shared" si="2"/>
        <v>0</v>
      </c>
      <c r="J8" s="315">
        <f t="shared" si="2"/>
        <v>0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2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1.159563893300914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1.159563893300914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307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2015</v>
      </c>
      <c r="C4" s="248" t="s">
        <v>17</v>
      </c>
      <c r="D4" s="226" t="s">
        <v>284</v>
      </c>
      <c r="E4" s="226" t="s">
        <v>285</v>
      </c>
      <c r="F4" s="226" t="s">
        <v>286</v>
      </c>
      <c r="G4" s="226" t="s">
        <v>287</v>
      </c>
      <c r="H4" s="226" t="s">
        <v>288</v>
      </c>
      <c r="I4" s="226" t="s">
        <v>289</v>
      </c>
      <c r="J4" s="226" t="s">
        <v>290</v>
      </c>
      <c r="K4" s="226" t="s">
        <v>291</v>
      </c>
      <c r="L4" s="226" t="s">
        <v>292</v>
      </c>
      <c r="M4" s="226" t="s">
        <v>293</v>
      </c>
      <c r="N4" s="226" t="s">
        <v>294</v>
      </c>
      <c r="O4" s="226" t="s">
        <v>295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306</v>
      </c>
    </row>
    <row r="7" spans="1:17" ht="14.4" customHeight="1" x14ac:dyDescent="0.3">
      <c r="A7" s="19" t="s">
        <v>22</v>
      </c>
      <c r="B7" s="55">
        <v>2375.5666132473202</v>
      </c>
      <c r="C7" s="56">
        <v>197.96388443727699</v>
      </c>
      <c r="D7" s="56">
        <v>140.37857</v>
      </c>
      <c r="E7" s="56">
        <v>218.02950000000101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358.40807000000098</v>
      </c>
      <c r="Q7" s="174">
        <v>0.90523600054300002</v>
      </c>
    </row>
    <row r="8" spans="1:17" ht="14.4" customHeight="1" x14ac:dyDescent="0.3">
      <c r="A8" s="19" t="s">
        <v>23</v>
      </c>
      <c r="B8" s="55">
        <v>329.06808144206298</v>
      </c>
      <c r="C8" s="56">
        <v>27.422340120171</v>
      </c>
      <c r="D8" s="56">
        <v>11.711</v>
      </c>
      <c r="E8" s="56">
        <v>17.672000000000001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29.382999999999999</v>
      </c>
      <c r="Q8" s="174">
        <v>0.53574931736700004</v>
      </c>
    </row>
    <row r="9" spans="1:17" ht="14.4" customHeight="1" x14ac:dyDescent="0.3">
      <c r="A9" s="19" t="s">
        <v>24</v>
      </c>
      <c r="B9" s="55">
        <v>3989.4948743405798</v>
      </c>
      <c r="C9" s="56">
        <v>332.457906195048</v>
      </c>
      <c r="D9" s="56">
        <v>261.45222000000001</v>
      </c>
      <c r="E9" s="56">
        <v>380.27065000000101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641.72287000000097</v>
      </c>
      <c r="Q9" s="174">
        <v>0.96511897903699995</v>
      </c>
    </row>
    <row r="10" spans="1:17" ht="14.4" customHeight="1" x14ac:dyDescent="0.3">
      <c r="A10" s="19" t="s">
        <v>25</v>
      </c>
      <c r="B10" s="55">
        <v>296.336027406401</v>
      </c>
      <c r="C10" s="56">
        <v>24.694668950533</v>
      </c>
      <c r="D10" s="56">
        <v>32.210050000000003</v>
      </c>
      <c r="E10" s="56">
        <v>15.70642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47.916469999999997</v>
      </c>
      <c r="Q10" s="174">
        <v>0.97017842385200004</v>
      </c>
    </row>
    <row r="11" spans="1:17" ht="14.4" customHeight="1" x14ac:dyDescent="0.3">
      <c r="A11" s="19" t="s">
        <v>26</v>
      </c>
      <c r="B11" s="55">
        <v>667.98212078851702</v>
      </c>
      <c r="C11" s="56">
        <v>55.665176732375997</v>
      </c>
      <c r="D11" s="56">
        <v>52.501829999999998</v>
      </c>
      <c r="E11" s="56">
        <v>61.426380000000002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113.92821000000001</v>
      </c>
      <c r="Q11" s="174">
        <v>1.0233346652940001</v>
      </c>
    </row>
    <row r="12" spans="1:17" ht="14.4" customHeight="1" x14ac:dyDescent="0.3">
      <c r="A12" s="19" t="s">
        <v>27</v>
      </c>
      <c r="B12" s="55">
        <v>305.06823129983297</v>
      </c>
      <c r="C12" s="56">
        <v>25.422352608318999</v>
      </c>
      <c r="D12" s="56">
        <v>48.677610000000001</v>
      </c>
      <c r="E12" s="56">
        <v>37.191929999999999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85.869540000000001</v>
      </c>
      <c r="Q12" s="174">
        <v>1.6888590391880001</v>
      </c>
    </row>
    <row r="13" spans="1:17" ht="14.4" customHeight="1" x14ac:dyDescent="0.3">
      <c r="A13" s="19" t="s">
        <v>28</v>
      </c>
      <c r="B13" s="55">
        <v>541.99998292831299</v>
      </c>
      <c r="C13" s="56">
        <v>45.166665244025999</v>
      </c>
      <c r="D13" s="56">
        <v>27.237680000000001</v>
      </c>
      <c r="E13" s="56">
        <v>34.664740000000002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61.902419999999999</v>
      </c>
      <c r="Q13" s="174">
        <v>0.68526666365</v>
      </c>
    </row>
    <row r="14" spans="1:17" ht="14.4" customHeight="1" x14ac:dyDescent="0.3">
      <c r="A14" s="19" t="s">
        <v>29</v>
      </c>
      <c r="B14" s="55">
        <v>900.27926435130496</v>
      </c>
      <c r="C14" s="56">
        <v>75.023272029275006</v>
      </c>
      <c r="D14" s="56">
        <v>119.806</v>
      </c>
      <c r="E14" s="56">
        <v>100.574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220.38</v>
      </c>
      <c r="Q14" s="174">
        <v>1.4687442578750001</v>
      </c>
    </row>
    <row r="15" spans="1:17" ht="14.4" customHeight="1" x14ac:dyDescent="0.3">
      <c r="A15" s="19" t="s">
        <v>30</v>
      </c>
      <c r="B15" s="55">
        <v>160.45208961352799</v>
      </c>
      <c r="C15" s="56">
        <v>13.371007467794</v>
      </c>
      <c r="D15" s="56">
        <v>9.2223199999999999</v>
      </c>
      <c r="E15" s="56">
        <v>7.4296600000000002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16.651979999999998</v>
      </c>
      <c r="Q15" s="174">
        <v>0.62268980254799999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306</v>
      </c>
    </row>
    <row r="17" spans="1:17" ht="14.4" customHeight="1" x14ac:dyDescent="0.3">
      <c r="A17" s="19" t="s">
        <v>32</v>
      </c>
      <c r="B17" s="55">
        <v>901.75626412193401</v>
      </c>
      <c r="C17" s="56">
        <v>75.146355343493994</v>
      </c>
      <c r="D17" s="56">
        <v>3.9043299999999999</v>
      </c>
      <c r="E17" s="56">
        <v>63.264789999999998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67.169120000000007</v>
      </c>
      <c r="Q17" s="174">
        <v>0.44692200768000001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0.67200000000000004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0.67200000000000004</v>
      </c>
      <c r="Q18" s="174" t="s">
        <v>306</v>
      </c>
    </row>
    <row r="19" spans="1:17" ht="14.4" customHeight="1" x14ac:dyDescent="0.3">
      <c r="A19" s="19" t="s">
        <v>34</v>
      </c>
      <c r="B19" s="55">
        <v>1740.73453623555</v>
      </c>
      <c r="C19" s="56">
        <v>145.061211352963</v>
      </c>
      <c r="D19" s="56">
        <v>150.95799</v>
      </c>
      <c r="E19" s="56">
        <v>116.34777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267.30576000000002</v>
      </c>
      <c r="Q19" s="174">
        <v>0.921355052487</v>
      </c>
    </row>
    <row r="20" spans="1:17" ht="14.4" customHeight="1" x14ac:dyDescent="0.3">
      <c r="A20" s="19" t="s">
        <v>35</v>
      </c>
      <c r="B20" s="55">
        <v>40706.998717828203</v>
      </c>
      <c r="C20" s="56">
        <v>3392.2498931523501</v>
      </c>
      <c r="D20" s="56">
        <v>3358.1353899999999</v>
      </c>
      <c r="E20" s="56">
        <v>3398.0764600000098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6756.2118500000097</v>
      </c>
      <c r="Q20" s="174">
        <v>0.99583050524000005</v>
      </c>
    </row>
    <row r="21" spans="1:17" ht="14.4" customHeight="1" x14ac:dyDescent="0.3">
      <c r="A21" s="20" t="s">
        <v>36</v>
      </c>
      <c r="B21" s="55">
        <v>2610.0003911916201</v>
      </c>
      <c r="C21" s="56">
        <v>217.50003259930199</v>
      </c>
      <c r="D21" s="56">
        <v>211.233</v>
      </c>
      <c r="E21" s="56">
        <v>211.23200000000099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422.46499999999997</v>
      </c>
      <c r="Q21" s="174">
        <v>0.97118376248299998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21.253</v>
      </c>
      <c r="E22" s="56">
        <v>3.1414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24.394400000000001</v>
      </c>
      <c r="Q22" s="174" t="s">
        <v>306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306</v>
      </c>
    </row>
    <row r="24" spans="1:17" ht="14.4" customHeight="1" x14ac:dyDescent="0.3">
      <c r="A24" s="20" t="s">
        <v>39</v>
      </c>
      <c r="B24" s="55">
        <v>-7.2759576141834308E-12</v>
      </c>
      <c r="C24" s="56">
        <v>0</v>
      </c>
      <c r="D24" s="56">
        <v>1.799369999999</v>
      </c>
      <c r="E24" s="56">
        <v>-4.8000000000000001E-4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1.798889999999</v>
      </c>
      <c r="Q24" s="174"/>
    </row>
    <row r="25" spans="1:17" ht="14.4" customHeight="1" x14ac:dyDescent="0.3">
      <c r="A25" s="21" t="s">
        <v>40</v>
      </c>
      <c r="B25" s="58">
        <v>55525.737194795103</v>
      </c>
      <c r="C25" s="59">
        <v>4627.1447662329301</v>
      </c>
      <c r="D25" s="59">
        <v>4450.4803599999996</v>
      </c>
      <c r="E25" s="59">
        <v>4665.6992200000104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9116.1795800000109</v>
      </c>
      <c r="Q25" s="175">
        <v>0.98507611502900005</v>
      </c>
    </row>
    <row r="26" spans="1:17" ht="14.4" customHeight="1" x14ac:dyDescent="0.3">
      <c r="A26" s="19" t="s">
        <v>41</v>
      </c>
      <c r="B26" s="55">
        <v>0</v>
      </c>
      <c r="C26" s="56">
        <v>0</v>
      </c>
      <c r="D26" s="56">
        <v>776.23216000000002</v>
      </c>
      <c r="E26" s="56">
        <v>548.87001999999995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1325.1021800000001</v>
      </c>
      <c r="Q26" s="174" t="s">
        <v>306</v>
      </c>
    </row>
    <row r="27" spans="1:17" ht="14.4" customHeight="1" x14ac:dyDescent="0.3">
      <c r="A27" s="22" t="s">
        <v>42</v>
      </c>
      <c r="B27" s="58">
        <v>55525.737194795103</v>
      </c>
      <c r="C27" s="59">
        <v>4627.1447662329301</v>
      </c>
      <c r="D27" s="59">
        <v>5226.71252</v>
      </c>
      <c r="E27" s="59">
        <v>5214.5692400000098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10441.28176</v>
      </c>
      <c r="Q27" s="175">
        <v>1.128264003775</v>
      </c>
    </row>
    <row r="28" spans="1:17" ht="14.4" customHeight="1" x14ac:dyDescent="0.3">
      <c r="A28" s="20" t="s">
        <v>43</v>
      </c>
      <c r="B28" s="55">
        <v>1.58582871395</v>
      </c>
      <c r="C28" s="56">
        <v>0.13215239282899999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74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306</v>
      </c>
    </row>
    <row r="30" spans="1:17" ht="14.4" customHeight="1" x14ac:dyDescent="0.3">
      <c r="A30" s="20" t="s">
        <v>45</v>
      </c>
      <c r="B30" s="55">
        <v>176.00000000004599</v>
      </c>
      <c r="C30" s="56">
        <v>14.66666666667</v>
      </c>
      <c r="D30" s="56">
        <v>12.086930000000001</v>
      </c>
      <c r="E30" s="56">
        <v>7.4739599999999999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19.560890000000001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18.939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18.939</v>
      </c>
      <c r="Q31" s="176" t="s">
        <v>306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304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300</v>
      </c>
      <c r="G4" s="473" t="s">
        <v>51</v>
      </c>
      <c r="H4" s="250" t="s">
        <v>164</v>
      </c>
      <c r="I4" s="471" t="s">
        <v>52</v>
      </c>
      <c r="J4" s="473" t="s">
        <v>302</v>
      </c>
      <c r="K4" s="474" t="s">
        <v>303</v>
      </c>
    </row>
    <row r="5" spans="1:11" ht="42" thickBot="1" x14ac:dyDescent="0.35">
      <c r="A5" s="94"/>
      <c r="B5" s="28" t="s">
        <v>296</v>
      </c>
      <c r="C5" s="29" t="s">
        <v>297</v>
      </c>
      <c r="D5" s="30" t="s">
        <v>298</v>
      </c>
      <c r="E5" s="30" t="s">
        <v>299</v>
      </c>
      <c r="F5" s="472"/>
      <c r="G5" s="472"/>
      <c r="H5" s="29" t="s">
        <v>301</v>
      </c>
      <c r="I5" s="472"/>
      <c r="J5" s="472"/>
      <c r="K5" s="475"/>
    </row>
    <row r="6" spans="1:11" ht="14.4" customHeight="1" thickBot="1" x14ac:dyDescent="0.35">
      <c r="A6" s="584" t="s">
        <v>308</v>
      </c>
      <c r="B6" s="566">
        <v>55737.338482537802</v>
      </c>
      <c r="C6" s="566">
        <v>56365.75866</v>
      </c>
      <c r="D6" s="567">
        <v>628.42017746226304</v>
      </c>
      <c r="E6" s="568">
        <v>1.011274671424</v>
      </c>
      <c r="F6" s="566">
        <v>55526.424335598203</v>
      </c>
      <c r="G6" s="567">
        <v>9254.4040559330297</v>
      </c>
      <c r="H6" s="569">
        <v>4665.6992200000104</v>
      </c>
      <c r="I6" s="566">
        <v>9116.1795800000109</v>
      </c>
      <c r="J6" s="567">
        <v>-138.22447593302101</v>
      </c>
      <c r="K6" s="570">
        <v>0.164177320781</v>
      </c>
    </row>
    <row r="7" spans="1:11" ht="14.4" customHeight="1" thickBot="1" x14ac:dyDescent="0.35">
      <c r="A7" s="585" t="s">
        <v>309</v>
      </c>
      <c r="B7" s="566">
        <v>9891.3820096076306</v>
      </c>
      <c r="C7" s="566">
        <v>9224.8231599999999</v>
      </c>
      <c r="D7" s="567">
        <v>-666.55884960762205</v>
      </c>
      <c r="E7" s="568">
        <v>0.932612161883</v>
      </c>
      <c r="F7" s="566">
        <v>9566.9344262209197</v>
      </c>
      <c r="G7" s="567">
        <v>1594.48907103682</v>
      </c>
      <c r="H7" s="569">
        <v>872.96480000000201</v>
      </c>
      <c r="I7" s="566">
        <v>1577.96145</v>
      </c>
      <c r="J7" s="567">
        <v>-16.527621036818001</v>
      </c>
      <c r="K7" s="570">
        <v>0.164939089127</v>
      </c>
    </row>
    <row r="8" spans="1:11" ht="14.4" customHeight="1" thickBot="1" x14ac:dyDescent="0.35">
      <c r="A8" s="586" t="s">
        <v>310</v>
      </c>
      <c r="B8" s="566">
        <v>8905.8068164631895</v>
      </c>
      <c r="C8" s="566">
        <v>8207.7589200000002</v>
      </c>
      <c r="D8" s="567">
        <v>-698.04789646318397</v>
      </c>
      <c r="E8" s="568">
        <v>0.92161879200200003</v>
      </c>
      <c r="F8" s="566">
        <v>8506.2030722560903</v>
      </c>
      <c r="G8" s="567">
        <v>1417.70051204268</v>
      </c>
      <c r="H8" s="569">
        <v>764.96114000000205</v>
      </c>
      <c r="I8" s="566">
        <v>1340.92947</v>
      </c>
      <c r="J8" s="567">
        <v>-76.771042042678999</v>
      </c>
      <c r="K8" s="570">
        <v>0.15764136578999999</v>
      </c>
    </row>
    <row r="9" spans="1:11" ht="14.4" customHeight="1" thickBot="1" x14ac:dyDescent="0.35">
      <c r="A9" s="587" t="s">
        <v>311</v>
      </c>
      <c r="B9" s="571">
        <v>0</v>
      </c>
      <c r="C9" s="571">
        <v>6.2100000000000002E-3</v>
      </c>
      <c r="D9" s="572">
        <v>6.2100000000000002E-3</v>
      </c>
      <c r="E9" s="573" t="s">
        <v>306</v>
      </c>
      <c r="F9" s="571">
        <v>0</v>
      </c>
      <c r="G9" s="572">
        <v>0</v>
      </c>
      <c r="H9" s="574">
        <v>-4.8000000000000001E-4</v>
      </c>
      <c r="I9" s="571">
        <v>-1.1100000000000001E-3</v>
      </c>
      <c r="J9" s="572">
        <v>-1.1100000000000001E-3</v>
      </c>
      <c r="K9" s="575" t="s">
        <v>306</v>
      </c>
    </row>
    <row r="10" spans="1:11" ht="14.4" customHeight="1" thickBot="1" x14ac:dyDescent="0.35">
      <c r="A10" s="588" t="s">
        <v>312</v>
      </c>
      <c r="B10" s="566">
        <v>0</v>
      </c>
      <c r="C10" s="566">
        <v>6.2100000000000002E-3</v>
      </c>
      <c r="D10" s="567">
        <v>6.2100000000000002E-3</v>
      </c>
      <c r="E10" s="576" t="s">
        <v>306</v>
      </c>
      <c r="F10" s="566">
        <v>0</v>
      </c>
      <c r="G10" s="567">
        <v>0</v>
      </c>
      <c r="H10" s="569">
        <v>-4.8000000000000001E-4</v>
      </c>
      <c r="I10" s="566">
        <v>-1.1100000000000001E-3</v>
      </c>
      <c r="J10" s="567">
        <v>-1.1100000000000001E-3</v>
      </c>
      <c r="K10" s="577" t="s">
        <v>306</v>
      </c>
    </row>
    <row r="11" spans="1:11" ht="14.4" customHeight="1" thickBot="1" x14ac:dyDescent="0.35">
      <c r="A11" s="587" t="s">
        <v>313</v>
      </c>
      <c r="B11" s="571">
        <v>2460.0731170639301</v>
      </c>
      <c r="C11" s="571">
        <v>2250.1859599999998</v>
      </c>
      <c r="D11" s="572">
        <v>-209.88715706392901</v>
      </c>
      <c r="E11" s="578">
        <v>0.91468255329100001</v>
      </c>
      <c r="F11" s="571">
        <v>2375.5666132473202</v>
      </c>
      <c r="G11" s="572">
        <v>395.92776887455301</v>
      </c>
      <c r="H11" s="574">
        <v>218.02950000000101</v>
      </c>
      <c r="I11" s="571">
        <v>358.40807000000098</v>
      </c>
      <c r="J11" s="572">
        <v>-37.519698874551999</v>
      </c>
      <c r="K11" s="579">
        <v>0.15087266675700001</v>
      </c>
    </row>
    <row r="12" spans="1:11" ht="14.4" customHeight="1" thickBot="1" x14ac:dyDescent="0.35">
      <c r="A12" s="588" t="s">
        <v>314</v>
      </c>
      <c r="B12" s="566">
        <v>1743.00455479979</v>
      </c>
      <c r="C12" s="566">
        <v>1535.4266600000001</v>
      </c>
      <c r="D12" s="567">
        <v>-207.57789479979101</v>
      </c>
      <c r="E12" s="568">
        <v>0.88090800208800002</v>
      </c>
      <c r="F12" s="566">
        <v>1557.2208771210801</v>
      </c>
      <c r="G12" s="567">
        <v>259.53681285351303</v>
      </c>
      <c r="H12" s="569">
        <v>151.32037</v>
      </c>
      <c r="I12" s="566">
        <v>246.15886</v>
      </c>
      <c r="J12" s="567">
        <v>-13.377952853511999</v>
      </c>
      <c r="K12" s="570">
        <v>0.15807575124100001</v>
      </c>
    </row>
    <row r="13" spans="1:11" ht="14.4" customHeight="1" thickBot="1" x14ac:dyDescent="0.35">
      <c r="A13" s="588" t="s">
        <v>315</v>
      </c>
      <c r="B13" s="566">
        <v>227.46322933858701</v>
      </c>
      <c r="C13" s="566">
        <v>118.41522000000001</v>
      </c>
      <c r="D13" s="567">
        <v>-109.04800933858699</v>
      </c>
      <c r="E13" s="568">
        <v>0.52059060422299996</v>
      </c>
      <c r="F13" s="566">
        <v>182.691564413734</v>
      </c>
      <c r="G13" s="567">
        <v>30.448594068955</v>
      </c>
      <c r="H13" s="569">
        <v>13.79364</v>
      </c>
      <c r="I13" s="566">
        <v>24.818460000000002</v>
      </c>
      <c r="J13" s="567">
        <v>-5.6301340689549999</v>
      </c>
      <c r="K13" s="570">
        <v>0.13584896532900001</v>
      </c>
    </row>
    <row r="14" spans="1:11" ht="14.4" customHeight="1" thickBot="1" x14ac:dyDescent="0.35">
      <c r="A14" s="588" t="s">
        <v>316</v>
      </c>
      <c r="B14" s="566">
        <v>29.000254639383002</v>
      </c>
      <c r="C14" s="566">
        <v>20.892779999999998</v>
      </c>
      <c r="D14" s="567">
        <v>-8.1074746393829997</v>
      </c>
      <c r="E14" s="568">
        <v>0.72043436375900005</v>
      </c>
      <c r="F14" s="566">
        <v>25.825966599986</v>
      </c>
      <c r="G14" s="567">
        <v>4.3043277666639996</v>
      </c>
      <c r="H14" s="569">
        <v>0.86184000000000005</v>
      </c>
      <c r="I14" s="566">
        <v>0.86184000000000005</v>
      </c>
      <c r="J14" s="567">
        <v>-3.4424877666640001</v>
      </c>
      <c r="K14" s="570">
        <v>3.3371064609000002E-2</v>
      </c>
    </row>
    <row r="15" spans="1:11" ht="14.4" customHeight="1" thickBot="1" x14ac:dyDescent="0.35">
      <c r="A15" s="588" t="s">
        <v>317</v>
      </c>
      <c r="B15" s="566">
        <v>171.44073677431899</v>
      </c>
      <c r="C15" s="566">
        <v>132.61711</v>
      </c>
      <c r="D15" s="567">
        <v>-38.823626774319003</v>
      </c>
      <c r="E15" s="568">
        <v>0.77354491409199999</v>
      </c>
      <c r="F15" s="566">
        <v>147.30004187562</v>
      </c>
      <c r="G15" s="567">
        <v>24.550006979270002</v>
      </c>
      <c r="H15" s="569">
        <v>12.201750000000001</v>
      </c>
      <c r="I15" s="566">
        <v>27.522400000000001</v>
      </c>
      <c r="J15" s="567">
        <v>2.9723930207299998</v>
      </c>
      <c r="K15" s="570">
        <v>0.18684583961699999</v>
      </c>
    </row>
    <row r="16" spans="1:11" ht="14.4" customHeight="1" thickBot="1" x14ac:dyDescent="0.35">
      <c r="A16" s="588" t="s">
        <v>318</v>
      </c>
      <c r="B16" s="566">
        <v>8.5005763261750005</v>
      </c>
      <c r="C16" s="566">
        <v>8.4018800000000002</v>
      </c>
      <c r="D16" s="567">
        <v>-9.8696326175000001E-2</v>
      </c>
      <c r="E16" s="568">
        <v>0.98838945473899997</v>
      </c>
      <c r="F16" s="566">
        <v>6.6956635651919996</v>
      </c>
      <c r="G16" s="567">
        <v>1.115943927532</v>
      </c>
      <c r="H16" s="569">
        <v>0.92396</v>
      </c>
      <c r="I16" s="566">
        <v>1.2978499999999999</v>
      </c>
      <c r="J16" s="567">
        <v>0.181906072467</v>
      </c>
      <c r="K16" s="570">
        <v>0.19383441049</v>
      </c>
    </row>
    <row r="17" spans="1:11" ht="14.4" customHeight="1" thickBot="1" x14ac:dyDescent="0.35">
      <c r="A17" s="588" t="s">
        <v>319</v>
      </c>
      <c r="B17" s="566">
        <v>280.66376518567301</v>
      </c>
      <c r="C17" s="566">
        <v>434.43230999999997</v>
      </c>
      <c r="D17" s="567">
        <v>153.76854481432699</v>
      </c>
      <c r="E17" s="568">
        <v>1.5478745883439999</v>
      </c>
      <c r="F17" s="566">
        <v>455.83249967170798</v>
      </c>
      <c r="G17" s="567">
        <v>75.972083278617006</v>
      </c>
      <c r="H17" s="569">
        <v>38.92794</v>
      </c>
      <c r="I17" s="566">
        <v>57.748660000000001</v>
      </c>
      <c r="J17" s="567">
        <v>-18.223423278616998</v>
      </c>
      <c r="K17" s="570">
        <v>0.12668833407300001</v>
      </c>
    </row>
    <row r="18" spans="1:11" ht="14.4" customHeight="1" thickBot="1" x14ac:dyDescent="0.35">
      <c r="A18" s="587" t="s">
        <v>320</v>
      </c>
      <c r="B18" s="571">
        <v>427.69522588613199</v>
      </c>
      <c r="C18" s="571">
        <v>334.38299999999998</v>
      </c>
      <c r="D18" s="572">
        <v>-93.312225886131998</v>
      </c>
      <c r="E18" s="578">
        <v>0.78182542090999996</v>
      </c>
      <c r="F18" s="571">
        <v>329.06808144206298</v>
      </c>
      <c r="G18" s="572">
        <v>54.844680240343003</v>
      </c>
      <c r="H18" s="574">
        <v>17.672000000000001</v>
      </c>
      <c r="I18" s="571">
        <v>29.382999999999999</v>
      </c>
      <c r="J18" s="572">
        <v>-25.461680240343</v>
      </c>
      <c r="K18" s="579">
        <v>8.9291552893999995E-2</v>
      </c>
    </row>
    <row r="19" spans="1:11" ht="14.4" customHeight="1" thickBot="1" x14ac:dyDescent="0.35">
      <c r="A19" s="588" t="s">
        <v>321</v>
      </c>
      <c r="B19" s="566">
        <v>414.99754107842602</v>
      </c>
      <c r="C19" s="566">
        <v>315.62099999999998</v>
      </c>
      <c r="D19" s="567">
        <v>-99.376541078425007</v>
      </c>
      <c r="E19" s="568">
        <v>0.76053703638699999</v>
      </c>
      <c r="F19" s="566">
        <v>309.99999023575299</v>
      </c>
      <c r="G19" s="567">
        <v>51.666665039291999</v>
      </c>
      <c r="H19" s="569">
        <v>16.73</v>
      </c>
      <c r="I19" s="566">
        <v>28.440999999999999</v>
      </c>
      <c r="J19" s="567">
        <v>-23.225665039292</v>
      </c>
      <c r="K19" s="570">
        <v>9.1745164180000005E-2</v>
      </c>
    </row>
    <row r="20" spans="1:11" ht="14.4" customHeight="1" thickBot="1" x14ac:dyDescent="0.35">
      <c r="A20" s="588" t="s">
        <v>322</v>
      </c>
      <c r="B20" s="566">
        <v>12.697684807706</v>
      </c>
      <c r="C20" s="566">
        <v>18.762</v>
      </c>
      <c r="D20" s="567">
        <v>6.0643151922929999</v>
      </c>
      <c r="E20" s="568">
        <v>1.477592197643</v>
      </c>
      <c r="F20" s="566">
        <v>19.068091206310001</v>
      </c>
      <c r="G20" s="567">
        <v>3.1780152010510001</v>
      </c>
      <c r="H20" s="569">
        <v>0.94199999999999995</v>
      </c>
      <c r="I20" s="566">
        <v>0.94199999999999995</v>
      </c>
      <c r="J20" s="567">
        <v>-2.2360152010509999</v>
      </c>
      <c r="K20" s="570">
        <v>4.9401903410000003E-2</v>
      </c>
    </row>
    <row r="21" spans="1:11" ht="14.4" customHeight="1" thickBot="1" x14ac:dyDescent="0.35">
      <c r="A21" s="587" t="s">
        <v>323</v>
      </c>
      <c r="B21" s="571">
        <v>4293.9194465689898</v>
      </c>
      <c r="C21" s="571">
        <v>3809.46974</v>
      </c>
      <c r="D21" s="572">
        <v>-484.44970656898801</v>
      </c>
      <c r="E21" s="578">
        <v>0.88717773758899998</v>
      </c>
      <c r="F21" s="571">
        <v>3989.4948743405798</v>
      </c>
      <c r="G21" s="572">
        <v>664.91581239009599</v>
      </c>
      <c r="H21" s="574">
        <v>380.27065000000101</v>
      </c>
      <c r="I21" s="571">
        <v>641.72287000000097</v>
      </c>
      <c r="J21" s="572">
        <v>-23.192942390094998</v>
      </c>
      <c r="K21" s="579">
        <v>0.16085316317199999</v>
      </c>
    </row>
    <row r="22" spans="1:11" ht="14.4" customHeight="1" thickBot="1" x14ac:dyDescent="0.35">
      <c r="A22" s="588" t="s">
        <v>324</v>
      </c>
      <c r="B22" s="566">
        <v>0</v>
      </c>
      <c r="C22" s="566">
        <v>0.495</v>
      </c>
      <c r="D22" s="567">
        <v>0.495</v>
      </c>
      <c r="E22" s="576" t="s">
        <v>325</v>
      </c>
      <c r="F22" s="566">
        <v>0.49499998440800003</v>
      </c>
      <c r="G22" s="567">
        <v>8.2499997401000003E-2</v>
      </c>
      <c r="H22" s="569">
        <v>0</v>
      </c>
      <c r="I22" s="566">
        <v>0</v>
      </c>
      <c r="J22" s="567">
        <v>-8.2499997401000003E-2</v>
      </c>
      <c r="K22" s="570">
        <v>0</v>
      </c>
    </row>
    <row r="23" spans="1:11" ht="14.4" customHeight="1" thickBot="1" x14ac:dyDescent="0.35">
      <c r="A23" s="588" t="s">
        <v>326</v>
      </c>
      <c r="B23" s="566">
        <v>538.07915933653203</v>
      </c>
      <c r="C23" s="566">
        <v>457.00738999999999</v>
      </c>
      <c r="D23" s="567">
        <v>-81.071769336532</v>
      </c>
      <c r="E23" s="568">
        <v>0.84933114778700003</v>
      </c>
      <c r="F23" s="566">
        <v>405.99998721198398</v>
      </c>
      <c r="G23" s="567">
        <v>67.66666453533</v>
      </c>
      <c r="H23" s="569">
        <v>37.584949999999999</v>
      </c>
      <c r="I23" s="566">
        <v>46.774799999999999</v>
      </c>
      <c r="J23" s="567">
        <v>-20.891864535330001</v>
      </c>
      <c r="K23" s="570">
        <v>0.115208870623</v>
      </c>
    </row>
    <row r="24" spans="1:11" ht="14.4" customHeight="1" thickBot="1" x14ac:dyDescent="0.35">
      <c r="A24" s="588" t="s">
        <v>327</v>
      </c>
      <c r="B24" s="566">
        <v>5.329276886113</v>
      </c>
      <c r="C24" s="566">
        <v>3.8418800000000002</v>
      </c>
      <c r="D24" s="567">
        <v>-1.487396886113</v>
      </c>
      <c r="E24" s="568">
        <v>0.72090080551199998</v>
      </c>
      <c r="F24" s="566">
        <v>4.9999998425119996</v>
      </c>
      <c r="G24" s="567">
        <v>0.83333330708499997</v>
      </c>
      <c r="H24" s="569">
        <v>0.74953999999999998</v>
      </c>
      <c r="I24" s="566">
        <v>0.74953999999999998</v>
      </c>
      <c r="J24" s="567">
        <v>-8.3793307085000004E-2</v>
      </c>
      <c r="K24" s="570">
        <v>0.14990800472099999</v>
      </c>
    </row>
    <row r="25" spans="1:11" ht="14.4" customHeight="1" thickBot="1" x14ac:dyDescent="0.35">
      <c r="A25" s="588" t="s">
        <v>328</v>
      </c>
      <c r="B25" s="566">
        <v>161.82924209274901</v>
      </c>
      <c r="C25" s="566">
        <v>165.79262</v>
      </c>
      <c r="D25" s="567">
        <v>3.963377907251</v>
      </c>
      <c r="E25" s="568">
        <v>1.0244911108520001</v>
      </c>
      <c r="F25" s="566">
        <v>163.999994834397</v>
      </c>
      <c r="G25" s="567">
        <v>27.333332472399</v>
      </c>
      <c r="H25" s="569">
        <v>10.056749999999999</v>
      </c>
      <c r="I25" s="566">
        <v>23.741769999999999</v>
      </c>
      <c r="J25" s="567">
        <v>-3.5915624723990001</v>
      </c>
      <c r="K25" s="570">
        <v>0.14476689480300001</v>
      </c>
    </row>
    <row r="26" spans="1:11" ht="14.4" customHeight="1" thickBot="1" x14ac:dyDescent="0.35">
      <c r="A26" s="588" t="s">
        <v>329</v>
      </c>
      <c r="B26" s="566">
        <v>3239.8206221093501</v>
      </c>
      <c r="C26" s="566">
        <v>2920.8307100000002</v>
      </c>
      <c r="D26" s="567">
        <v>-318.98991210934798</v>
      </c>
      <c r="E26" s="568">
        <v>0.901540872376</v>
      </c>
      <c r="F26" s="566">
        <v>3149.99990078263</v>
      </c>
      <c r="G26" s="567">
        <v>524.99998346377197</v>
      </c>
      <c r="H26" s="569">
        <v>295.442800000001</v>
      </c>
      <c r="I26" s="566">
        <v>518.02357000000097</v>
      </c>
      <c r="J26" s="567">
        <v>-6.9764134637710002</v>
      </c>
      <c r="K26" s="570">
        <v>0.164451932163</v>
      </c>
    </row>
    <row r="27" spans="1:11" ht="14.4" customHeight="1" thickBot="1" x14ac:dyDescent="0.35">
      <c r="A27" s="588" t="s">
        <v>330</v>
      </c>
      <c r="B27" s="566">
        <v>71.321523145403006</v>
      </c>
      <c r="C27" s="566">
        <v>36.509569999999997</v>
      </c>
      <c r="D27" s="567">
        <v>-34.811953145403002</v>
      </c>
      <c r="E27" s="568">
        <v>0.51190115395500002</v>
      </c>
      <c r="F27" s="566">
        <v>27.999999118066999</v>
      </c>
      <c r="G27" s="567">
        <v>4.6666665196770003</v>
      </c>
      <c r="H27" s="569">
        <v>2.4175800000000001</v>
      </c>
      <c r="I27" s="566">
        <v>2.4175800000000001</v>
      </c>
      <c r="J27" s="567">
        <v>-2.2490865196769998</v>
      </c>
      <c r="K27" s="570">
        <v>8.6342145576000007E-2</v>
      </c>
    </row>
    <row r="28" spans="1:11" ht="14.4" customHeight="1" thickBot="1" x14ac:dyDescent="0.35">
      <c r="A28" s="588" t="s">
        <v>331</v>
      </c>
      <c r="B28" s="566">
        <v>7.8459759217849996</v>
      </c>
      <c r="C28" s="566">
        <v>4.6682199999999998</v>
      </c>
      <c r="D28" s="567">
        <v>-3.1777559217850002</v>
      </c>
      <c r="E28" s="568">
        <v>0.59498270789200003</v>
      </c>
      <c r="F28" s="566">
        <v>7.9999997480190004</v>
      </c>
      <c r="G28" s="567">
        <v>1.3333332913360001</v>
      </c>
      <c r="H28" s="569">
        <v>0.58748</v>
      </c>
      <c r="I28" s="566">
        <v>1.17496</v>
      </c>
      <c r="J28" s="567">
        <v>-0.158373291336</v>
      </c>
      <c r="K28" s="570">
        <v>0.146870004626</v>
      </c>
    </row>
    <row r="29" spans="1:11" ht="14.4" customHeight="1" thickBot="1" x14ac:dyDescent="0.35">
      <c r="A29" s="588" t="s">
        <v>332</v>
      </c>
      <c r="B29" s="566">
        <v>7.3286945400760004</v>
      </c>
      <c r="C29" s="566">
        <v>8.6111500000000003</v>
      </c>
      <c r="D29" s="567">
        <v>1.282455459923</v>
      </c>
      <c r="E29" s="568">
        <v>1.1749909827609999</v>
      </c>
      <c r="F29" s="566">
        <v>6.9999997795160001</v>
      </c>
      <c r="G29" s="567">
        <v>1.1666666299190001</v>
      </c>
      <c r="H29" s="569">
        <v>2.25359</v>
      </c>
      <c r="I29" s="566">
        <v>2.5605899999999999</v>
      </c>
      <c r="J29" s="567">
        <v>1.39392337008</v>
      </c>
      <c r="K29" s="570">
        <v>0.36579858295000001</v>
      </c>
    </row>
    <row r="30" spans="1:11" ht="14.4" customHeight="1" thickBot="1" x14ac:dyDescent="0.35">
      <c r="A30" s="588" t="s">
        <v>333</v>
      </c>
      <c r="B30" s="566">
        <v>154.556655061908</v>
      </c>
      <c r="C30" s="566">
        <v>128.20649</v>
      </c>
      <c r="D30" s="567">
        <v>-26.350165061906999</v>
      </c>
      <c r="E30" s="568">
        <v>0.82951128793899997</v>
      </c>
      <c r="F30" s="566">
        <v>141.999995527344</v>
      </c>
      <c r="G30" s="567">
        <v>23.666665921223998</v>
      </c>
      <c r="H30" s="569">
        <v>14.79731</v>
      </c>
      <c r="I30" s="566">
        <v>23.823309999999999</v>
      </c>
      <c r="J30" s="567">
        <v>0.15664407877600001</v>
      </c>
      <c r="K30" s="570">
        <v>0.16776979401600001</v>
      </c>
    </row>
    <row r="31" spans="1:11" ht="14.4" customHeight="1" thickBot="1" x14ac:dyDescent="0.35">
      <c r="A31" s="588" t="s">
        <v>334</v>
      </c>
      <c r="B31" s="566">
        <v>107.587622938149</v>
      </c>
      <c r="C31" s="566">
        <v>83.506709999999998</v>
      </c>
      <c r="D31" s="567">
        <v>-24.080912938149002</v>
      </c>
      <c r="E31" s="568">
        <v>0.77617394751799995</v>
      </c>
      <c r="F31" s="566">
        <v>78.999997511691006</v>
      </c>
      <c r="G31" s="567">
        <v>13.166666251948</v>
      </c>
      <c r="H31" s="569">
        <v>8.9963499999999996</v>
      </c>
      <c r="I31" s="566">
        <v>8.9963499999999996</v>
      </c>
      <c r="J31" s="567">
        <v>-4.1703162519479999</v>
      </c>
      <c r="K31" s="570">
        <v>0.11387785168800001</v>
      </c>
    </row>
    <row r="32" spans="1:11" ht="14.4" customHeight="1" thickBot="1" x14ac:dyDescent="0.35">
      <c r="A32" s="588" t="s">
        <v>335</v>
      </c>
      <c r="B32" s="566">
        <v>0</v>
      </c>
      <c r="C32" s="566">
        <v>0</v>
      </c>
      <c r="D32" s="567">
        <v>0</v>
      </c>
      <c r="E32" s="568">
        <v>1</v>
      </c>
      <c r="F32" s="566">
        <v>0</v>
      </c>
      <c r="G32" s="567">
        <v>0</v>
      </c>
      <c r="H32" s="569">
        <v>7.3842999999999996</v>
      </c>
      <c r="I32" s="566">
        <v>13.4604</v>
      </c>
      <c r="J32" s="567">
        <v>13.4604</v>
      </c>
      <c r="K32" s="577" t="s">
        <v>325</v>
      </c>
    </row>
    <row r="33" spans="1:11" ht="14.4" customHeight="1" thickBot="1" x14ac:dyDescent="0.35">
      <c r="A33" s="587" t="s">
        <v>336</v>
      </c>
      <c r="B33" s="571">
        <v>342.86339678123397</v>
      </c>
      <c r="C33" s="571">
        <v>271.55795999999998</v>
      </c>
      <c r="D33" s="572">
        <v>-71.305436781233993</v>
      </c>
      <c r="E33" s="578">
        <v>0.79202960289500002</v>
      </c>
      <c r="F33" s="571">
        <v>296.336027406401</v>
      </c>
      <c r="G33" s="572">
        <v>49.389337901066</v>
      </c>
      <c r="H33" s="574">
        <v>15.70642</v>
      </c>
      <c r="I33" s="571">
        <v>47.916469999999997</v>
      </c>
      <c r="J33" s="572">
        <v>-1.472867901066</v>
      </c>
      <c r="K33" s="579">
        <v>0.16169640397500001</v>
      </c>
    </row>
    <row r="34" spans="1:11" ht="14.4" customHeight="1" thickBot="1" x14ac:dyDescent="0.35">
      <c r="A34" s="588" t="s">
        <v>337</v>
      </c>
      <c r="B34" s="566">
        <v>89.999682588785006</v>
      </c>
      <c r="C34" s="566">
        <v>70.465400000000002</v>
      </c>
      <c r="D34" s="567">
        <v>-19.534282588785</v>
      </c>
      <c r="E34" s="568">
        <v>0.78295165019500002</v>
      </c>
      <c r="F34" s="566">
        <v>89.999997165218005</v>
      </c>
      <c r="G34" s="567">
        <v>14.999999527536</v>
      </c>
      <c r="H34" s="569">
        <v>6.7578500000000004</v>
      </c>
      <c r="I34" s="566">
        <v>16.768820000000002</v>
      </c>
      <c r="J34" s="567">
        <v>1.7688204724629999</v>
      </c>
      <c r="K34" s="570">
        <v>0.18632022809000001</v>
      </c>
    </row>
    <row r="35" spans="1:11" ht="14.4" customHeight="1" thickBot="1" x14ac:dyDescent="0.35">
      <c r="A35" s="588" t="s">
        <v>338</v>
      </c>
      <c r="B35" s="566">
        <v>24.999911830218</v>
      </c>
      <c r="C35" s="566">
        <v>17.1127</v>
      </c>
      <c r="D35" s="567">
        <v>-7.8872118302179999</v>
      </c>
      <c r="E35" s="568">
        <v>0.68451041412500002</v>
      </c>
      <c r="F35" s="566">
        <v>24.999999212559999</v>
      </c>
      <c r="G35" s="567">
        <v>4.1666665354259997</v>
      </c>
      <c r="H35" s="569">
        <v>1.6480900000000001</v>
      </c>
      <c r="I35" s="566">
        <v>3.5163000000000002</v>
      </c>
      <c r="J35" s="567">
        <v>-0.65036653542599998</v>
      </c>
      <c r="K35" s="570">
        <v>0.14065200443</v>
      </c>
    </row>
    <row r="36" spans="1:11" ht="14.4" customHeight="1" thickBot="1" x14ac:dyDescent="0.35">
      <c r="A36" s="588" t="s">
        <v>339</v>
      </c>
      <c r="B36" s="566">
        <v>227.86380236222999</v>
      </c>
      <c r="C36" s="566">
        <v>183.25890999999999</v>
      </c>
      <c r="D36" s="567">
        <v>-44.604892362229997</v>
      </c>
      <c r="E36" s="568">
        <v>0.80424757289299997</v>
      </c>
      <c r="F36" s="566">
        <v>181.33603102862199</v>
      </c>
      <c r="G36" s="567">
        <v>30.222671838103</v>
      </c>
      <c r="H36" s="569">
        <v>7.3004800000000003</v>
      </c>
      <c r="I36" s="566">
        <v>27.631350000000001</v>
      </c>
      <c r="J36" s="567">
        <v>-2.5913218381030001</v>
      </c>
      <c r="K36" s="570">
        <v>0.15237650147699999</v>
      </c>
    </row>
    <row r="37" spans="1:11" ht="14.4" customHeight="1" thickBot="1" x14ac:dyDescent="0.35">
      <c r="A37" s="588" t="s">
        <v>340</v>
      </c>
      <c r="B37" s="566">
        <v>0</v>
      </c>
      <c r="C37" s="566">
        <v>0.72094999999999998</v>
      </c>
      <c r="D37" s="567">
        <v>0.72094999999999998</v>
      </c>
      <c r="E37" s="576" t="s">
        <v>306</v>
      </c>
      <c r="F37" s="566">
        <v>0</v>
      </c>
      <c r="G37" s="567">
        <v>0</v>
      </c>
      <c r="H37" s="569">
        <v>0</v>
      </c>
      <c r="I37" s="566">
        <v>0</v>
      </c>
      <c r="J37" s="567">
        <v>0</v>
      </c>
      <c r="K37" s="577" t="s">
        <v>306</v>
      </c>
    </row>
    <row r="38" spans="1:11" ht="14.4" customHeight="1" thickBot="1" x14ac:dyDescent="0.35">
      <c r="A38" s="587" t="s">
        <v>341</v>
      </c>
      <c r="B38" s="571">
        <v>732.36899488167398</v>
      </c>
      <c r="C38" s="571">
        <v>715.10303999999996</v>
      </c>
      <c r="D38" s="572">
        <v>-17.265954881673</v>
      </c>
      <c r="E38" s="578">
        <v>0.97642451414099996</v>
      </c>
      <c r="F38" s="571">
        <v>667.98212078851702</v>
      </c>
      <c r="G38" s="572">
        <v>111.330353464753</v>
      </c>
      <c r="H38" s="574">
        <v>61.426380000000002</v>
      </c>
      <c r="I38" s="571">
        <v>113.92821000000001</v>
      </c>
      <c r="J38" s="572">
        <v>2.5978565352470002</v>
      </c>
      <c r="K38" s="579">
        <v>0.170555777549</v>
      </c>
    </row>
    <row r="39" spans="1:11" ht="14.4" customHeight="1" thickBot="1" x14ac:dyDescent="0.35">
      <c r="A39" s="588" t="s">
        <v>342</v>
      </c>
      <c r="B39" s="566">
        <v>89.106995610298</v>
      </c>
      <c r="C39" s="566">
        <v>24.857240000000001</v>
      </c>
      <c r="D39" s="567">
        <v>-64.249755610297996</v>
      </c>
      <c r="E39" s="568">
        <v>0.27895946698399998</v>
      </c>
      <c r="F39" s="566">
        <v>31.153518621806999</v>
      </c>
      <c r="G39" s="567">
        <v>5.1922531036340001</v>
      </c>
      <c r="H39" s="569">
        <v>0</v>
      </c>
      <c r="I39" s="566">
        <v>0</v>
      </c>
      <c r="J39" s="567">
        <v>-5.1922531036340001</v>
      </c>
      <c r="K39" s="570">
        <v>0</v>
      </c>
    </row>
    <row r="40" spans="1:11" ht="14.4" customHeight="1" thickBot="1" x14ac:dyDescent="0.35">
      <c r="A40" s="588" t="s">
        <v>343</v>
      </c>
      <c r="B40" s="566">
        <v>17.419294411065</v>
      </c>
      <c r="C40" s="566">
        <v>18.445129999999999</v>
      </c>
      <c r="D40" s="567">
        <v>1.0258355889340001</v>
      </c>
      <c r="E40" s="568">
        <v>1.058890765878</v>
      </c>
      <c r="F40" s="566">
        <v>11.999999622029</v>
      </c>
      <c r="G40" s="567">
        <v>1.999999937004</v>
      </c>
      <c r="H40" s="569">
        <v>1.1655</v>
      </c>
      <c r="I40" s="566">
        <v>2.59883</v>
      </c>
      <c r="J40" s="567">
        <v>0.59883006299499997</v>
      </c>
      <c r="K40" s="570">
        <v>0.21656917348800001</v>
      </c>
    </row>
    <row r="41" spans="1:11" ht="14.4" customHeight="1" thickBot="1" x14ac:dyDescent="0.35">
      <c r="A41" s="588" t="s">
        <v>344</v>
      </c>
      <c r="B41" s="566">
        <v>383.41602812156401</v>
      </c>
      <c r="C41" s="566">
        <v>427.48145</v>
      </c>
      <c r="D41" s="567">
        <v>44.065421878435998</v>
      </c>
      <c r="E41" s="568">
        <v>1.114928481457</v>
      </c>
      <c r="F41" s="566">
        <v>388.31930531415202</v>
      </c>
      <c r="G41" s="567">
        <v>64.719884219025005</v>
      </c>
      <c r="H41" s="569">
        <v>39.916870000000003</v>
      </c>
      <c r="I41" s="566">
        <v>75.857230000000001</v>
      </c>
      <c r="J41" s="567">
        <v>11.137345780974</v>
      </c>
      <c r="K41" s="570">
        <v>0.19534756310500001</v>
      </c>
    </row>
    <row r="42" spans="1:11" ht="14.4" customHeight="1" thickBot="1" x14ac:dyDescent="0.35">
      <c r="A42" s="588" t="s">
        <v>345</v>
      </c>
      <c r="B42" s="566">
        <v>52.102454856861002</v>
      </c>
      <c r="C42" s="566">
        <v>48.896949999999997</v>
      </c>
      <c r="D42" s="567">
        <v>-3.2055048568609998</v>
      </c>
      <c r="E42" s="568">
        <v>0.93847689392599998</v>
      </c>
      <c r="F42" s="566">
        <v>49.999998425120999</v>
      </c>
      <c r="G42" s="567">
        <v>8.3333330708529996</v>
      </c>
      <c r="H42" s="569">
        <v>8.1539699999999993</v>
      </c>
      <c r="I42" s="566">
        <v>11.77998</v>
      </c>
      <c r="J42" s="567">
        <v>3.446646929146</v>
      </c>
      <c r="K42" s="570">
        <v>0.23559960742</v>
      </c>
    </row>
    <row r="43" spans="1:11" ht="14.4" customHeight="1" thickBot="1" x14ac:dyDescent="0.35">
      <c r="A43" s="588" t="s">
        <v>346</v>
      </c>
      <c r="B43" s="566">
        <v>13.998865634469</v>
      </c>
      <c r="C43" s="566">
        <v>7.8736600000000001</v>
      </c>
      <c r="D43" s="567">
        <v>-6.1252056344690002</v>
      </c>
      <c r="E43" s="568">
        <v>0.56244985883800003</v>
      </c>
      <c r="F43" s="566">
        <v>13.999999559034</v>
      </c>
      <c r="G43" s="567">
        <v>2.3333332598390002</v>
      </c>
      <c r="H43" s="569">
        <v>0.20480000000000001</v>
      </c>
      <c r="I43" s="566">
        <v>0.40029999999999999</v>
      </c>
      <c r="J43" s="567">
        <v>-1.9330332598390001</v>
      </c>
      <c r="K43" s="570">
        <v>2.8592858043000002E-2</v>
      </c>
    </row>
    <row r="44" spans="1:11" ht="14.4" customHeight="1" thickBot="1" x14ac:dyDescent="0.35">
      <c r="A44" s="588" t="s">
        <v>347</v>
      </c>
      <c r="B44" s="566">
        <v>32.608968212968001</v>
      </c>
      <c r="C44" s="566">
        <v>8.3685700000000001</v>
      </c>
      <c r="D44" s="567">
        <v>-24.240398212968</v>
      </c>
      <c r="E44" s="568">
        <v>0.25663400158299998</v>
      </c>
      <c r="F44" s="566">
        <v>18.257129319158</v>
      </c>
      <c r="G44" s="567">
        <v>3.0428548865259999</v>
      </c>
      <c r="H44" s="569">
        <v>0.23225000000000001</v>
      </c>
      <c r="I44" s="566">
        <v>0.23225000000000001</v>
      </c>
      <c r="J44" s="567">
        <v>-2.8106048865259998</v>
      </c>
      <c r="K44" s="570">
        <v>1.2721057946E-2</v>
      </c>
    </row>
    <row r="45" spans="1:11" ht="14.4" customHeight="1" thickBot="1" x14ac:dyDescent="0.35">
      <c r="A45" s="588" t="s">
        <v>348</v>
      </c>
      <c r="B45" s="566">
        <v>11.591398343683</v>
      </c>
      <c r="C45" s="566">
        <v>6.1226000000000003</v>
      </c>
      <c r="D45" s="567">
        <v>-5.4687983436819998</v>
      </c>
      <c r="E45" s="568">
        <v>0.52820201829500002</v>
      </c>
      <c r="F45" s="566">
        <v>6.9999997795160001</v>
      </c>
      <c r="G45" s="567">
        <v>1.1666666299190001</v>
      </c>
      <c r="H45" s="569">
        <v>2.2590699999999999</v>
      </c>
      <c r="I45" s="566">
        <v>2.2590699999999999</v>
      </c>
      <c r="J45" s="567">
        <v>1.09240337008</v>
      </c>
      <c r="K45" s="570">
        <v>0.32272429587899998</v>
      </c>
    </row>
    <row r="46" spans="1:11" ht="14.4" customHeight="1" thickBot="1" x14ac:dyDescent="0.35">
      <c r="A46" s="588" t="s">
        <v>349</v>
      </c>
      <c r="B46" s="566">
        <v>59.393970822455998</v>
      </c>
      <c r="C46" s="566">
        <v>34.55659</v>
      </c>
      <c r="D46" s="567">
        <v>-24.837380822456002</v>
      </c>
      <c r="E46" s="568">
        <v>0.58181982988299996</v>
      </c>
      <c r="F46" s="566">
        <v>56.252173013977</v>
      </c>
      <c r="G46" s="567">
        <v>9.3753621689960003</v>
      </c>
      <c r="H46" s="569">
        <v>0.42349999999999999</v>
      </c>
      <c r="I46" s="566">
        <v>1.0769</v>
      </c>
      <c r="J46" s="567">
        <v>-8.2984621689960001</v>
      </c>
      <c r="K46" s="570">
        <v>1.9144149324E-2</v>
      </c>
    </row>
    <row r="47" spans="1:11" ht="14.4" customHeight="1" thickBot="1" x14ac:dyDescent="0.35">
      <c r="A47" s="588" t="s">
        <v>350</v>
      </c>
      <c r="B47" s="566">
        <v>0</v>
      </c>
      <c r="C47" s="566">
        <v>13.46</v>
      </c>
      <c r="D47" s="567">
        <v>13.46</v>
      </c>
      <c r="E47" s="576" t="s">
        <v>306</v>
      </c>
      <c r="F47" s="566">
        <v>0</v>
      </c>
      <c r="G47" s="567">
        <v>0</v>
      </c>
      <c r="H47" s="569">
        <v>0</v>
      </c>
      <c r="I47" s="566">
        <v>0</v>
      </c>
      <c r="J47" s="567">
        <v>0</v>
      </c>
      <c r="K47" s="570">
        <v>0</v>
      </c>
    </row>
    <row r="48" spans="1:11" ht="14.4" customHeight="1" thickBot="1" x14ac:dyDescent="0.35">
      <c r="A48" s="588" t="s">
        <v>351</v>
      </c>
      <c r="B48" s="566">
        <v>72.418973428685007</v>
      </c>
      <c r="C48" s="566">
        <v>124.07777</v>
      </c>
      <c r="D48" s="567">
        <v>51.658796571313999</v>
      </c>
      <c r="E48" s="568">
        <v>1.7133323509780001</v>
      </c>
      <c r="F48" s="566">
        <v>90.999997133720001</v>
      </c>
      <c r="G48" s="567">
        <v>15.166666188953</v>
      </c>
      <c r="H48" s="569">
        <v>9.0704200000000004</v>
      </c>
      <c r="I48" s="566">
        <v>19.723649999999999</v>
      </c>
      <c r="J48" s="567">
        <v>4.5569838110459999</v>
      </c>
      <c r="K48" s="570">
        <v>0.21674341342</v>
      </c>
    </row>
    <row r="49" spans="1:11" ht="14.4" customHeight="1" thickBot="1" x14ac:dyDescent="0.35">
      <c r="A49" s="588" t="s">
        <v>352</v>
      </c>
      <c r="B49" s="566">
        <v>0</v>
      </c>
      <c r="C49" s="566">
        <v>0.96308000000000005</v>
      </c>
      <c r="D49" s="567">
        <v>0.96308000000000005</v>
      </c>
      <c r="E49" s="576" t="s">
        <v>306</v>
      </c>
      <c r="F49" s="566">
        <v>0</v>
      </c>
      <c r="G49" s="567">
        <v>0</v>
      </c>
      <c r="H49" s="569">
        <v>0</v>
      </c>
      <c r="I49" s="566">
        <v>0</v>
      </c>
      <c r="J49" s="567">
        <v>0</v>
      </c>
      <c r="K49" s="577" t="s">
        <v>306</v>
      </c>
    </row>
    <row r="50" spans="1:11" ht="14.4" customHeight="1" thickBot="1" x14ac:dyDescent="0.35">
      <c r="A50" s="587" t="s">
        <v>353</v>
      </c>
      <c r="B50" s="571">
        <v>187.711070006216</v>
      </c>
      <c r="C50" s="571">
        <v>284.29178999999999</v>
      </c>
      <c r="D50" s="572">
        <v>96.580719993784001</v>
      </c>
      <c r="E50" s="578">
        <v>1.514517976966</v>
      </c>
      <c r="F50" s="571">
        <v>305.06823129983297</v>
      </c>
      <c r="G50" s="572">
        <v>50.844705216637998</v>
      </c>
      <c r="H50" s="574">
        <v>37.191929999999999</v>
      </c>
      <c r="I50" s="571">
        <v>85.869540000000001</v>
      </c>
      <c r="J50" s="572">
        <v>35.024834783361001</v>
      </c>
      <c r="K50" s="579">
        <v>0.28147650653099998</v>
      </c>
    </row>
    <row r="51" spans="1:11" ht="14.4" customHeight="1" thickBot="1" x14ac:dyDescent="0.35">
      <c r="A51" s="588" t="s">
        <v>354</v>
      </c>
      <c r="B51" s="566">
        <v>4.3783310603940002</v>
      </c>
      <c r="C51" s="566">
        <v>0.224</v>
      </c>
      <c r="D51" s="567">
        <v>-4.154331060394</v>
      </c>
      <c r="E51" s="568">
        <v>5.1161046734000001E-2</v>
      </c>
      <c r="F51" s="566">
        <v>0.40410194688599999</v>
      </c>
      <c r="G51" s="567">
        <v>6.7350324481000007E-2</v>
      </c>
      <c r="H51" s="569">
        <v>0</v>
      </c>
      <c r="I51" s="566">
        <v>0</v>
      </c>
      <c r="J51" s="567">
        <v>-6.7350324481000007E-2</v>
      </c>
      <c r="K51" s="570">
        <v>0</v>
      </c>
    </row>
    <row r="52" spans="1:11" ht="14.4" customHeight="1" thickBot="1" x14ac:dyDescent="0.35">
      <c r="A52" s="588" t="s">
        <v>355</v>
      </c>
      <c r="B52" s="566">
        <v>175.331246961701</v>
      </c>
      <c r="C52" s="566">
        <v>277.98131000000001</v>
      </c>
      <c r="D52" s="567">
        <v>102.650063038299</v>
      </c>
      <c r="E52" s="568">
        <v>1.5854635999969999</v>
      </c>
      <c r="F52" s="566">
        <v>298.66412954193203</v>
      </c>
      <c r="G52" s="567">
        <v>49.777354923654997</v>
      </c>
      <c r="H52" s="569">
        <v>36.988729999999997</v>
      </c>
      <c r="I52" s="566">
        <v>84.542140000000003</v>
      </c>
      <c r="J52" s="567">
        <v>34.764785076343998</v>
      </c>
      <c r="K52" s="570">
        <v>0.28306760550600002</v>
      </c>
    </row>
    <row r="53" spans="1:11" ht="14.4" customHeight="1" thickBot="1" x14ac:dyDescent="0.35">
      <c r="A53" s="588" t="s">
        <v>356</v>
      </c>
      <c r="B53" s="566">
        <v>0</v>
      </c>
      <c r="C53" s="566">
        <v>0.84699999999999998</v>
      </c>
      <c r="D53" s="567">
        <v>0.84699999999999998</v>
      </c>
      <c r="E53" s="576" t="s">
        <v>325</v>
      </c>
      <c r="F53" s="566">
        <v>0</v>
      </c>
      <c r="G53" s="567">
        <v>0</v>
      </c>
      <c r="H53" s="569">
        <v>0</v>
      </c>
      <c r="I53" s="566">
        <v>0.84699999999999998</v>
      </c>
      <c r="J53" s="567">
        <v>0.84699999999999998</v>
      </c>
      <c r="K53" s="577" t="s">
        <v>306</v>
      </c>
    </row>
    <row r="54" spans="1:11" ht="14.4" customHeight="1" thickBot="1" x14ac:dyDescent="0.35">
      <c r="A54" s="588" t="s">
        <v>357</v>
      </c>
      <c r="B54" s="566">
        <v>8.0014919841189993</v>
      </c>
      <c r="C54" s="566">
        <v>5.2394800000000004</v>
      </c>
      <c r="D54" s="567">
        <v>-2.7620119841189998</v>
      </c>
      <c r="E54" s="568">
        <v>0.654812878697</v>
      </c>
      <c r="F54" s="566">
        <v>5.9999998110139998</v>
      </c>
      <c r="G54" s="567">
        <v>0.99999996850200001</v>
      </c>
      <c r="H54" s="569">
        <v>0.20319999999999999</v>
      </c>
      <c r="I54" s="566">
        <v>0.48039999999999999</v>
      </c>
      <c r="J54" s="567">
        <v>-0.51959996850199996</v>
      </c>
      <c r="K54" s="570">
        <v>8.0066669187999998E-2</v>
      </c>
    </row>
    <row r="55" spans="1:11" ht="14.4" customHeight="1" thickBot="1" x14ac:dyDescent="0.35">
      <c r="A55" s="587" t="s">
        <v>358</v>
      </c>
      <c r="B55" s="571">
        <v>461.17556527500801</v>
      </c>
      <c r="C55" s="571">
        <v>471.65722</v>
      </c>
      <c r="D55" s="572">
        <v>10.481654724992</v>
      </c>
      <c r="E55" s="578">
        <v>1.0227281224639999</v>
      </c>
      <c r="F55" s="571">
        <v>542.68712373138203</v>
      </c>
      <c r="G55" s="572">
        <v>90.447853955230002</v>
      </c>
      <c r="H55" s="574">
        <v>34.664740000000002</v>
      </c>
      <c r="I55" s="571">
        <v>61.902419999999999</v>
      </c>
      <c r="J55" s="572">
        <v>-28.545433955229999</v>
      </c>
      <c r="K55" s="579">
        <v>0.114066498527</v>
      </c>
    </row>
    <row r="56" spans="1:11" ht="14.4" customHeight="1" thickBot="1" x14ac:dyDescent="0.35">
      <c r="A56" s="588" t="s">
        <v>359</v>
      </c>
      <c r="B56" s="566">
        <v>0.124527266397</v>
      </c>
      <c r="C56" s="566">
        <v>9.1129999999999995</v>
      </c>
      <c r="D56" s="567">
        <v>8.9884727336020003</v>
      </c>
      <c r="E56" s="568">
        <v>73.180760034740999</v>
      </c>
      <c r="F56" s="566">
        <v>0.68714080306799996</v>
      </c>
      <c r="G56" s="567">
        <v>0.11452346717799999</v>
      </c>
      <c r="H56" s="569">
        <v>0</v>
      </c>
      <c r="I56" s="566">
        <v>0.1</v>
      </c>
      <c r="J56" s="567">
        <v>-1.4523467178E-2</v>
      </c>
      <c r="K56" s="570">
        <v>0.14553058056400001</v>
      </c>
    </row>
    <row r="57" spans="1:11" ht="14.4" customHeight="1" thickBot="1" x14ac:dyDescent="0.35">
      <c r="A57" s="588" t="s">
        <v>360</v>
      </c>
      <c r="B57" s="566">
        <v>21.071844208586</v>
      </c>
      <c r="C57" s="566">
        <v>13.12025</v>
      </c>
      <c r="D57" s="567">
        <v>-7.9515942085860001</v>
      </c>
      <c r="E57" s="568">
        <v>0.62264365046100001</v>
      </c>
      <c r="F57" s="566">
        <v>15.999999496038001</v>
      </c>
      <c r="G57" s="567">
        <v>2.6666665826729998</v>
      </c>
      <c r="H57" s="569">
        <v>0.31217</v>
      </c>
      <c r="I57" s="566">
        <v>0.93652999999999997</v>
      </c>
      <c r="J57" s="567">
        <v>-1.730136582673</v>
      </c>
      <c r="K57" s="570">
        <v>5.8533126843000001E-2</v>
      </c>
    </row>
    <row r="58" spans="1:11" ht="14.4" customHeight="1" thickBot="1" x14ac:dyDescent="0.35">
      <c r="A58" s="588" t="s">
        <v>361</v>
      </c>
      <c r="B58" s="566">
        <v>0</v>
      </c>
      <c r="C58" s="566">
        <v>31.484999999999999</v>
      </c>
      <c r="D58" s="567">
        <v>31.484999999999999</v>
      </c>
      <c r="E58" s="576" t="s">
        <v>325</v>
      </c>
      <c r="F58" s="566">
        <v>20.999999338550001</v>
      </c>
      <c r="G58" s="567">
        <v>3.499999889758</v>
      </c>
      <c r="H58" s="569">
        <v>0</v>
      </c>
      <c r="I58" s="566">
        <v>0</v>
      </c>
      <c r="J58" s="567">
        <v>-3.499999889758</v>
      </c>
      <c r="K58" s="570">
        <v>0</v>
      </c>
    </row>
    <row r="59" spans="1:11" ht="14.4" customHeight="1" thickBot="1" x14ac:dyDescent="0.35">
      <c r="A59" s="588" t="s">
        <v>362</v>
      </c>
      <c r="B59" s="566">
        <v>0</v>
      </c>
      <c r="C59" s="566">
        <v>10.63158</v>
      </c>
      <c r="D59" s="567">
        <v>10.63158</v>
      </c>
      <c r="E59" s="576" t="s">
        <v>306</v>
      </c>
      <c r="F59" s="566">
        <v>16.999999464540998</v>
      </c>
      <c r="G59" s="567">
        <v>2.8333332440899999</v>
      </c>
      <c r="H59" s="569">
        <v>0</v>
      </c>
      <c r="I59" s="566">
        <v>0</v>
      </c>
      <c r="J59" s="567">
        <v>-2.8333332440899999</v>
      </c>
      <c r="K59" s="570">
        <v>0</v>
      </c>
    </row>
    <row r="60" spans="1:11" ht="14.4" customHeight="1" thickBot="1" x14ac:dyDescent="0.35">
      <c r="A60" s="588" t="s">
        <v>363</v>
      </c>
      <c r="B60" s="566">
        <v>35.003366792005998</v>
      </c>
      <c r="C60" s="566">
        <v>43.491689999999998</v>
      </c>
      <c r="D60" s="567">
        <v>8.488323207993</v>
      </c>
      <c r="E60" s="568">
        <v>1.2425001931499999</v>
      </c>
      <c r="F60" s="566">
        <v>48.999998456618002</v>
      </c>
      <c r="G60" s="567">
        <v>8.1666664094360009</v>
      </c>
      <c r="H60" s="569">
        <v>4.9506199999999998</v>
      </c>
      <c r="I60" s="566">
        <v>5.8120599999999998</v>
      </c>
      <c r="J60" s="567">
        <v>-2.3546064094360002</v>
      </c>
      <c r="K60" s="570">
        <v>0.118613473123</v>
      </c>
    </row>
    <row r="61" spans="1:11" ht="14.4" customHeight="1" thickBot="1" x14ac:dyDescent="0.35">
      <c r="A61" s="588" t="s">
        <v>364</v>
      </c>
      <c r="B61" s="566">
        <v>257.99580582791702</v>
      </c>
      <c r="C61" s="566">
        <v>231.2379</v>
      </c>
      <c r="D61" s="567">
        <v>-26.757905827917</v>
      </c>
      <c r="E61" s="568">
        <v>0.89628550068000001</v>
      </c>
      <c r="F61" s="566">
        <v>284.999991023191</v>
      </c>
      <c r="G61" s="567">
        <v>47.499998503865001</v>
      </c>
      <c r="H61" s="569">
        <v>18.84442</v>
      </c>
      <c r="I61" s="566">
        <v>33.745420000000003</v>
      </c>
      <c r="J61" s="567">
        <v>-13.754578503865</v>
      </c>
      <c r="K61" s="570">
        <v>0.11840498618500001</v>
      </c>
    </row>
    <row r="62" spans="1:11" ht="14.4" customHeight="1" thickBot="1" x14ac:dyDescent="0.35">
      <c r="A62" s="588" t="s">
        <v>365</v>
      </c>
      <c r="B62" s="566">
        <v>146.98002118010101</v>
      </c>
      <c r="C62" s="566">
        <v>132.5778</v>
      </c>
      <c r="D62" s="567">
        <v>-14.402221180101</v>
      </c>
      <c r="E62" s="568">
        <v>0.90201238872800005</v>
      </c>
      <c r="F62" s="566">
        <v>153.99999514937301</v>
      </c>
      <c r="G62" s="567">
        <v>25.666665858228001</v>
      </c>
      <c r="H62" s="569">
        <v>10.55753</v>
      </c>
      <c r="I62" s="566">
        <v>21.308409999999999</v>
      </c>
      <c r="J62" s="567">
        <v>-4.3582558582280004</v>
      </c>
      <c r="K62" s="570">
        <v>0.138366303059</v>
      </c>
    </row>
    <row r="63" spans="1:11" ht="14.4" customHeight="1" thickBot="1" x14ac:dyDescent="0.35">
      <c r="A63" s="587" t="s">
        <v>366</v>
      </c>
      <c r="B63" s="571">
        <v>0</v>
      </c>
      <c r="C63" s="571">
        <v>71.103999999999999</v>
      </c>
      <c r="D63" s="572">
        <v>71.103999999999999</v>
      </c>
      <c r="E63" s="573" t="s">
        <v>306</v>
      </c>
      <c r="F63" s="571">
        <v>0</v>
      </c>
      <c r="G63" s="572">
        <v>0</v>
      </c>
      <c r="H63" s="574">
        <v>0</v>
      </c>
      <c r="I63" s="571">
        <v>1.8</v>
      </c>
      <c r="J63" s="572">
        <v>1.8</v>
      </c>
      <c r="K63" s="575" t="s">
        <v>306</v>
      </c>
    </row>
    <row r="64" spans="1:11" ht="14.4" customHeight="1" thickBot="1" x14ac:dyDescent="0.35">
      <c r="A64" s="588" t="s">
        <v>367</v>
      </c>
      <c r="B64" s="566">
        <v>0</v>
      </c>
      <c r="C64" s="566">
        <v>9.8369999999999997</v>
      </c>
      <c r="D64" s="567">
        <v>9.8369999999999997</v>
      </c>
      <c r="E64" s="576" t="s">
        <v>325</v>
      </c>
      <c r="F64" s="566">
        <v>0</v>
      </c>
      <c r="G64" s="567">
        <v>0</v>
      </c>
      <c r="H64" s="569">
        <v>0</v>
      </c>
      <c r="I64" s="566">
        <v>0</v>
      </c>
      <c r="J64" s="567">
        <v>0</v>
      </c>
      <c r="K64" s="577" t="s">
        <v>306</v>
      </c>
    </row>
    <row r="65" spans="1:11" ht="14.4" customHeight="1" thickBot="1" x14ac:dyDescent="0.35">
      <c r="A65" s="588" t="s">
        <v>368</v>
      </c>
      <c r="B65" s="566">
        <v>0</v>
      </c>
      <c r="C65" s="566">
        <v>61.267000000000003</v>
      </c>
      <c r="D65" s="567">
        <v>61.267000000000003</v>
      </c>
      <c r="E65" s="576" t="s">
        <v>306</v>
      </c>
      <c r="F65" s="566">
        <v>0</v>
      </c>
      <c r="G65" s="567">
        <v>0</v>
      </c>
      <c r="H65" s="569">
        <v>0</v>
      </c>
      <c r="I65" s="566">
        <v>1.8</v>
      </c>
      <c r="J65" s="567">
        <v>1.8</v>
      </c>
      <c r="K65" s="577" t="s">
        <v>306</v>
      </c>
    </row>
    <row r="66" spans="1:11" ht="14.4" customHeight="1" thickBot="1" x14ac:dyDescent="0.35">
      <c r="A66" s="586" t="s">
        <v>29</v>
      </c>
      <c r="B66" s="566">
        <v>985.28526246988395</v>
      </c>
      <c r="C66" s="566">
        <v>866.43000000000097</v>
      </c>
      <c r="D66" s="567">
        <v>-118.855262469883</v>
      </c>
      <c r="E66" s="568">
        <v>0.87936969424199996</v>
      </c>
      <c r="F66" s="566">
        <v>900.27926435130496</v>
      </c>
      <c r="G66" s="567">
        <v>150.04654405855101</v>
      </c>
      <c r="H66" s="569">
        <v>100.574</v>
      </c>
      <c r="I66" s="566">
        <v>220.38</v>
      </c>
      <c r="J66" s="567">
        <v>70.333455941449003</v>
      </c>
      <c r="K66" s="570">
        <v>0.24479070964499999</v>
      </c>
    </row>
    <row r="67" spans="1:11" ht="14.4" customHeight="1" thickBot="1" x14ac:dyDescent="0.35">
      <c r="A67" s="587" t="s">
        <v>369</v>
      </c>
      <c r="B67" s="571">
        <v>985.28526246988395</v>
      </c>
      <c r="C67" s="571">
        <v>866.43000000000097</v>
      </c>
      <c r="D67" s="572">
        <v>-118.855262469883</v>
      </c>
      <c r="E67" s="578">
        <v>0.87936969424199996</v>
      </c>
      <c r="F67" s="571">
        <v>900.27926435130496</v>
      </c>
      <c r="G67" s="572">
        <v>150.04654405855101</v>
      </c>
      <c r="H67" s="574">
        <v>100.574</v>
      </c>
      <c r="I67" s="571">
        <v>220.38</v>
      </c>
      <c r="J67" s="572">
        <v>70.333455941449003</v>
      </c>
      <c r="K67" s="579">
        <v>0.24479070964499999</v>
      </c>
    </row>
    <row r="68" spans="1:11" ht="14.4" customHeight="1" thickBot="1" x14ac:dyDescent="0.35">
      <c r="A68" s="588" t="s">
        <v>370</v>
      </c>
      <c r="B68" s="566">
        <v>330.48244515580802</v>
      </c>
      <c r="C68" s="566">
        <v>259.96300000000002</v>
      </c>
      <c r="D68" s="567">
        <v>-70.519445155808</v>
      </c>
      <c r="E68" s="568">
        <v>0.78661666848099998</v>
      </c>
      <c r="F68" s="566">
        <v>269.27928422627298</v>
      </c>
      <c r="G68" s="567">
        <v>44.879880704378003</v>
      </c>
      <c r="H68" s="569">
        <v>19.803000000000001</v>
      </c>
      <c r="I68" s="566">
        <v>43.061</v>
      </c>
      <c r="J68" s="567">
        <v>-1.818880704378</v>
      </c>
      <c r="K68" s="570">
        <v>0.15991204122399999</v>
      </c>
    </row>
    <row r="69" spans="1:11" ht="14.4" customHeight="1" thickBot="1" x14ac:dyDescent="0.35">
      <c r="A69" s="588" t="s">
        <v>371</v>
      </c>
      <c r="B69" s="566">
        <v>77.013848627643</v>
      </c>
      <c r="C69" s="566">
        <v>70.465000000000003</v>
      </c>
      <c r="D69" s="567">
        <v>-6.5488486276430002</v>
      </c>
      <c r="E69" s="568">
        <v>0.914965311507</v>
      </c>
      <c r="F69" s="566">
        <v>76.999997574686006</v>
      </c>
      <c r="G69" s="567">
        <v>12.833332929114</v>
      </c>
      <c r="H69" s="569">
        <v>5.4909999999999997</v>
      </c>
      <c r="I69" s="566">
        <v>12.287000000000001</v>
      </c>
      <c r="J69" s="567">
        <v>-0.546332929114</v>
      </c>
      <c r="K69" s="570">
        <v>0.15957143359699999</v>
      </c>
    </row>
    <row r="70" spans="1:11" ht="14.4" customHeight="1" thickBot="1" x14ac:dyDescent="0.35">
      <c r="A70" s="588" t="s">
        <v>372</v>
      </c>
      <c r="B70" s="566">
        <v>577.78896868643199</v>
      </c>
      <c r="C70" s="566">
        <v>536.00199999999995</v>
      </c>
      <c r="D70" s="567">
        <v>-41.786968686431003</v>
      </c>
      <c r="E70" s="568">
        <v>0.92767780114999998</v>
      </c>
      <c r="F70" s="566">
        <v>553.99998255034495</v>
      </c>
      <c r="G70" s="567">
        <v>92.333330425057</v>
      </c>
      <c r="H70" s="569">
        <v>75.28</v>
      </c>
      <c r="I70" s="566">
        <v>165.03200000000001</v>
      </c>
      <c r="J70" s="567">
        <v>72.698669574942002</v>
      </c>
      <c r="K70" s="570">
        <v>0.29789170613299998</v>
      </c>
    </row>
    <row r="71" spans="1:11" ht="14.4" customHeight="1" thickBot="1" x14ac:dyDescent="0.35">
      <c r="A71" s="586" t="s">
        <v>30</v>
      </c>
      <c r="B71" s="566">
        <v>0.28993067455499999</v>
      </c>
      <c r="C71" s="566">
        <v>150.63424000000001</v>
      </c>
      <c r="D71" s="567">
        <v>150.34430932544501</v>
      </c>
      <c r="E71" s="568">
        <v>519.55261453801199</v>
      </c>
      <c r="F71" s="566">
        <v>160.45208961352799</v>
      </c>
      <c r="G71" s="567">
        <v>26.742014935587999</v>
      </c>
      <c r="H71" s="569">
        <v>7.4296600000000002</v>
      </c>
      <c r="I71" s="566">
        <v>16.651979999999998</v>
      </c>
      <c r="J71" s="567">
        <v>-10.090034935587999</v>
      </c>
      <c r="K71" s="570">
        <v>0.10378163375799999</v>
      </c>
    </row>
    <row r="72" spans="1:11" ht="14.4" customHeight="1" thickBot="1" x14ac:dyDescent="0.35">
      <c r="A72" s="587" t="s">
        <v>373</v>
      </c>
      <c r="B72" s="571">
        <v>0.28993067455499999</v>
      </c>
      <c r="C72" s="571">
        <v>150.63424000000001</v>
      </c>
      <c r="D72" s="572">
        <v>150.34430932544501</v>
      </c>
      <c r="E72" s="578">
        <v>519.55261453801199</v>
      </c>
      <c r="F72" s="571">
        <v>160.45208961352799</v>
      </c>
      <c r="G72" s="572">
        <v>26.742014935587999</v>
      </c>
      <c r="H72" s="574">
        <v>7.4296600000000002</v>
      </c>
      <c r="I72" s="571">
        <v>16.651979999999998</v>
      </c>
      <c r="J72" s="572">
        <v>-10.090034935587999</v>
      </c>
      <c r="K72" s="579">
        <v>0.10378163375799999</v>
      </c>
    </row>
    <row r="73" spans="1:11" ht="14.4" customHeight="1" thickBot="1" x14ac:dyDescent="0.35">
      <c r="A73" s="588" t="s">
        <v>374</v>
      </c>
      <c r="B73" s="566">
        <v>0.28993067455499999</v>
      </c>
      <c r="C73" s="566">
        <v>150.63424000000001</v>
      </c>
      <c r="D73" s="567">
        <v>150.34430932544501</v>
      </c>
      <c r="E73" s="568">
        <v>519.55261453801199</v>
      </c>
      <c r="F73" s="566">
        <v>160.45208961352799</v>
      </c>
      <c r="G73" s="567">
        <v>26.742014935587999</v>
      </c>
      <c r="H73" s="569">
        <v>7.4296600000000002</v>
      </c>
      <c r="I73" s="566">
        <v>16.651979999999998</v>
      </c>
      <c r="J73" s="567">
        <v>-10.090034935587999</v>
      </c>
      <c r="K73" s="570">
        <v>0.10378163375799999</v>
      </c>
    </row>
    <row r="74" spans="1:11" ht="14.4" customHeight="1" thickBot="1" x14ac:dyDescent="0.35">
      <c r="A74" s="589" t="s">
        <v>375</v>
      </c>
      <c r="B74" s="571">
        <v>3298.7644503813199</v>
      </c>
      <c r="C74" s="571">
        <v>2643.9469199999999</v>
      </c>
      <c r="D74" s="572">
        <v>-654.81753038131501</v>
      </c>
      <c r="E74" s="578">
        <v>0.80149612370599999</v>
      </c>
      <c r="F74" s="571">
        <v>2642.4908003574901</v>
      </c>
      <c r="G74" s="572">
        <v>440.41513339291498</v>
      </c>
      <c r="H74" s="574">
        <v>180.28456</v>
      </c>
      <c r="I74" s="571">
        <v>335.14688000000001</v>
      </c>
      <c r="J74" s="572">
        <v>-105.268253392914</v>
      </c>
      <c r="K74" s="579">
        <v>0.126829913638</v>
      </c>
    </row>
    <row r="75" spans="1:11" ht="14.4" customHeight="1" thickBot="1" x14ac:dyDescent="0.35">
      <c r="A75" s="586" t="s">
        <v>32</v>
      </c>
      <c r="B75" s="566">
        <v>1207.37376973659</v>
      </c>
      <c r="C75" s="566">
        <v>634.85298</v>
      </c>
      <c r="D75" s="567">
        <v>-572.52078973658604</v>
      </c>
      <c r="E75" s="568">
        <v>0.52581312921699996</v>
      </c>
      <c r="F75" s="566">
        <v>901.75626412193401</v>
      </c>
      <c r="G75" s="567">
        <v>150.29271068698901</v>
      </c>
      <c r="H75" s="569">
        <v>63.264789999999998</v>
      </c>
      <c r="I75" s="566">
        <v>67.169120000000007</v>
      </c>
      <c r="J75" s="567">
        <v>-83.123590686987995</v>
      </c>
      <c r="K75" s="570">
        <v>7.4487001280000006E-2</v>
      </c>
    </row>
    <row r="76" spans="1:11" ht="14.4" customHeight="1" thickBot="1" x14ac:dyDescent="0.35">
      <c r="A76" s="590" t="s">
        <v>376</v>
      </c>
      <c r="B76" s="566">
        <v>1207.37376973659</v>
      </c>
      <c r="C76" s="566">
        <v>634.85298</v>
      </c>
      <c r="D76" s="567">
        <v>-572.52078973658604</v>
      </c>
      <c r="E76" s="568">
        <v>0.52581312921699996</v>
      </c>
      <c r="F76" s="566">
        <v>901.75626412193401</v>
      </c>
      <c r="G76" s="567">
        <v>150.29271068698901</v>
      </c>
      <c r="H76" s="569">
        <v>63.264789999999998</v>
      </c>
      <c r="I76" s="566">
        <v>67.169120000000007</v>
      </c>
      <c r="J76" s="567">
        <v>-83.123590686987995</v>
      </c>
      <c r="K76" s="570">
        <v>7.4487001280000006E-2</v>
      </c>
    </row>
    <row r="77" spans="1:11" ht="14.4" customHeight="1" thickBot="1" x14ac:dyDescent="0.35">
      <c r="A77" s="588" t="s">
        <v>377</v>
      </c>
      <c r="B77" s="566">
        <v>942.02569722538703</v>
      </c>
      <c r="C77" s="566">
        <v>323.49583000000001</v>
      </c>
      <c r="D77" s="567">
        <v>-618.52986722538606</v>
      </c>
      <c r="E77" s="568">
        <v>0.34340446439200001</v>
      </c>
      <c r="F77" s="566">
        <v>355.27395909866198</v>
      </c>
      <c r="G77" s="567">
        <v>59.212326516442999</v>
      </c>
      <c r="H77" s="569">
        <v>58.7226</v>
      </c>
      <c r="I77" s="566">
        <v>58.7226</v>
      </c>
      <c r="J77" s="567">
        <v>-0.48972651644300003</v>
      </c>
      <c r="K77" s="570">
        <v>0.16528821912200001</v>
      </c>
    </row>
    <row r="78" spans="1:11" ht="14.4" customHeight="1" thickBot="1" x14ac:dyDescent="0.35">
      <c r="A78" s="588" t="s">
        <v>378</v>
      </c>
      <c r="B78" s="566">
        <v>0</v>
      </c>
      <c r="C78" s="566">
        <v>1.331</v>
      </c>
      <c r="D78" s="567">
        <v>1.331</v>
      </c>
      <c r="E78" s="576" t="s">
        <v>325</v>
      </c>
      <c r="F78" s="566">
        <v>1.703490986941</v>
      </c>
      <c r="G78" s="567">
        <v>0.28391516448999998</v>
      </c>
      <c r="H78" s="569">
        <v>0</v>
      </c>
      <c r="I78" s="566">
        <v>0</v>
      </c>
      <c r="J78" s="567">
        <v>-0.28391516448999998</v>
      </c>
      <c r="K78" s="570">
        <v>0</v>
      </c>
    </row>
    <row r="79" spans="1:11" ht="14.4" customHeight="1" thickBot="1" x14ac:dyDescent="0.35">
      <c r="A79" s="588" t="s">
        <v>379</v>
      </c>
      <c r="B79" s="566">
        <v>54.271576825979999</v>
      </c>
      <c r="C79" s="566">
        <v>93.737560000000002</v>
      </c>
      <c r="D79" s="567">
        <v>39.465983174019001</v>
      </c>
      <c r="E79" s="568">
        <v>1.7271943341639999</v>
      </c>
      <c r="F79" s="566">
        <v>85.850568143909996</v>
      </c>
      <c r="G79" s="567">
        <v>14.308428023985</v>
      </c>
      <c r="H79" s="569">
        <v>0</v>
      </c>
      <c r="I79" s="566">
        <v>0.86199999999999999</v>
      </c>
      <c r="J79" s="567">
        <v>-13.446428023985</v>
      </c>
      <c r="K79" s="570">
        <v>1.0040702334E-2</v>
      </c>
    </row>
    <row r="80" spans="1:11" ht="14.4" customHeight="1" thickBot="1" x14ac:dyDescent="0.35">
      <c r="A80" s="588" t="s">
        <v>380</v>
      </c>
      <c r="B80" s="566">
        <v>162.999724806541</v>
      </c>
      <c r="C80" s="566">
        <v>137.92957999999999</v>
      </c>
      <c r="D80" s="567">
        <v>-25.070144806540998</v>
      </c>
      <c r="E80" s="568">
        <v>0.84619517096499997</v>
      </c>
      <c r="F80" s="566">
        <v>335.99998941681503</v>
      </c>
      <c r="G80" s="567">
        <v>55.999998236134999</v>
      </c>
      <c r="H80" s="569">
        <v>0</v>
      </c>
      <c r="I80" s="566">
        <v>0</v>
      </c>
      <c r="J80" s="567">
        <v>-55.999998236134999</v>
      </c>
      <c r="K80" s="570">
        <v>0</v>
      </c>
    </row>
    <row r="81" spans="1:11" ht="14.4" customHeight="1" thickBot="1" x14ac:dyDescent="0.35">
      <c r="A81" s="588" t="s">
        <v>381</v>
      </c>
      <c r="B81" s="566">
        <v>48.076770878677998</v>
      </c>
      <c r="C81" s="566">
        <v>78.359009999999998</v>
      </c>
      <c r="D81" s="567">
        <v>30.282239121320998</v>
      </c>
      <c r="E81" s="568">
        <v>1.6298725677250001</v>
      </c>
      <c r="F81" s="566">
        <v>122.928256475605</v>
      </c>
      <c r="G81" s="567">
        <v>20.488042745933999</v>
      </c>
      <c r="H81" s="569">
        <v>4.5421899999999997</v>
      </c>
      <c r="I81" s="566">
        <v>7.5845200000000004</v>
      </c>
      <c r="J81" s="567">
        <v>-12.903522745934</v>
      </c>
      <c r="K81" s="570">
        <v>6.1698751917E-2</v>
      </c>
    </row>
    <row r="82" spans="1:11" ht="14.4" customHeight="1" thickBot="1" x14ac:dyDescent="0.35">
      <c r="A82" s="591" t="s">
        <v>33</v>
      </c>
      <c r="B82" s="571">
        <v>0</v>
      </c>
      <c r="C82" s="571">
        <v>67.460999999999999</v>
      </c>
      <c r="D82" s="572">
        <v>67.460999999999999</v>
      </c>
      <c r="E82" s="573" t="s">
        <v>306</v>
      </c>
      <c r="F82" s="571">
        <v>0</v>
      </c>
      <c r="G82" s="572">
        <v>0</v>
      </c>
      <c r="H82" s="574">
        <v>0.67200000000000004</v>
      </c>
      <c r="I82" s="571">
        <v>0.67200000000000004</v>
      </c>
      <c r="J82" s="572">
        <v>0.67200000000000004</v>
      </c>
      <c r="K82" s="575" t="s">
        <v>306</v>
      </c>
    </row>
    <row r="83" spans="1:11" ht="14.4" customHeight="1" thickBot="1" x14ac:dyDescent="0.35">
      <c r="A83" s="587" t="s">
        <v>382</v>
      </c>
      <c r="B83" s="571">
        <v>0</v>
      </c>
      <c r="C83" s="571">
        <v>60.194000000000003</v>
      </c>
      <c r="D83" s="572">
        <v>60.194000000000003</v>
      </c>
      <c r="E83" s="573" t="s">
        <v>306</v>
      </c>
      <c r="F83" s="571">
        <v>0</v>
      </c>
      <c r="G83" s="572">
        <v>0</v>
      </c>
      <c r="H83" s="574">
        <v>0.67200000000000004</v>
      </c>
      <c r="I83" s="571">
        <v>0.67200000000000004</v>
      </c>
      <c r="J83" s="572">
        <v>0.67200000000000004</v>
      </c>
      <c r="K83" s="575" t="s">
        <v>306</v>
      </c>
    </row>
    <row r="84" spans="1:11" ht="14.4" customHeight="1" thickBot="1" x14ac:dyDescent="0.35">
      <c r="A84" s="588" t="s">
        <v>383</v>
      </c>
      <c r="B84" s="566">
        <v>0</v>
      </c>
      <c r="C84" s="566">
        <v>55.573999999999998</v>
      </c>
      <c r="D84" s="567">
        <v>55.573999999999998</v>
      </c>
      <c r="E84" s="576" t="s">
        <v>306</v>
      </c>
      <c r="F84" s="566">
        <v>0</v>
      </c>
      <c r="G84" s="567">
        <v>0</v>
      </c>
      <c r="H84" s="569">
        <v>0.67200000000000004</v>
      </c>
      <c r="I84" s="566">
        <v>0.67200000000000004</v>
      </c>
      <c r="J84" s="567">
        <v>0.67200000000000004</v>
      </c>
      <c r="K84" s="577" t="s">
        <v>306</v>
      </c>
    </row>
    <row r="85" spans="1:11" ht="14.4" customHeight="1" thickBot="1" x14ac:dyDescent="0.35">
      <c r="A85" s="588" t="s">
        <v>384</v>
      </c>
      <c r="B85" s="566">
        <v>0</v>
      </c>
      <c r="C85" s="566">
        <v>4.62</v>
      </c>
      <c r="D85" s="567">
        <v>4.62</v>
      </c>
      <c r="E85" s="576" t="s">
        <v>306</v>
      </c>
      <c r="F85" s="566">
        <v>0</v>
      </c>
      <c r="G85" s="567">
        <v>0</v>
      </c>
      <c r="H85" s="569">
        <v>0</v>
      </c>
      <c r="I85" s="566">
        <v>0</v>
      </c>
      <c r="J85" s="567">
        <v>0</v>
      </c>
      <c r="K85" s="577" t="s">
        <v>306</v>
      </c>
    </row>
    <row r="86" spans="1:11" ht="14.4" customHeight="1" thickBot="1" x14ac:dyDescent="0.35">
      <c r="A86" s="587" t="s">
        <v>385</v>
      </c>
      <c r="B86" s="571">
        <v>0</v>
      </c>
      <c r="C86" s="571">
        <v>7.2670000000000003</v>
      </c>
      <c r="D86" s="572">
        <v>7.2670000000000003</v>
      </c>
      <c r="E86" s="573" t="s">
        <v>325</v>
      </c>
      <c r="F86" s="571">
        <v>0</v>
      </c>
      <c r="G86" s="572">
        <v>0</v>
      </c>
      <c r="H86" s="574">
        <v>0</v>
      </c>
      <c r="I86" s="571">
        <v>0</v>
      </c>
      <c r="J86" s="572">
        <v>0</v>
      </c>
      <c r="K86" s="579">
        <v>0</v>
      </c>
    </row>
    <row r="87" spans="1:11" ht="14.4" customHeight="1" thickBot="1" x14ac:dyDescent="0.35">
      <c r="A87" s="588" t="s">
        <v>386</v>
      </c>
      <c r="B87" s="566">
        <v>0</v>
      </c>
      <c r="C87" s="566">
        <v>7.2670000000000003</v>
      </c>
      <c r="D87" s="567">
        <v>7.2670000000000003</v>
      </c>
      <c r="E87" s="576" t="s">
        <v>325</v>
      </c>
      <c r="F87" s="566">
        <v>0</v>
      </c>
      <c r="G87" s="567">
        <v>0</v>
      </c>
      <c r="H87" s="569">
        <v>0</v>
      </c>
      <c r="I87" s="566">
        <v>0</v>
      </c>
      <c r="J87" s="567">
        <v>0</v>
      </c>
      <c r="K87" s="570">
        <v>0</v>
      </c>
    </row>
    <row r="88" spans="1:11" ht="14.4" customHeight="1" thickBot="1" x14ac:dyDescent="0.35">
      <c r="A88" s="586" t="s">
        <v>34</v>
      </c>
      <c r="B88" s="566">
        <v>2091.3906806447299</v>
      </c>
      <c r="C88" s="566">
        <v>1941.63294</v>
      </c>
      <c r="D88" s="567">
        <v>-149.75774064472901</v>
      </c>
      <c r="E88" s="568">
        <v>0.92839322560299997</v>
      </c>
      <c r="F88" s="566">
        <v>1740.73453623555</v>
      </c>
      <c r="G88" s="567">
        <v>290.12242270592498</v>
      </c>
      <c r="H88" s="569">
        <v>116.34777</v>
      </c>
      <c r="I88" s="566">
        <v>267.30576000000002</v>
      </c>
      <c r="J88" s="567">
        <v>-22.816662705925001</v>
      </c>
      <c r="K88" s="570">
        <v>0.15355917541399999</v>
      </c>
    </row>
    <row r="89" spans="1:11" ht="14.4" customHeight="1" thickBot="1" x14ac:dyDescent="0.35">
      <c r="A89" s="587" t="s">
        <v>387</v>
      </c>
      <c r="B89" s="571">
        <v>0.944780010005</v>
      </c>
      <c r="C89" s="571">
        <v>1.194</v>
      </c>
      <c r="D89" s="572">
        <v>0.249219989994</v>
      </c>
      <c r="E89" s="578">
        <v>1.2637862649030001</v>
      </c>
      <c r="F89" s="571">
        <v>0.87865861429600001</v>
      </c>
      <c r="G89" s="572">
        <v>0.14644310238200001</v>
      </c>
      <c r="H89" s="574">
        <v>0.21</v>
      </c>
      <c r="I89" s="571">
        <v>0.437</v>
      </c>
      <c r="J89" s="572">
        <v>0.29055689761699999</v>
      </c>
      <c r="K89" s="579">
        <v>0.49734901916300001</v>
      </c>
    </row>
    <row r="90" spans="1:11" ht="14.4" customHeight="1" thickBot="1" x14ac:dyDescent="0.35">
      <c r="A90" s="588" t="s">
        <v>388</v>
      </c>
      <c r="B90" s="566">
        <v>0.944780010005</v>
      </c>
      <c r="C90" s="566">
        <v>1.194</v>
      </c>
      <c r="D90" s="567">
        <v>0.249219989994</v>
      </c>
      <c r="E90" s="568">
        <v>1.2637862649030001</v>
      </c>
      <c r="F90" s="566">
        <v>0.87865861429600001</v>
      </c>
      <c r="G90" s="567">
        <v>0.14644310238200001</v>
      </c>
      <c r="H90" s="569">
        <v>0.21</v>
      </c>
      <c r="I90" s="566">
        <v>0.437</v>
      </c>
      <c r="J90" s="567">
        <v>0.29055689761699999</v>
      </c>
      <c r="K90" s="570">
        <v>0.49734901916300001</v>
      </c>
    </row>
    <row r="91" spans="1:11" ht="14.4" customHeight="1" thickBot="1" x14ac:dyDescent="0.35">
      <c r="A91" s="587" t="s">
        <v>389</v>
      </c>
      <c r="B91" s="571">
        <v>37.315353315736999</v>
      </c>
      <c r="C91" s="571">
        <v>29.636900000000001</v>
      </c>
      <c r="D91" s="572">
        <v>-7.6784533157370003</v>
      </c>
      <c r="E91" s="578">
        <v>0.79422804198600006</v>
      </c>
      <c r="F91" s="571">
        <v>30.439567756462001</v>
      </c>
      <c r="G91" s="572">
        <v>5.0732612927430001</v>
      </c>
      <c r="H91" s="574">
        <v>3.9325199999999998</v>
      </c>
      <c r="I91" s="571">
        <v>5.2442900000000003</v>
      </c>
      <c r="J91" s="572">
        <v>0.171028707256</v>
      </c>
      <c r="K91" s="579">
        <v>0.17228529793700001</v>
      </c>
    </row>
    <row r="92" spans="1:11" ht="14.4" customHeight="1" thickBot="1" x14ac:dyDescent="0.35">
      <c r="A92" s="588" t="s">
        <v>390</v>
      </c>
      <c r="B92" s="566">
        <v>14.443235653606999</v>
      </c>
      <c r="C92" s="566">
        <v>13.382899999999999</v>
      </c>
      <c r="D92" s="567">
        <v>-1.0603356536070001</v>
      </c>
      <c r="E92" s="568">
        <v>0.92658600336899999</v>
      </c>
      <c r="F92" s="566">
        <v>13.421645294081999</v>
      </c>
      <c r="G92" s="567">
        <v>2.2369408823470001</v>
      </c>
      <c r="H92" s="569">
        <v>2.8483999999999998</v>
      </c>
      <c r="I92" s="566">
        <v>2.8483999999999998</v>
      </c>
      <c r="J92" s="567">
        <v>0.61145911765200001</v>
      </c>
      <c r="K92" s="570">
        <v>0.21222435383900001</v>
      </c>
    </row>
    <row r="93" spans="1:11" ht="14.4" customHeight="1" thickBot="1" x14ac:dyDescent="0.35">
      <c r="A93" s="588" t="s">
        <v>391</v>
      </c>
      <c r="B93" s="566">
        <v>22.872117662130002</v>
      </c>
      <c r="C93" s="566">
        <v>16.254000000000001</v>
      </c>
      <c r="D93" s="567">
        <v>-6.6181176621300004</v>
      </c>
      <c r="E93" s="568">
        <v>0.71064692129100004</v>
      </c>
      <c r="F93" s="566">
        <v>17.017922462379001</v>
      </c>
      <c r="G93" s="567">
        <v>2.836320410396</v>
      </c>
      <c r="H93" s="569">
        <v>1.08412</v>
      </c>
      <c r="I93" s="566">
        <v>2.3958900000000001</v>
      </c>
      <c r="J93" s="567">
        <v>-0.440430410396</v>
      </c>
      <c r="K93" s="570">
        <v>0.14078628018700001</v>
      </c>
    </row>
    <row r="94" spans="1:11" ht="14.4" customHeight="1" thickBot="1" x14ac:dyDescent="0.35">
      <c r="A94" s="587" t="s">
        <v>392</v>
      </c>
      <c r="B94" s="571">
        <v>57.907926160911003</v>
      </c>
      <c r="C94" s="571">
        <v>80.646569999999997</v>
      </c>
      <c r="D94" s="572">
        <v>22.738643839087999</v>
      </c>
      <c r="E94" s="578">
        <v>1.392668937511</v>
      </c>
      <c r="F94" s="571">
        <v>64.999997952656003</v>
      </c>
      <c r="G94" s="572">
        <v>10.833332992109</v>
      </c>
      <c r="H94" s="574">
        <v>1.4037200000000001</v>
      </c>
      <c r="I94" s="571">
        <v>60.8842</v>
      </c>
      <c r="J94" s="572">
        <v>50.050867007889998</v>
      </c>
      <c r="K94" s="579">
        <v>0.936680029503</v>
      </c>
    </row>
    <row r="95" spans="1:11" ht="14.4" customHeight="1" thickBot="1" x14ac:dyDescent="0.35">
      <c r="A95" s="588" t="s">
        <v>393</v>
      </c>
      <c r="B95" s="566">
        <v>11.885925959468</v>
      </c>
      <c r="C95" s="566">
        <v>12.69</v>
      </c>
      <c r="D95" s="567">
        <v>0.80407404053099996</v>
      </c>
      <c r="E95" s="568">
        <v>1.067649255369</v>
      </c>
      <c r="F95" s="566">
        <v>15.999999496038001</v>
      </c>
      <c r="G95" s="567">
        <v>2.6666665826729998</v>
      </c>
      <c r="H95" s="569">
        <v>0</v>
      </c>
      <c r="I95" s="566">
        <v>4.1849999999999996</v>
      </c>
      <c r="J95" s="567">
        <v>1.5183334173259999</v>
      </c>
      <c r="K95" s="570">
        <v>0.26156250823799998</v>
      </c>
    </row>
    <row r="96" spans="1:11" ht="14.4" customHeight="1" thickBot="1" x14ac:dyDescent="0.35">
      <c r="A96" s="588" t="s">
        <v>394</v>
      </c>
      <c r="B96" s="566">
        <v>46.022000201442999</v>
      </c>
      <c r="C96" s="566">
        <v>67.956569999999999</v>
      </c>
      <c r="D96" s="567">
        <v>21.934569798556002</v>
      </c>
      <c r="E96" s="568">
        <v>1.476610527629</v>
      </c>
      <c r="F96" s="566">
        <v>48.999998456618002</v>
      </c>
      <c r="G96" s="567">
        <v>8.1666664094360009</v>
      </c>
      <c r="H96" s="569">
        <v>1.4037200000000001</v>
      </c>
      <c r="I96" s="566">
        <v>56.699199999999998</v>
      </c>
      <c r="J96" s="567">
        <v>48.532533590562998</v>
      </c>
      <c r="K96" s="570">
        <v>1.157126567058</v>
      </c>
    </row>
    <row r="97" spans="1:11" ht="14.4" customHeight="1" thickBot="1" x14ac:dyDescent="0.35">
      <c r="A97" s="587" t="s">
        <v>395</v>
      </c>
      <c r="B97" s="571">
        <v>0</v>
      </c>
      <c r="C97" s="571">
        <v>0</v>
      </c>
      <c r="D97" s="572">
        <v>0</v>
      </c>
      <c r="E97" s="578">
        <v>1</v>
      </c>
      <c r="F97" s="571">
        <v>0</v>
      </c>
      <c r="G97" s="572">
        <v>0</v>
      </c>
      <c r="H97" s="574">
        <v>7.6</v>
      </c>
      <c r="I97" s="571">
        <v>7.6</v>
      </c>
      <c r="J97" s="572">
        <v>7.6</v>
      </c>
      <c r="K97" s="575" t="s">
        <v>325</v>
      </c>
    </row>
    <row r="98" spans="1:11" ht="14.4" customHeight="1" thickBot="1" x14ac:dyDescent="0.35">
      <c r="A98" s="588" t="s">
        <v>396</v>
      </c>
      <c r="B98" s="566">
        <v>0</v>
      </c>
      <c r="C98" s="566">
        <v>0</v>
      </c>
      <c r="D98" s="567">
        <v>0</v>
      </c>
      <c r="E98" s="568">
        <v>1</v>
      </c>
      <c r="F98" s="566">
        <v>0</v>
      </c>
      <c r="G98" s="567">
        <v>0</v>
      </c>
      <c r="H98" s="569">
        <v>7.6</v>
      </c>
      <c r="I98" s="566">
        <v>7.6</v>
      </c>
      <c r="J98" s="567">
        <v>7.6</v>
      </c>
      <c r="K98" s="577" t="s">
        <v>325</v>
      </c>
    </row>
    <row r="99" spans="1:11" ht="14.4" customHeight="1" thickBot="1" x14ac:dyDescent="0.35">
      <c r="A99" s="587" t="s">
        <v>397</v>
      </c>
      <c r="B99" s="571">
        <v>852.50549711374401</v>
      </c>
      <c r="C99" s="571">
        <v>749.39660000000003</v>
      </c>
      <c r="D99" s="572">
        <v>-103.108897113743</v>
      </c>
      <c r="E99" s="578">
        <v>0.87905192698099999</v>
      </c>
      <c r="F99" s="571">
        <v>792.09001372198099</v>
      </c>
      <c r="G99" s="572">
        <v>132.015002286997</v>
      </c>
      <c r="H99" s="574">
        <v>76.713639999999998</v>
      </c>
      <c r="I99" s="571">
        <v>154.02199999999999</v>
      </c>
      <c r="J99" s="572">
        <v>22.006997713002999</v>
      </c>
      <c r="K99" s="579">
        <v>0.19445012224800001</v>
      </c>
    </row>
    <row r="100" spans="1:11" ht="14.4" customHeight="1" thickBot="1" x14ac:dyDescent="0.35">
      <c r="A100" s="588" t="s">
        <v>398</v>
      </c>
      <c r="B100" s="566">
        <v>707.09144454745604</v>
      </c>
      <c r="C100" s="566">
        <v>593.75554</v>
      </c>
      <c r="D100" s="567">
        <v>-113.335904547456</v>
      </c>
      <c r="E100" s="568">
        <v>0.83971535022599997</v>
      </c>
      <c r="F100" s="566">
        <v>636.110810397264</v>
      </c>
      <c r="G100" s="567">
        <v>106.01846839954401</v>
      </c>
      <c r="H100" s="569">
        <v>63.754539999999999</v>
      </c>
      <c r="I100" s="566">
        <v>127.50908</v>
      </c>
      <c r="J100" s="567">
        <v>21.490611600455999</v>
      </c>
      <c r="K100" s="570">
        <v>0.200451050219</v>
      </c>
    </row>
    <row r="101" spans="1:11" ht="14.4" customHeight="1" thickBot="1" x14ac:dyDescent="0.35">
      <c r="A101" s="588" t="s">
        <v>399</v>
      </c>
      <c r="B101" s="566">
        <v>145.41405256628701</v>
      </c>
      <c r="C101" s="566">
        <v>155.64106000000001</v>
      </c>
      <c r="D101" s="567">
        <v>10.227007433712</v>
      </c>
      <c r="E101" s="568">
        <v>1.0703302552480001</v>
      </c>
      <c r="F101" s="566">
        <v>155.97920332471699</v>
      </c>
      <c r="G101" s="567">
        <v>25.996533887451999</v>
      </c>
      <c r="H101" s="569">
        <v>12.959099999999999</v>
      </c>
      <c r="I101" s="566">
        <v>26.512920000000001</v>
      </c>
      <c r="J101" s="567">
        <v>0.51638611254699995</v>
      </c>
      <c r="K101" s="570">
        <v>0.16997727539800001</v>
      </c>
    </row>
    <row r="102" spans="1:11" ht="14.4" customHeight="1" thickBot="1" x14ac:dyDescent="0.35">
      <c r="A102" s="587" t="s">
        <v>400</v>
      </c>
      <c r="B102" s="571">
        <v>1142.7171240443299</v>
      </c>
      <c r="C102" s="571">
        <v>1078.4852699999999</v>
      </c>
      <c r="D102" s="572">
        <v>-64.231854044330007</v>
      </c>
      <c r="E102" s="578">
        <v>0.94379024108999998</v>
      </c>
      <c r="F102" s="571">
        <v>852.32629819015699</v>
      </c>
      <c r="G102" s="572">
        <v>142.05438303169299</v>
      </c>
      <c r="H102" s="574">
        <v>26.48789</v>
      </c>
      <c r="I102" s="571">
        <v>39.118270000000003</v>
      </c>
      <c r="J102" s="572">
        <v>-102.936113031693</v>
      </c>
      <c r="K102" s="579">
        <v>4.5895885275999998E-2</v>
      </c>
    </row>
    <row r="103" spans="1:11" ht="14.4" customHeight="1" thickBot="1" x14ac:dyDescent="0.35">
      <c r="A103" s="588" t="s">
        <v>401</v>
      </c>
      <c r="B103" s="566">
        <v>7.8338741739779998</v>
      </c>
      <c r="C103" s="566">
        <v>0</v>
      </c>
      <c r="D103" s="567">
        <v>-7.8338741739779998</v>
      </c>
      <c r="E103" s="568">
        <v>0</v>
      </c>
      <c r="F103" s="566">
        <v>19.999999370047998</v>
      </c>
      <c r="G103" s="567">
        <v>3.333333228341</v>
      </c>
      <c r="H103" s="569">
        <v>0</v>
      </c>
      <c r="I103" s="566">
        <v>0</v>
      </c>
      <c r="J103" s="567">
        <v>-3.333333228341</v>
      </c>
      <c r="K103" s="570">
        <v>0</v>
      </c>
    </row>
    <row r="104" spans="1:11" ht="14.4" customHeight="1" thickBot="1" x14ac:dyDescent="0.35">
      <c r="A104" s="588" t="s">
        <v>402</v>
      </c>
      <c r="B104" s="566">
        <v>930.042500380805</v>
      </c>
      <c r="C104" s="566">
        <v>925.90891999999997</v>
      </c>
      <c r="D104" s="567">
        <v>-4.1335803808050002</v>
      </c>
      <c r="E104" s="568">
        <v>0.99555549302400004</v>
      </c>
      <c r="F104" s="566">
        <v>659.89001860855603</v>
      </c>
      <c r="G104" s="567">
        <v>109.981669768093</v>
      </c>
      <c r="H104" s="569">
        <v>2.4964499999999998</v>
      </c>
      <c r="I104" s="566">
        <v>5.7946499999999999</v>
      </c>
      <c r="J104" s="567">
        <v>-104.18701976809299</v>
      </c>
      <c r="K104" s="570">
        <v>8.7812360190000008E-3</v>
      </c>
    </row>
    <row r="105" spans="1:11" ht="14.4" customHeight="1" thickBot="1" x14ac:dyDescent="0.35">
      <c r="A105" s="588" t="s">
        <v>403</v>
      </c>
      <c r="B105" s="566">
        <v>5.0018220837029999</v>
      </c>
      <c r="C105" s="566">
        <v>3.3915999999999999</v>
      </c>
      <c r="D105" s="567">
        <v>-1.6102220837029999</v>
      </c>
      <c r="E105" s="568">
        <v>0.67807289888400002</v>
      </c>
      <c r="F105" s="566">
        <v>1.999999937004</v>
      </c>
      <c r="G105" s="567">
        <v>0.33333332283400002</v>
      </c>
      <c r="H105" s="569">
        <v>0</v>
      </c>
      <c r="I105" s="566">
        <v>0</v>
      </c>
      <c r="J105" s="567">
        <v>-0.33333332283400002</v>
      </c>
      <c r="K105" s="570">
        <v>0</v>
      </c>
    </row>
    <row r="106" spans="1:11" ht="14.4" customHeight="1" thickBot="1" x14ac:dyDescent="0.35">
      <c r="A106" s="588" t="s">
        <v>404</v>
      </c>
      <c r="B106" s="566">
        <v>23.527871188203999</v>
      </c>
      <c r="C106" s="566">
        <v>1.6072299999999999</v>
      </c>
      <c r="D106" s="567">
        <v>-21.920641188204002</v>
      </c>
      <c r="E106" s="568">
        <v>6.8311747677000004E-2</v>
      </c>
      <c r="F106" s="566">
        <v>1.9600447279769999</v>
      </c>
      <c r="G106" s="567">
        <v>0.32667412132899998</v>
      </c>
      <c r="H106" s="569">
        <v>12.416740000000001</v>
      </c>
      <c r="I106" s="566">
        <v>12.416740000000001</v>
      </c>
      <c r="J106" s="567">
        <v>12.09006587867</v>
      </c>
      <c r="K106" s="570">
        <v>6.3349268630270004</v>
      </c>
    </row>
    <row r="107" spans="1:11" ht="14.4" customHeight="1" thickBot="1" x14ac:dyDescent="0.35">
      <c r="A107" s="588" t="s">
        <v>405</v>
      </c>
      <c r="B107" s="566">
        <v>176.31105621763999</v>
      </c>
      <c r="C107" s="566">
        <v>147.57751999999999</v>
      </c>
      <c r="D107" s="567">
        <v>-28.733536217640001</v>
      </c>
      <c r="E107" s="568">
        <v>0.83702930017999999</v>
      </c>
      <c r="F107" s="566">
        <v>168.47623554657</v>
      </c>
      <c r="G107" s="567">
        <v>28.079372591095002</v>
      </c>
      <c r="H107" s="569">
        <v>11.5747</v>
      </c>
      <c r="I107" s="566">
        <v>20.906880000000001</v>
      </c>
      <c r="J107" s="567">
        <v>-7.1724925910939996</v>
      </c>
      <c r="K107" s="570">
        <v>0.124093940799</v>
      </c>
    </row>
    <row r="108" spans="1:11" ht="14.4" customHeight="1" thickBot="1" x14ac:dyDescent="0.35">
      <c r="A108" s="587" t="s">
        <v>406</v>
      </c>
      <c r="B108" s="571">
        <v>0</v>
      </c>
      <c r="C108" s="571">
        <v>2.2736000000000001</v>
      </c>
      <c r="D108" s="572">
        <v>2.2736000000000001</v>
      </c>
      <c r="E108" s="573" t="s">
        <v>306</v>
      </c>
      <c r="F108" s="571">
        <v>0</v>
      </c>
      <c r="G108" s="572">
        <v>0</v>
      </c>
      <c r="H108" s="574">
        <v>0</v>
      </c>
      <c r="I108" s="571">
        <v>0</v>
      </c>
      <c r="J108" s="572">
        <v>0</v>
      </c>
      <c r="K108" s="575" t="s">
        <v>306</v>
      </c>
    </row>
    <row r="109" spans="1:11" ht="14.4" customHeight="1" thickBot="1" x14ac:dyDescent="0.35">
      <c r="A109" s="588" t="s">
        <v>407</v>
      </c>
      <c r="B109" s="566">
        <v>0</v>
      </c>
      <c r="C109" s="566">
        <v>2.2736000000000001</v>
      </c>
      <c r="D109" s="567">
        <v>2.2736000000000001</v>
      </c>
      <c r="E109" s="576" t="s">
        <v>306</v>
      </c>
      <c r="F109" s="566">
        <v>0</v>
      </c>
      <c r="G109" s="567">
        <v>0</v>
      </c>
      <c r="H109" s="569">
        <v>0</v>
      </c>
      <c r="I109" s="566">
        <v>0</v>
      </c>
      <c r="J109" s="567">
        <v>0</v>
      </c>
      <c r="K109" s="577" t="s">
        <v>306</v>
      </c>
    </row>
    <row r="110" spans="1:11" ht="14.4" customHeight="1" thickBot="1" x14ac:dyDescent="0.35">
      <c r="A110" s="585" t="s">
        <v>35</v>
      </c>
      <c r="B110" s="566">
        <v>39682.195760504997</v>
      </c>
      <c r="C110" s="566">
        <v>41337.25361</v>
      </c>
      <c r="D110" s="567">
        <v>1655.057849495</v>
      </c>
      <c r="E110" s="568">
        <v>1.041707819282</v>
      </c>
      <c r="F110" s="566">
        <v>40706.998717828203</v>
      </c>
      <c r="G110" s="567">
        <v>6784.4997863046901</v>
      </c>
      <c r="H110" s="569">
        <v>3398.0764600000098</v>
      </c>
      <c r="I110" s="566">
        <v>6756.2118500000097</v>
      </c>
      <c r="J110" s="567">
        <v>-28.287936304685001</v>
      </c>
      <c r="K110" s="570">
        <v>0.16597175087300001</v>
      </c>
    </row>
    <row r="111" spans="1:11" ht="14.4" customHeight="1" thickBot="1" x14ac:dyDescent="0.35">
      <c r="A111" s="591" t="s">
        <v>408</v>
      </c>
      <c r="B111" s="571">
        <v>29446.999999999502</v>
      </c>
      <c r="C111" s="571">
        <v>30704.31</v>
      </c>
      <c r="D111" s="572">
        <v>1257.31000000056</v>
      </c>
      <c r="E111" s="578">
        <v>1.042697388528</v>
      </c>
      <c r="F111" s="571">
        <v>30208.999048489699</v>
      </c>
      <c r="G111" s="572">
        <v>5034.8331747482798</v>
      </c>
      <c r="H111" s="574">
        <v>2521.2250000000099</v>
      </c>
      <c r="I111" s="571">
        <v>5011.0659999999998</v>
      </c>
      <c r="J111" s="572">
        <v>-23.767174748279999</v>
      </c>
      <c r="K111" s="579">
        <v>0.16587990856400001</v>
      </c>
    </row>
    <row r="112" spans="1:11" ht="14.4" customHeight="1" thickBot="1" x14ac:dyDescent="0.35">
      <c r="A112" s="587" t="s">
        <v>409</v>
      </c>
      <c r="B112" s="571">
        <v>29241.999999999502</v>
      </c>
      <c r="C112" s="571">
        <v>30546.615000000002</v>
      </c>
      <c r="D112" s="572">
        <v>1304.61500000055</v>
      </c>
      <c r="E112" s="578">
        <v>1.0446144244569999</v>
      </c>
      <c r="F112" s="571">
        <v>29999.999055072702</v>
      </c>
      <c r="G112" s="572">
        <v>4999.9998425121203</v>
      </c>
      <c r="H112" s="574">
        <v>2505.1310000000099</v>
      </c>
      <c r="I112" s="571">
        <v>4977.4390000000003</v>
      </c>
      <c r="J112" s="572">
        <v>-22.560842512111002</v>
      </c>
      <c r="K112" s="579">
        <v>0.16591463855899999</v>
      </c>
    </row>
    <row r="113" spans="1:11" ht="14.4" customHeight="1" thickBot="1" x14ac:dyDescent="0.35">
      <c r="A113" s="588" t="s">
        <v>410</v>
      </c>
      <c r="B113" s="566">
        <v>29241.999999999502</v>
      </c>
      <c r="C113" s="566">
        <v>30546.615000000002</v>
      </c>
      <c r="D113" s="567">
        <v>1304.61500000055</v>
      </c>
      <c r="E113" s="568">
        <v>1.0446144244569999</v>
      </c>
      <c r="F113" s="566">
        <v>29999.999055072702</v>
      </c>
      <c r="G113" s="567">
        <v>4999.9998425121203</v>
      </c>
      <c r="H113" s="569">
        <v>2505.1310000000099</v>
      </c>
      <c r="I113" s="566">
        <v>4977.4390000000003</v>
      </c>
      <c r="J113" s="567">
        <v>-22.560842512111002</v>
      </c>
      <c r="K113" s="570">
        <v>0.16591463855899999</v>
      </c>
    </row>
    <row r="114" spans="1:11" ht="14.4" customHeight="1" thickBot="1" x14ac:dyDescent="0.35">
      <c r="A114" s="587" t="s">
        <v>411</v>
      </c>
      <c r="B114" s="571">
        <v>108.999999999998</v>
      </c>
      <c r="C114" s="571">
        <v>107.7</v>
      </c>
      <c r="D114" s="572">
        <v>-1.299999999997</v>
      </c>
      <c r="E114" s="578">
        <v>0.98807339449499998</v>
      </c>
      <c r="F114" s="571">
        <v>114.999996377779</v>
      </c>
      <c r="G114" s="572">
        <v>19.166666062962999</v>
      </c>
      <c r="H114" s="574">
        <v>10.49</v>
      </c>
      <c r="I114" s="571">
        <v>22.105</v>
      </c>
      <c r="J114" s="572">
        <v>2.938333937036</v>
      </c>
      <c r="K114" s="579">
        <v>0.192217397358</v>
      </c>
    </row>
    <row r="115" spans="1:11" ht="14.4" customHeight="1" thickBot="1" x14ac:dyDescent="0.35">
      <c r="A115" s="588" t="s">
        <v>412</v>
      </c>
      <c r="B115" s="566">
        <v>108.999999999998</v>
      </c>
      <c r="C115" s="566">
        <v>107.7</v>
      </c>
      <c r="D115" s="567">
        <v>-1.299999999997</v>
      </c>
      <c r="E115" s="568">
        <v>0.98807339449499998</v>
      </c>
      <c r="F115" s="566">
        <v>114.999996377779</v>
      </c>
      <c r="G115" s="567">
        <v>19.166666062962999</v>
      </c>
      <c r="H115" s="569">
        <v>10.49</v>
      </c>
      <c r="I115" s="566">
        <v>22.105</v>
      </c>
      <c r="J115" s="567">
        <v>2.938333937036</v>
      </c>
      <c r="K115" s="570">
        <v>0.192217397358</v>
      </c>
    </row>
    <row r="116" spans="1:11" ht="14.4" customHeight="1" thickBot="1" x14ac:dyDescent="0.35">
      <c r="A116" s="587" t="s">
        <v>413</v>
      </c>
      <c r="B116" s="571">
        <v>95.999999999997996</v>
      </c>
      <c r="C116" s="571">
        <v>49.994999999999997</v>
      </c>
      <c r="D116" s="572">
        <v>-46.004999999997999</v>
      </c>
      <c r="E116" s="578">
        <v>0.52078124999999997</v>
      </c>
      <c r="F116" s="571">
        <v>93.999997039226997</v>
      </c>
      <c r="G116" s="572">
        <v>15.666666173204</v>
      </c>
      <c r="H116" s="574">
        <v>5.6040000000000001</v>
      </c>
      <c r="I116" s="571">
        <v>11.522</v>
      </c>
      <c r="J116" s="572">
        <v>-4.1446661732040004</v>
      </c>
      <c r="K116" s="579">
        <v>0.122574471945</v>
      </c>
    </row>
    <row r="117" spans="1:11" ht="14.4" customHeight="1" thickBot="1" x14ac:dyDescent="0.35">
      <c r="A117" s="588" t="s">
        <v>414</v>
      </c>
      <c r="B117" s="566">
        <v>95.999999999997996</v>
      </c>
      <c r="C117" s="566">
        <v>49.994999999999997</v>
      </c>
      <c r="D117" s="567">
        <v>-46.004999999997999</v>
      </c>
      <c r="E117" s="568">
        <v>0.52078124999999997</v>
      </c>
      <c r="F117" s="566">
        <v>93.999997039226997</v>
      </c>
      <c r="G117" s="567">
        <v>15.666666173204</v>
      </c>
      <c r="H117" s="569">
        <v>5.6040000000000001</v>
      </c>
      <c r="I117" s="566">
        <v>11.522</v>
      </c>
      <c r="J117" s="567">
        <v>-4.1446661732040004</v>
      </c>
      <c r="K117" s="570">
        <v>0.122574471945</v>
      </c>
    </row>
    <row r="118" spans="1:11" ht="14.4" customHeight="1" thickBot="1" x14ac:dyDescent="0.35">
      <c r="A118" s="586" t="s">
        <v>415</v>
      </c>
      <c r="B118" s="566">
        <v>9942.1957605055795</v>
      </c>
      <c r="C118" s="566">
        <v>10326.84728</v>
      </c>
      <c r="D118" s="567">
        <v>384.65151949442799</v>
      </c>
      <c r="E118" s="568">
        <v>1.0386887895550001</v>
      </c>
      <c r="F118" s="566">
        <v>10198.9996787562</v>
      </c>
      <c r="G118" s="567">
        <v>1699.8332797927001</v>
      </c>
      <c r="H118" s="569">
        <v>851.74406000000204</v>
      </c>
      <c r="I118" s="566">
        <v>1695.25712</v>
      </c>
      <c r="J118" s="567">
        <v>-4.5761597927009996</v>
      </c>
      <c r="K118" s="570">
        <v>0.16621797954600001</v>
      </c>
    </row>
    <row r="119" spans="1:11" ht="14.4" customHeight="1" thickBot="1" x14ac:dyDescent="0.35">
      <c r="A119" s="587" t="s">
        <v>416</v>
      </c>
      <c r="B119" s="571">
        <v>2632.19576050572</v>
      </c>
      <c r="C119" s="571">
        <v>2755.4144999999999</v>
      </c>
      <c r="D119" s="572">
        <v>123.218739494278</v>
      </c>
      <c r="E119" s="578">
        <v>1.0468121487549999</v>
      </c>
      <c r="F119" s="571">
        <v>2698.99991498804</v>
      </c>
      <c r="G119" s="572">
        <v>449.83331916467398</v>
      </c>
      <c r="H119" s="574">
        <v>225.46130000000099</v>
      </c>
      <c r="I119" s="571">
        <v>448.74110999999999</v>
      </c>
      <c r="J119" s="572">
        <v>-1.0922091646730001</v>
      </c>
      <c r="K119" s="579">
        <v>0.166261994862</v>
      </c>
    </row>
    <row r="120" spans="1:11" ht="14.4" customHeight="1" thickBot="1" x14ac:dyDescent="0.35">
      <c r="A120" s="588" t="s">
        <v>417</v>
      </c>
      <c r="B120" s="566">
        <v>2632.19576050572</v>
      </c>
      <c r="C120" s="566">
        <v>2755.4144999999999</v>
      </c>
      <c r="D120" s="567">
        <v>123.218739494278</v>
      </c>
      <c r="E120" s="568">
        <v>1.0468121487549999</v>
      </c>
      <c r="F120" s="566">
        <v>2698.99991498804</v>
      </c>
      <c r="G120" s="567">
        <v>449.83331916467398</v>
      </c>
      <c r="H120" s="569">
        <v>225.46130000000099</v>
      </c>
      <c r="I120" s="566">
        <v>448.74110999999999</v>
      </c>
      <c r="J120" s="567">
        <v>-1.0922091646730001</v>
      </c>
      <c r="K120" s="570">
        <v>0.166261994862</v>
      </c>
    </row>
    <row r="121" spans="1:11" ht="14.4" customHeight="1" thickBot="1" x14ac:dyDescent="0.35">
      <c r="A121" s="587" t="s">
        <v>418</v>
      </c>
      <c r="B121" s="571">
        <v>7309.9999999998499</v>
      </c>
      <c r="C121" s="571">
        <v>7571.4327800000001</v>
      </c>
      <c r="D121" s="572">
        <v>261.43278000014999</v>
      </c>
      <c r="E121" s="578">
        <v>1.035763718194</v>
      </c>
      <c r="F121" s="571">
        <v>7499.9997637681799</v>
      </c>
      <c r="G121" s="572">
        <v>1249.9999606280301</v>
      </c>
      <c r="H121" s="574">
        <v>626.28276000000096</v>
      </c>
      <c r="I121" s="571">
        <v>1246.5160100000001</v>
      </c>
      <c r="J121" s="572">
        <v>-3.4839506280279999</v>
      </c>
      <c r="K121" s="579">
        <v>0.166202139901</v>
      </c>
    </row>
    <row r="122" spans="1:11" ht="14.4" customHeight="1" thickBot="1" x14ac:dyDescent="0.35">
      <c r="A122" s="588" t="s">
        <v>419</v>
      </c>
      <c r="B122" s="566">
        <v>7309.9999999998499</v>
      </c>
      <c r="C122" s="566">
        <v>7571.4327800000001</v>
      </c>
      <c r="D122" s="567">
        <v>261.43278000014999</v>
      </c>
      <c r="E122" s="568">
        <v>1.035763718194</v>
      </c>
      <c r="F122" s="566">
        <v>7499.9997637681799</v>
      </c>
      <c r="G122" s="567">
        <v>1249.9999606280301</v>
      </c>
      <c r="H122" s="569">
        <v>626.28276000000096</v>
      </c>
      <c r="I122" s="566">
        <v>1246.5160100000001</v>
      </c>
      <c r="J122" s="567">
        <v>-3.4839506280279999</v>
      </c>
      <c r="K122" s="570">
        <v>0.166202139901</v>
      </c>
    </row>
    <row r="123" spans="1:11" ht="14.4" customHeight="1" thickBot="1" x14ac:dyDescent="0.35">
      <c r="A123" s="586" t="s">
        <v>420</v>
      </c>
      <c r="B123" s="566">
        <v>292.99999999999397</v>
      </c>
      <c r="C123" s="566">
        <v>306.09633000000002</v>
      </c>
      <c r="D123" s="567">
        <v>13.096330000005</v>
      </c>
      <c r="E123" s="568">
        <v>1.0446973720129999</v>
      </c>
      <c r="F123" s="566">
        <v>298.999990582225</v>
      </c>
      <c r="G123" s="567">
        <v>49.833331763704003</v>
      </c>
      <c r="H123" s="569">
        <v>25.107399999999998</v>
      </c>
      <c r="I123" s="566">
        <v>49.888730000000002</v>
      </c>
      <c r="J123" s="567">
        <v>5.5398236295E-2</v>
      </c>
      <c r="K123" s="570">
        <v>0.166851945054</v>
      </c>
    </row>
    <row r="124" spans="1:11" ht="14.4" customHeight="1" thickBot="1" x14ac:dyDescent="0.35">
      <c r="A124" s="587" t="s">
        <v>421</v>
      </c>
      <c r="B124" s="571">
        <v>292.99999999999397</v>
      </c>
      <c r="C124" s="571">
        <v>306.09633000000002</v>
      </c>
      <c r="D124" s="572">
        <v>13.096330000005</v>
      </c>
      <c r="E124" s="578">
        <v>1.0446973720129999</v>
      </c>
      <c r="F124" s="571">
        <v>298.999990582225</v>
      </c>
      <c r="G124" s="572">
        <v>49.833331763704003</v>
      </c>
      <c r="H124" s="574">
        <v>25.107399999999998</v>
      </c>
      <c r="I124" s="571">
        <v>49.888730000000002</v>
      </c>
      <c r="J124" s="572">
        <v>5.5398236295E-2</v>
      </c>
      <c r="K124" s="579">
        <v>0.166851945054</v>
      </c>
    </row>
    <row r="125" spans="1:11" ht="14.4" customHeight="1" thickBot="1" x14ac:dyDescent="0.35">
      <c r="A125" s="588" t="s">
        <v>422</v>
      </c>
      <c r="B125" s="566">
        <v>292.99999999999397</v>
      </c>
      <c r="C125" s="566">
        <v>306.09633000000002</v>
      </c>
      <c r="D125" s="567">
        <v>13.096330000005</v>
      </c>
      <c r="E125" s="568">
        <v>1.0446973720129999</v>
      </c>
      <c r="F125" s="566">
        <v>298.999990582225</v>
      </c>
      <c r="G125" s="567">
        <v>49.833331763704003</v>
      </c>
      <c r="H125" s="569">
        <v>25.107399999999998</v>
      </c>
      <c r="I125" s="566">
        <v>49.888730000000002</v>
      </c>
      <c r="J125" s="567">
        <v>5.5398236295E-2</v>
      </c>
      <c r="K125" s="570">
        <v>0.166851945054</v>
      </c>
    </row>
    <row r="126" spans="1:11" ht="14.4" customHeight="1" thickBot="1" x14ac:dyDescent="0.35">
      <c r="A126" s="585" t="s">
        <v>423</v>
      </c>
      <c r="B126" s="566">
        <v>0</v>
      </c>
      <c r="C126" s="566">
        <v>64.456850000000003</v>
      </c>
      <c r="D126" s="567">
        <v>64.456850000000003</v>
      </c>
      <c r="E126" s="576" t="s">
        <v>306</v>
      </c>
      <c r="F126" s="566">
        <v>0</v>
      </c>
      <c r="G126" s="567">
        <v>0</v>
      </c>
      <c r="H126" s="569">
        <v>0</v>
      </c>
      <c r="I126" s="566">
        <v>0</v>
      </c>
      <c r="J126" s="567">
        <v>0</v>
      </c>
      <c r="K126" s="577" t="s">
        <v>306</v>
      </c>
    </row>
    <row r="127" spans="1:11" ht="14.4" customHeight="1" thickBot="1" x14ac:dyDescent="0.35">
      <c r="A127" s="586" t="s">
        <v>424</v>
      </c>
      <c r="B127" s="566">
        <v>0</v>
      </c>
      <c r="C127" s="566">
        <v>64.456850000000003</v>
      </c>
      <c r="D127" s="567">
        <v>64.456850000000003</v>
      </c>
      <c r="E127" s="576" t="s">
        <v>306</v>
      </c>
      <c r="F127" s="566">
        <v>0</v>
      </c>
      <c r="G127" s="567">
        <v>0</v>
      </c>
      <c r="H127" s="569">
        <v>0</v>
      </c>
      <c r="I127" s="566">
        <v>0</v>
      </c>
      <c r="J127" s="567">
        <v>0</v>
      </c>
      <c r="K127" s="577" t="s">
        <v>306</v>
      </c>
    </row>
    <row r="128" spans="1:11" ht="14.4" customHeight="1" thickBot="1" x14ac:dyDescent="0.35">
      <c r="A128" s="587" t="s">
        <v>425</v>
      </c>
      <c r="B128" s="571">
        <v>0</v>
      </c>
      <c r="C128" s="571">
        <v>47.798999999999999</v>
      </c>
      <c r="D128" s="572">
        <v>47.798999999999999</v>
      </c>
      <c r="E128" s="573" t="s">
        <v>306</v>
      </c>
      <c r="F128" s="571">
        <v>0</v>
      </c>
      <c r="G128" s="572">
        <v>0</v>
      </c>
      <c r="H128" s="574">
        <v>0</v>
      </c>
      <c r="I128" s="571">
        <v>0</v>
      </c>
      <c r="J128" s="572">
        <v>0</v>
      </c>
      <c r="K128" s="575" t="s">
        <v>306</v>
      </c>
    </row>
    <row r="129" spans="1:11" ht="14.4" customHeight="1" thickBot="1" x14ac:dyDescent="0.35">
      <c r="A129" s="588" t="s">
        <v>426</v>
      </c>
      <c r="B129" s="566">
        <v>0</v>
      </c>
      <c r="C129" s="566">
        <v>1.71435</v>
      </c>
      <c r="D129" s="567">
        <v>1.71435</v>
      </c>
      <c r="E129" s="576" t="s">
        <v>306</v>
      </c>
      <c r="F129" s="566">
        <v>0</v>
      </c>
      <c r="G129" s="567">
        <v>0</v>
      </c>
      <c r="H129" s="569">
        <v>0</v>
      </c>
      <c r="I129" s="566">
        <v>0</v>
      </c>
      <c r="J129" s="567">
        <v>0</v>
      </c>
      <c r="K129" s="577" t="s">
        <v>306</v>
      </c>
    </row>
    <row r="130" spans="1:11" ht="14.4" customHeight="1" thickBot="1" x14ac:dyDescent="0.35">
      <c r="A130" s="588" t="s">
        <v>427</v>
      </c>
      <c r="B130" s="566">
        <v>0</v>
      </c>
      <c r="C130" s="566">
        <v>8.4</v>
      </c>
      <c r="D130" s="567">
        <v>8.4</v>
      </c>
      <c r="E130" s="576" t="s">
        <v>306</v>
      </c>
      <c r="F130" s="566">
        <v>0</v>
      </c>
      <c r="G130" s="567">
        <v>0</v>
      </c>
      <c r="H130" s="569">
        <v>0</v>
      </c>
      <c r="I130" s="566">
        <v>0</v>
      </c>
      <c r="J130" s="567">
        <v>0</v>
      </c>
      <c r="K130" s="577" t="s">
        <v>306</v>
      </c>
    </row>
    <row r="131" spans="1:11" ht="14.4" customHeight="1" thickBot="1" x14ac:dyDescent="0.35">
      <c r="A131" s="588" t="s">
        <v>428</v>
      </c>
      <c r="B131" s="566">
        <v>0</v>
      </c>
      <c r="C131" s="566">
        <v>37.684649999999998</v>
      </c>
      <c r="D131" s="567">
        <v>37.684649999999998</v>
      </c>
      <c r="E131" s="576" t="s">
        <v>306</v>
      </c>
      <c r="F131" s="566">
        <v>0</v>
      </c>
      <c r="G131" s="567">
        <v>0</v>
      </c>
      <c r="H131" s="569">
        <v>0</v>
      </c>
      <c r="I131" s="566">
        <v>0</v>
      </c>
      <c r="J131" s="567">
        <v>0</v>
      </c>
      <c r="K131" s="577" t="s">
        <v>306</v>
      </c>
    </row>
    <row r="132" spans="1:11" ht="14.4" customHeight="1" thickBot="1" x14ac:dyDescent="0.35">
      <c r="A132" s="587" t="s">
        <v>429</v>
      </c>
      <c r="B132" s="571">
        <v>0</v>
      </c>
      <c r="C132" s="571">
        <v>10.65785</v>
      </c>
      <c r="D132" s="572">
        <v>10.65785</v>
      </c>
      <c r="E132" s="573" t="s">
        <v>325</v>
      </c>
      <c r="F132" s="571">
        <v>0</v>
      </c>
      <c r="G132" s="572">
        <v>0</v>
      </c>
      <c r="H132" s="574">
        <v>0</v>
      </c>
      <c r="I132" s="571">
        <v>0</v>
      </c>
      <c r="J132" s="572">
        <v>0</v>
      </c>
      <c r="K132" s="575" t="s">
        <v>306</v>
      </c>
    </row>
    <row r="133" spans="1:11" ht="14.4" customHeight="1" thickBot="1" x14ac:dyDescent="0.35">
      <c r="A133" s="588" t="s">
        <v>430</v>
      </c>
      <c r="B133" s="566">
        <v>0</v>
      </c>
      <c r="C133" s="566">
        <v>10.65785</v>
      </c>
      <c r="D133" s="567">
        <v>10.65785</v>
      </c>
      <c r="E133" s="576" t="s">
        <v>325</v>
      </c>
      <c r="F133" s="566">
        <v>0</v>
      </c>
      <c r="G133" s="567">
        <v>0</v>
      </c>
      <c r="H133" s="569">
        <v>0</v>
      </c>
      <c r="I133" s="566">
        <v>0</v>
      </c>
      <c r="J133" s="567">
        <v>0</v>
      </c>
      <c r="K133" s="577" t="s">
        <v>306</v>
      </c>
    </row>
    <row r="134" spans="1:11" ht="14.4" customHeight="1" thickBot="1" x14ac:dyDescent="0.35">
      <c r="A134" s="590" t="s">
        <v>431</v>
      </c>
      <c r="B134" s="566">
        <v>0</v>
      </c>
      <c r="C134" s="566">
        <v>6</v>
      </c>
      <c r="D134" s="567">
        <v>6</v>
      </c>
      <c r="E134" s="576" t="s">
        <v>306</v>
      </c>
      <c r="F134" s="566">
        <v>0</v>
      </c>
      <c r="G134" s="567">
        <v>0</v>
      </c>
      <c r="H134" s="569">
        <v>0</v>
      </c>
      <c r="I134" s="566">
        <v>0</v>
      </c>
      <c r="J134" s="567">
        <v>0</v>
      </c>
      <c r="K134" s="577" t="s">
        <v>306</v>
      </c>
    </row>
    <row r="135" spans="1:11" ht="14.4" customHeight="1" thickBot="1" x14ac:dyDescent="0.35">
      <c r="A135" s="588" t="s">
        <v>432</v>
      </c>
      <c r="B135" s="566">
        <v>0</v>
      </c>
      <c r="C135" s="566">
        <v>6</v>
      </c>
      <c r="D135" s="567">
        <v>6</v>
      </c>
      <c r="E135" s="576" t="s">
        <v>306</v>
      </c>
      <c r="F135" s="566">
        <v>0</v>
      </c>
      <c r="G135" s="567">
        <v>0</v>
      </c>
      <c r="H135" s="569">
        <v>0</v>
      </c>
      <c r="I135" s="566">
        <v>0</v>
      </c>
      <c r="J135" s="567">
        <v>0</v>
      </c>
      <c r="K135" s="577" t="s">
        <v>306</v>
      </c>
    </row>
    <row r="136" spans="1:11" ht="14.4" customHeight="1" thickBot="1" x14ac:dyDescent="0.35">
      <c r="A136" s="585" t="s">
        <v>433</v>
      </c>
      <c r="B136" s="566">
        <v>2864.9962620438</v>
      </c>
      <c r="C136" s="566">
        <v>3095.2516900000001</v>
      </c>
      <c r="D136" s="567">
        <v>230.25542795620299</v>
      </c>
      <c r="E136" s="568">
        <v>1.080368491577</v>
      </c>
      <c r="F136" s="566">
        <v>2610.0003911916201</v>
      </c>
      <c r="G136" s="567">
        <v>435.00006519860301</v>
      </c>
      <c r="H136" s="569">
        <v>214.373400000001</v>
      </c>
      <c r="I136" s="566">
        <v>446.85939999999999</v>
      </c>
      <c r="J136" s="567">
        <v>11.859334801397001</v>
      </c>
      <c r="K136" s="570">
        <v>0.17121047242199999</v>
      </c>
    </row>
    <row r="137" spans="1:11" ht="14.4" customHeight="1" thickBot="1" x14ac:dyDescent="0.35">
      <c r="A137" s="586" t="s">
        <v>434</v>
      </c>
      <c r="B137" s="566">
        <v>2721.9962620438</v>
      </c>
      <c r="C137" s="566">
        <v>2740.549</v>
      </c>
      <c r="D137" s="567">
        <v>18.552737956202002</v>
      </c>
      <c r="E137" s="568">
        <v>1.006815857249</v>
      </c>
      <c r="F137" s="566">
        <v>2610.0003911916201</v>
      </c>
      <c r="G137" s="567">
        <v>435.00006519860301</v>
      </c>
      <c r="H137" s="569">
        <v>211.23200000000099</v>
      </c>
      <c r="I137" s="566">
        <v>422.46499999999997</v>
      </c>
      <c r="J137" s="567">
        <v>-12.535065198602</v>
      </c>
      <c r="K137" s="570">
        <v>0.161863960413</v>
      </c>
    </row>
    <row r="138" spans="1:11" ht="14.4" customHeight="1" thickBot="1" x14ac:dyDescent="0.35">
      <c r="A138" s="587" t="s">
        <v>435</v>
      </c>
      <c r="B138" s="571">
        <v>2721.9962620438</v>
      </c>
      <c r="C138" s="571">
        <v>2728.049</v>
      </c>
      <c r="D138" s="572">
        <v>6.0527379562019998</v>
      </c>
      <c r="E138" s="578">
        <v>1.002223639334</v>
      </c>
      <c r="F138" s="571">
        <v>2610.0003911916201</v>
      </c>
      <c r="G138" s="572">
        <v>435.00006519860301</v>
      </c>
      <c r="H138" s="574">
        <v>211.23200000000099</v>
      </c>
      <c r="I138" s="571">
        <v>422.46499999999997</v>
      </c>
      <c r="J138" s="572">
        <v>-12.535065198602</v>
      </c>
      <c r="K138" s="579">
        <v>0.161863960413</v>
      </c>
    </row>
    <row r="139" spans="1:11" ht="14.4" customHeight="1" thickBot="1" x14ac:dyDescent="0.35">
      <c r="A139" s="588" t="s">
        <v>436</v>
      </c>
      <c r="B139" s="566">
        <v>105.995788643487</v>
      </c>
      <c r="C139" s="566">
        <v>108.355</v>
      </c>
      <c r="D139" s="567">
        <v>2.3592113565130002</v>
      </c>
      <c r="E139" s="568">
        <v>1.0222575951990001</v>
      </c>
      <c r="F139" s="566">
        <v>112.99999644077199</v>
      </c>
      <c r="G139" s="567">
        <v>18.833332740128</v>
      </c>
      <c r="H139" s="569">
        <v>9.3840000000000003</v>
      </c>
      <c r="I139" s="566">
        <v>18.768000000000001</v>
      </c>
      <c r="J139" s="567">
        <v>-6.5332740128E-2</v>
      </c>
      <c r="K139" s="570">
        <v>0.16608850080599999</v>
      </c>
    </row>
    <row r="140" spans="1:11" ht="14.4" customHeight="1" thickBot="1" x14ac:dyDescent="0.35">
      <c r="A140" s="588" t="s">
        <v>437</v>
      </c>
      <c r="B140" s="566">
        <v>2013.99999999996</v>
      </c>
      <c r="C140" s="566">
        <v>2017.203</v>
      </c>
      <c r="D140" s="567">
        <v>3.203000000037</v>
      </c>
      <c r="E140" s="568">
        <v>1.001590367428</v>
      </c>
      <c r="F140" s="566">
        <v>2019.99993637486</v>
      </c>
      <c r="G140" s="567">
        <v>336.66665606247602</v>
      </c>
      <c r="H140" s="569">
        <v>163.38300000000001</v>
      </c>
      <c r="I140" s="566">
        <v>326.767</v>
      </c>
      <c r="J140" s="567">
        <v>-9.8996560624749996</v>
      </c>
      <c r="K140" s="570">
        <v>0.16176584667900001</v>
      </c>
    </row>
    <row r="141" spans="1:11" ht="14.4" customHeight="1" thickBot="1" x14ac:dyDescent="0.35">
      <c r="A141" s="588" t="s">
        <v>438</v>
      </c>
      <c r="B141" s="566">
        <v>61.000510353907998</v>
      </c>
      <c r="C141" s="566">
        <v>61.295999999999999</v>
      </c>
      <c r="D141" s="567">
        <v>0.29548964609099998</v>
      </c>
      <c r="E141" s="568">
        <v>1.004844052031</v>
      </c>
      <c r="F141" s="566">
        <v>61.000508432537998</v>
      </c>
      <c r="G141" s="567">
        <v>10.166751405423</v>
      </c>
      <c r="H141" s="569">
        <v>5.1079999999999997</v>
      </c>
      <c r="I141" s="566">
        <v>10.215999999999999</v>
      </c>
      <c r="J141" s="567">
        <v>4.9248594575999997E-2</v>
      </c>
      <c r="K141" s="570">
        <v>0.16747401394600001</v>
      </c>
    </row>
    <row r="142" spans="1:11" ht="14.4" customHeight="1" thickBot="1" x14ac:dyDescent="0.35">
      <c r="A142" s="588" t="s">
        <v>439</v>
      </c>
      <c r="B142" s="566">
        <v>2.99996304645</v>
      </c>
      <c r="C142" s="566">
        <v>3.22</v>
      </c>
      <c r="D142" s="567">
        <v>0.22003695354899999</v>
      </c>
      <c r="E142" s="568">
        <v>1.0733465546550001</v>
      </c>
      <c r="F142" s="566">
        <v>2.999962951958</v>
      </c>
      <c r="G142" s="567">
        <v>0.49999382532600001</v>
      </c>
      <c r="H142" s="569">
        <v>0.27500000000000002</v>
      </c>
      <c r="I142" s="566">
        <v>0.55000000000000004</v>
      </c>
      <c r="J142" s="567">
        <v>5.0006174673000003E-2</v>
      </c>
      <c r="K142" s="570">
        <v>0.18333559740800001</v>
      </c>
    </row>
    <row r="143" spans="1:11" ht="14.4" customHeight="1" thickBot="1" x14ac:dyDescent="0.35">
      <c r="A143" s="588" t="s">
        <v>440</v>
      </c>
      <c r="B143" s="566">
        <v>537.99999999999</v>
      </c>
      <c r="C143" s="566">
        <v>537.97500000000002</v>
      </c>
      <c r="D143" s="567">
        <v>-2.4999999990000001E-2</v>
      </c>
      <c r="E143" s="568">
        <v>0.99995353159800004</v>
      </c>
      <c r="F143" s="566">
        <v>412.99998699149302</v>
      </c>
      <c r="G143" s="567">
        <v>68.833331165247998</v>
      </c>
      <c r="H143" s="569">
        <v>33.082000000000001</v>
      </c>
      <c r="I143" s="566">
        <v>66.164000000000001</v>
      </c>
      <c r="J143" s="567">
        <v>-2.6693311652479998</v>
      </c>
      <c r="K143" s="570">
        <v>0.16020339487599999</v>
      </c>
    </row>
    <row r="144" spans="1:11" ht="14.4" customHeight="1" thickBot="1" x14ac:dyDescent="0.35">
      <c r="A144" s="587" t="s">
        <v>441</v>
      </c>
      <c r="B144" s="571">
        <v>0</v>
      </c>
      <c r="C144" s="571">
        <v>12.5</v>
      </c>
      <c r="D144" s="572">
        <v>12.5</v>
      </c>
      <c r="E144" s="573" t="s">
        <v>325</v>
      </c>
      <c r="F144" s="571">
        <v>0</v>
      </c>
      <c r="G144" s="572">
        <v>0</v>
      </c>
      <c r="H144" s="574">
        <v>0</v>
      </c>
      <c r="I144" s="571">
        <v>0</v>
      </c>
      <c r="J144" s="572">
        <v>0</v>
      </c>
      <c r="K144" s="575" t="s">
        <v>306</v>
      </c>
    </row>
    <row r="145" spans="1:11" ht="14.4" customHeight="1" thickBot="1" x14ac:dyDescent="0.35">
      <c r="A145" s="588" t="s">
        <v>442</v>
      </c>
      <c r="B145" s="566">
        <v>0</v>
      </c>
      <c r="C145" s="566">
        <v>8</v>
      </c>
      <c r="D145" s="567">
        <v>8</v>
      </c>
      <c r="E145" s="576" t="s">
        <v>325</v>
      </c>
      <c r="F145" s="566">
        <v>0</v>
      </c>
      <c r="G145" s="567">
        <v>0</v>
      </c>
      <c r="H145" s="569">
        <v>0</v>
      </c>
      <c r="I145" s="566">
        <v>0</v>
      </c>
      <c r="J145" s="567">
        <v>0</v>
      </c>
      <c r="K145" s="577" t="s">
        <v>306</v>
      </c>
    </row>
    <row r="146" spans="1:11" ht="14.4" customHeight="1" thickBot="1" x14ac:dyDescent="0.35">
      <c r="A146" s="588" t="s">
        <v>443</v>
      </c>
      <c r="B146" s="566">
        <v>0</v>
      </c>
      <c r="C146" s="566">
        <v>4.5</v>
      </c>
      <c r="D146" s="567">
        <v>4.5</v>
      </c>
      <c r="E146" s="576" t="s">
        <v>325</v>
      </c>
      <c r="F146" s="566">
        <v>0</v>
      </c>
      <c r="G146" s="567">
        <v>0</v>
      </c>
      <c r="H146" s="569">
        <v>0</v>
      </c>
      <c r="I146" s="566">
        <v>0</v>
      </c>
      <c r="J146" s="567">
        <v>0</v>
      </c>
      <c r="K146" s="577" t="s">
        <v>306</v>
      </c>
    </row>
    <row r="147" spans="1:11" ht="14.4" customHeight="1" thickBot="1" x14ac:dyDescent="0.35">
      <c r="A147" s="586" t="s">
        <v>444</v>
      </c>
      <c r="B147" s="566">
        <v>143</v>
      </c>
      <c r="C147" s="566">
        <v>354.70269000000002</v>
      </c>
      <c r="D147" s="567">
        <v>211.70268999999999</v>
      </c>
      <c r="E147" s="568">
        <v>2.4804383916080002</v>
      </c>
      <c r="F147" s="566">
        <v>0</v>
      </c>
      <c r="G147" s="567">
        <v>0</v>
      </c>
      <c r="H147" s="569">
        <v>3.1414</v>
      </c>
      <c r="I147" s="566">
        <v>24.394400000000001</v>
      </c>
      <c r="J147" s="567">
        <v>24.394400000000001</v>
      </c>
      <c r="K147" s="577" t="s">
        <v>306</v>
      </c>
    </row>
    <row r="148" spans="1:11" ht="14.4" customHeight="1" thickBot="1" x14ac:dyDescent="0.35">
      <c r="A148" s="587" t="s">
        <v>445</v>
      </c>
      <c r="B148" s="571">
        <v>143</v>
      </c>
      <c r="C148" s="571">
        <v>264.28627</v>
      </c>
      <c r="D148" s="572">
        <v>121.28627</v>
      </c>
      <c r="E148" s="578">
        <v>1.8481557342649999</v>
      </c>
      <c r="F148" s="571">
        <v>0</v>
      </c>
      <c r="G148" s="572">
        <v>0</v>
      </c>
      <c r="H148" s="574">
        <v>3.1414</v>
      </c>
      <c r="I148" s="571">
        <v>20.2804</v>
      </c>
      <c r="J148" s="572">
        <v>20.2804</v>
      </c>
      <c r="K148" s="575" t="s">
        <v>306</v>
      </c>
    </row>
    <row r="149" spans="1:11" ht="14.4" customHeight="1" thickBot="1" x14ac:dyDescent="0.35">
      <c r="A149" s="588" t="s">
        <v>446</v>
      </c>
      <c r="B149" s="566">
        <v>143</v>
      </c>
      <c r="C149" s="566">
        <v>220.87208999999999</v>
      </c>
      <c r="D149" s="567">
        <v>77.87209</v>
      </c>
      <c r="E149" s="568">
        <v>1.5445600699299999</v>
      </c>
      <c r="F149" s="566">
        <v>0</v>
      </c>
      <c r="G149" s="567">
        <v>0</v>
      </c>
      <c r="H149" s="569">
        <v>0</v>
      </c>
      <c r="I149" s="566">
        <v>0</v>
      </c>
      <c r="J149" s="567">
        <v>0</v>
      </c>
      <c r="K149" s="577" t="s">
        <v>306</v>
      </c>
    </row>
    <row r="150" spans="1:11" ht="14.4" customHeight="1" thickBot="1" x14ac:dyDescent="0.35">
      <c r="A150" s="588" t="s">
        <v>447</v>
      </c>
      <c r="B150" s="566">
        <v>0</v>
      </c>
      <c r="C150" s="566">
        <v>0</v>
      </c>
      <c r="D150" s="567">
        <v>0</v>
      </c>
      <c r="E150" s="568">
        <v>1</v>
      </c>
      <c r="F150" s="566">
        <v>0</v>
      </c>
      <c r="G150" s="567">
        <v>0</v>
      </c>
      <c r="H150" s="569">
        <v>3.1414</v>
      </c>
      <c r="I150" s="566">
        <v>3.1414</v>
      </c>
      <c r="J150" s="567">
        <v>3.1414</v>
      </c>
      <c r="K150" s="577" t="s">
        <v>325</v>
      </c>
    </row>
    <row r="151" spans="1:11" ht="14.4" customHeight="1" thickBot="1" x14ac:dyDescent="0.35">
      <c r="A151" s="588" t="s">
        <v>448</v>
      </c>
      <c r="B151" s="566">
        <v>0</v>
      </c>
      <c r="C151" s="566">
        <v>9.5</v>
      </c>
      <c r="D151" s="567">
        <v>9.5</v>
      </c>
      <c r="E151" s="576" t="s">
        <v>306</v>
      </c>
      <c r="F151" s="566">
        <v>0</v>
      </c>
      <c r="G151" s="567">
        <v>0</v>
      </c>
      <c r="H151" s="569">
        <v>0</v>
      </c>
      <c r="I151" s="566">
        <v>17.138999999999999</v>
      </c>
      <c r="J151" s="567">
        <v>17.138999999999999</v>
      </c>
      <c r="K151" s="577" t="s">
        <v>306</v>
      </c>
    </row>
    <row r="152" spans="1:11" ht="14.4" customHeight="1" thickBot="1" x14ac:dyDescent="0.35">
      <c r="A152" s="588" t="s">
        <v>449</v>
      </c>
      <c r="B152" s="566">
        <v>0</v>
      </c>
      <c r="C152" s="566">
        <v>33.914180000000002</v>
      </c>
      <c r="D152" s="567">
        <v>33.914180000000002</v>
      </c>
      <c r="E152" s="576" t="s">
        <v>325</v>
      </c>
      <c r="F152" s="566">
        <v>0</v>
      </c>
      <c r="G152" s="567">
        <v>0</v>
      </c>
      <c r="H152" s="569">
        <v>0</v>
      </c>
      <c r="I152" s="566">
        <v>0</v>
      </c>
      <c r="J152" s="567">
        <v>0</v>
      </c>
      <c r="K152" s="577" t="s">
        <v>306</v>
      </c>
    </row>
    <row r="153" spans="1:11" ht="14.4" customHeight="1" thickBot="1" x14ac:dyDescent="0.35">
      <c r="A153" s="587" t="s">
        <v>450</v>
      </c>
      <c r="B153" s="571">
        <v>0</v>
      </c>
      <c r="C153" s="571">
        <v>4.1139999999999999</v>
      </c>
      <c r="D153" s="572">
        <v>4.1139999999999999</v>
      </c>
      <c r="E153" s="573" t="s">
        <v>325</v>
      </c>
      <c r="F153" s="571">
        <v>0</v>
      </c>
      <c r="G153" s="572">
        <v>0</v>
      </c>
      <c r="H153" s="574">
        <v>0</v>
      </c>
      <c r="I153" s="571">
        <v>4.1139999999999999</v>
      </c>
      <c r="J153" s="572">
        <v>4.1139999999999999</v>
      </c>
      <c r="K153" s="575" t="s">
        <v>306</v>
      </c>
    </row>
    <row r="154" spans="1:11" ht="14.4" customHeight="1" thickBot="1" x14ac:dyDescent="0.35">
      <c r="A154" s="588" t="s">
        <v>451</v>
      </c>
      <c r="B154" s="566">
        <v>0</v>
      </c>
      <c r="C154" s="566">
        <v>4.1139999999999999</v>
      </c>
      <c r="D154" s="567">
        <v>4.1139999999999999</v>
      </c>
      <c r="E154" s="576" t="s">
        <v>325</v>
      </c>
      <c r="F154" s="566">
        <v>0</v>
      </c>
      <c r="G154" s="567">
        <v>0</v>
      </c>
      <c r="H154" s="569">
        <v>0</v>
      </c>
      <c r="I154" s="566">
        <v>4.1139999999999999</v>
      </c>
      <c r="J154" s="567">
        <v>4.1139999999999999</v>
      </c>
      <c r="K154" s="577" t="s">
        <v>306</v>
      </c>
    </row>
    <row r="155" spans="1:11" ht="14.4" customHeight="1" thickBot="1" x14ac:dyDescent="0.35">
      <c r="A155" s="587" t="s">
        <v>452</v>
      </c>
      <c r="B155" s="571">
        <v>0</v>
      </c>
      <c r="C155" s="571">
        <v>4.3319999999999999</v>
      </c>
      <c r="D155" s="572">
        <v>4.3319999999999999</v>
      </c>
      <c r="E155" s="573" t="s">
        <v>306</v>
      </c>
      <c r="F155" s="571">
        <v>0</v>
      </c>
      <c r="G155" s="572">
        <v>0</v>
      </c>
      <c r="H155" s="574">
        <v>0</v>
      </c>
      <c r="I155" s="571">
        <v>0</v>
      </c>
      <c r="J155" s="572">
        <v>0</v>
      </c>
      <c r="K155" s="575" t="s">
        <v>306</v>
      </c>
    </row>
    <row r="156" spans="1:11" ht="14.4" customHeight="1" thickBot="1" x14ac:dyDescent="0.35">
      <c r="A156" s="588" t="s">
        <v>453</v>
      </c>
      <c r="B156" s="566">
        <v>0</v>
      </c>
      <c r="C156" s="566">
        <v>1.452</v>
      </c>
      <c r="D156" s="567">
        <v>1.452</v>
      </c>
      <c r="E156" s="576" t="s">
        <v>306</v>
      </c>
      <c r="F156" s="566">
        <v>0</v>
      </c>
      <c r="G156" s="567">
        <v>0</v>
      </c>
      <c r="H156" s="569">
        <v>0</v>
      </c>
      <c r="I156" s="566">
        <v>0</v>
      </c>
      <c r="J156" s="567">
        <v>0</v>
      </c>
      <c r="K156" s="577" t="s">
        <v>306</v>
      </c>
    </row>
    <row r="157" spans="1:11" ht="14.4" customHeight="1" thickBot="1" x14ac:dyDescent="0.35">
      <c r="A157" s="588" t="s">
        <v>454</v>
      </c>
      <c r="B157" s="566">
        <v>0</v>
      </c>
      <c r="C157" s="566">
        <v>2.88</v>
      </c>
      <c r="D157" s="567">
        <v>2.88</v>
      </c>
      <c r="E157" s="576" t="s">
        <v>325</v>
      </c>
      <c r="F157" s="566">
        <v>0</v>
      </c>
      <c r="G157" s="567">
        <v>0</v>
      </c>
      <c r="H157" s="569">
        <v>0</v>
      </c>
      <c r="I157" s="566">
        <v>0</v>
      </c>
      <c r="J157" s="567">
        <v>0</v>
      </c>
      <c r="K157" s="577" t="s">
        <v>306</v>
      </c>
    </row>
    <row r="158" spans="1:11" ht="14.4" customHeight="1" thickBot="1" x14ac:dyDescent="0.35">
      <c r="A158" s="587" t="s">
        <v>455</v>
      </c>
      <c r="B158" s="571">
        <v>0</v>
      </c>
      <c r="C158" s="571">
        <v>81.970420000000004</v>
      </c>
      <c r="D158" s="572">
        <v>81.970420000000004</v>
      </c>
      <c r="E158" s="573" t="s">
        <v>306</v>
      </c>
      <c r="F158" s="571">
        <v>0</v>
      </c>
      <c r="G158" s="572">
        <v>0</v>
      </c>
      <c r="H158" s="574">
        <v>0</v>
      </c>
      <c r="I158" s="571">
        <v>0</v>
      </c>
      <c r="J158" s="572">
        <v>0</v>
      </c>
      <c r="K158" s="575" t="s">
        <v>306</v>
      </c>
    </row>
    <row r="159" spans="1:11" ht="14.4" customHeight="1" thickBot="1" x14ac:dyDescent="0.35">
      <c r="A159" s="588" t="s">
        <v>456</v>
      </c>
      <c r="B159" s="566">
        <v>0</v>
      </c>
      <c r="C159" s="566">
        <v>28.803799999999999</v>
      </c>
      <c r="D159" s="567">
        <v>28.803799999999999</v>
      </c>
      <c r="E159" s="576" t="s">
        <v>306</v>
      </c>
      <c r="F159" s="566">
        <v>0</v>
      </c>
      <c r="G159" s="567">
        <v>0</v>
      </c>
      <c r="H159" s="569">
        <v>0</v>
      </c>
      <c r="I159" s="566">
        <v>0</v>
      </c>
      <c r="J159" s="567">
        <v>0</v>
      </c>
      <c r="K159" s="577" t="s">
        <v>306</v>
      </c>
    </row>
    <row r="160" spans="1:11" ht="14.4" customHeight="1" thickBot="1" x14ac:dyDescent="0.35">
      <c r="A160" s="588" t="s">
        <v>457</v>
      </c>
      <c r="B160" s="566">
        <v>0</v>
      </c>
      <c r="C160" s="566">
        <v>9.58</v>
      </c>
      <c r="D160" s="567">
        <v>9.58</v>
      </c>
      <c r="E160" s="576" t="s">
        <v>306</v>
      </c>
      <c r="F160" s="566">
        <v>0</v>
      </c>
      <c r="G160" s="567">
        <v>0</v>
      </c>
      <c r="H160" s="569">
        <v>0</v>
      </c>
      <c r="I160" s="566">
        <v>0</v>
      </c>
      <c r="J160" s="567">
        <v>0</v>
      </c>
      <c r="K160" s="577" t="s">
        <v>306</v>
      </c>
    </row>
    <row r="161" spans="1:11" ht="14.4" customHeight="1" thickBot="1" x14ac:dyDescent="0.35">
      <c r="A161" s="588" t="s">
        <v>458</v>
      </c>
      <c r="B161" s="566">
        <v>0</v>
      </c>
      <c r="C161" s="566">
        <v>43.586620000000003</v>
      </c>
      <c r="D161" s="567">
        <v>43.586620000000003</v>
      </c>
      <c r="E161" s="576" t="s">
        <v>325</v>
      </c>
      <c r="F161" s="566">
        <v>0</v>
      </c>
      <c r="G161" s="567">
        <v>0</v>
      </c>
      <c r="H161" s="569">
        <v>0</v>
      </c>
      <c r="I161" s="566">
        <v>0</v>
      </c>
      <c r="J161" s="567">
        <v>0</v>
      </c>
      <c r="K161" s="577" t="s">
        <v>306</v>
      </c>
    </row>
    <row r="162" spans="1:11" ht="14.4" customHeight="1" thickBot="1" x14ac:dyDescent="0.35">
      <c r="A162" s="585" t="s">
        <v>459</v>
      </c>
      <c r="B162" s="566">
        <v>0</v>
      </c>
      <c r="C162" s="566">
        <v>2.6429999999999999E-2</v>
      </c>
      <c r="D162" s="567">
        <v>2.6429999999999999E-2</v>
      </c>
      <c r="E162" s="576" t="s">
        <v>325</v>
      </c>
      <c r="F162" s="566">
        <v>0</v>
      </c>
      <c r="G162" s="567">
        <v>0</v>
      </c>
      <c r="H162" s="569">
        <v>0</v>
      </c>
      <c r="I162" s="566">
        <v>0</v>
      </c>
      <c r="J162" s="567">
        <v>0</v>
      </c>
      <c r="K162" s="577" t="s">
        <v>306</v>
      </c>
    </row>
    <row r="163" spans="1:11" ht="14.4" customHeight="1" thickBot="1" x14ac:dyDescent="0.35">
      <c r="A163" s="586" t="s">
        <v>460</v>
      </c>
      <c r="B163" s="566">
        <v>0</v>
      </c>
      <c r="C163" s="566">
        <v>2.6429999999999999E-2</v>
      </c>
      <c r="D163" s="567">
        <v>2.6429999999999999E-2</v>
      </c>
      <c r="E163" s="576" t="s">
        <v>325</v>
      </c>
      <c r="F163" s="566">
        <v>0</v>
      </c>
      <c r="G163" s="567">
        <v>0</v>
      </c>
      <c r="H163" s="569">
        <v>0</v>
      </c>
      <c r="I163" s="566">
        <v>0</v>
      </c>
      <c r="J163" s="567">
        <v>0</v>
      </c>
      <c r="K163" s="577" t="s">
        <v>306</v>
      </c>
    </row>
    <row r="164" spans="1:11" ht="14.4" customHeight="1" thickBot="1" x14ac:dyDescent="0.35">
      <c r="A164" s="587" t="s">
        <v>461</v>
      </c>
      <c r="B164" s="571">
        <v>0</v>
      </c>
      <c r="C164" s="571">
        <v>2.6429999999999999E-2</v>
      </c>
      <c r="D164" s="572">
        <v>2.6429999999999999E-2</v>
      </c>
      <c r="E164" s="573" t="s">
        <v>325</v>
      </c>
      <c r="F164" s="571">
        <v>0</v>
      </c>
      <c r="G164" s="572">
        <v>0</v>
      </c>
      <c r="H164" s="574">
        <v>0</v>
      </c>
      <c r="I164" s="571">
        <v>0</v>
      </c>
      <c r="J164" s="572">
        <v>0</v>
      </c>
      <c r="K164" s="575" t="s">
        <v>306</v>
      </c>
    </row>
    <row r="165" spans="1:11" ht="14.4" customHeight="1" thickBot="1" x14ac:dyDescent="0.35">
      <c r="A165" s="588" t="s">
        <v>462</v>
      </c>
      <c r="B165" s="566">
        <v>0</v>
      </c>
      <c r="C165" s="566">
        <v>2.6429999999999999E-2</v>
      </c>
      <c r="D165" s="567">
        <v>2.6429999999999999E-2</v>
      </c>
      <c r="E165" s="576" t="s">
        <v>325</v>
      </c>
      <c r="F165" s="566">
        <v>0</v>
      </c>
      <c r="G165" s="567">
        <v>0</v>
      </c>
      <c r="H165" s="569">
        <v>0</v>
      </c>
      <c r="I165" s="566">
        <v>0</v>
      </c>
      <c r="J165" s="567">
        <v>0</v>
      </c>
      <c r="K165" s="577" t="s">
        <v>306</v>
      </c>
    </row>
    <row r="166" spans="1:11" ht="14.4" customHeight="1" thickBot="1" x14ac:dyDescent="0.35">
      <c r="A166" s="584" t="s">
        <v>463</v>
      </c>
      <c r="B166" s="566">
        <v>74347.813103783701</v>
      </c>
      <c r="C166" s="566">
        <v>72338.261620000005</v>
      </c>
      <c r="D166" s="567">
        <v>-2009.55148378374</v>
      </c>
      <c r="E166" s="568">
        <v>0.97297094023399999</v>
      </c>
      <c r="F166" s="566">
        <v>68585.008519716503</v>
      </c>
      <c r="G166" s="567">
        <v>11430.834753286101</v>
      </c>
      <c r="H166" s="569">
        <v>5755.8688300000003</v>
      </c>
      <c r="I166" s="566">
        <v>13173.40064</v>
      </c>
      <c r="J166" s="567">
        <v>1742.56588671391</v>
      </c>
      <c r="K166" s="570">
        <v>0.19207405414500001</v>
      </c>
    </row>
    <row r="167" spans="1:11" ht="14.4" customHeight="1" thickBot="1" x14ac:dyDescent="0.35">
      <c r="A167" s="585" t="s">
        <v>464</v>
      </c>
      <c r="B167" s="566">
        <v>74255.478623281306</v>
      </c>
      <c r="C167" s="566">
        <v>71969.761180000001</v>
      </c>
      <c r="D167" s="567">
        <v>-2285.7174432812899</v>
      </c>
      <c r="E167" s="568">
        <v>0.96921819796099995</v>
      </c>
      <c r="F167" s="566">
        <v>68492.585828731797</v>
      </c>
      <c r="G167" s="567">
        <v>11415.4309714553</v>
      </c>
      <c r="H167" s="569">
        <v>5749.6736000000001</v>
      </c>
      <c r="I167" s="566">
        <v>13137.93895</v>
      </c>
      <c r="J167" s="567">
        <v>1722.5079785446901</v>
      </c>
      <c r="K167" s="570">
        <v>0.19181549055300001</v>
      </c>
    </row>
    <row r="168" spans="1:11" ht="14.4" customHeight="1" thickBot="1" x14ac:dyDescent="0.35">
      <c r="A168" s="586" t="s">
        <v>465</v>
      </c>
      <c r="B168" s="566">
        <v>74255.478623281306</v>
      </c>
      <c r="C168" s="566">
        <v>71830.365669999999</v>
      </c>
      <c r="D168" s="567">
        <v>-2425.1129532812902</v>
      </c>
      <c r="E168" s="568">
        <v>0.96734095586900004</v>
      </c>
      <c r="F168" s="566">
        <v>68316.585828731797</v>
      </c>
      <c r="G168" s="567">
        <v>11386.097638122001</v>
      </c>
      <c r="H168" s="569">
        <v>5742.1996399999998</v>
      </c>
      <c r="I168" s="566">
        <v>13118.378059999999</v>
      </c>
      <c r="J168" s="567">
        <v>1732.28042187803</v>
      </c>
      <c r="K168" s="570">
        <v>0.19202332641200001</v>
      </c>
    </row>
    <row r="169" spans="1:11" ht="14.4" customHeight="1" thickBot="1" x14ac:dyDescent="0.35">
      <c r="A169" s="587" t="s">
        <v>466</v>
      </c>
      <c r="B169" s="571">
        <v>23.478623281265001</v>
      </c>
      <c r="C169" s="571">
        <v>-0.54813999999899998</v>
      </c>
      <c r="D169" s="572">
        <v>-24.026763281265001</v>
      </c>
      <c r="E169" s="578">
        <v>-2.3346343328000001E-2</v>
      </c>
      <c r="F169" s="571">
        <v>1.58582871395</v>
      </c>
      <c r="G169" s="572">
        <v>0.26430478565799997</v>
      </c>
      <c r="H169" s="574">
        <v>0</v>
      </c>
      <c r="I169" s="571">
        <v>0</v>
      </c>
      <c r="J169" s="572">
        <v>-0.26430478565799997</v>
      </c>
      <c r="K169" s="579">
        <v>0</v>
      </c>
    </row>
    <row r="170" spans="1:11" ht="14.4" customHeight="1" thickBot="1" x14ac:dyDescent="0.35">
      <c r="A170" s="588" t="s">
        <v>467</v>
      </c>
      <c r="B170" s="566">
        <v>16.719649588503</v>
      </c>
      <c r="C170" s="566">
        <v>-2.2264400000000002</v>
      </c>
      <c r="D170" s="567">
        <v>-18.946089588503</v>
      </c>
      <c r="E170" s="568">
        <v>-0.133163077863</v>
      </c>
      <c r="F170" s="566">
        <v>0</v>
      </c>
      <c r="G170" s="567">
        <v>0</v>
      </c>
      <c r="H170" s="569">
        <v>0</v>
      </c>
      <c r="I170" s="566">
        <v>0</v>
      </c>
      <c r="J170" s="567">
        <v>0</v>
      </c>
      <c r="K170" s="577" t="s">
        <v>306</v>
      </c>
    </row>
    <row r="171" spans="1:11" ht="14.4" customHeight="1" thickBot="1" x14ac:dyDescent="0.35">
      <c r="A171" s="588" t="s">
        <v>468</v>
      </c>
      <c r="B171" s="566">
        <v>6.7589736927609998</v>
      </c>
      <c r="C171" s="566">
        <v>1.6782999999999999</v>
      </c>
      <c r="D171" s="567">
        <v>-5.0806736927609997</v>
      </c>
      <c r="E171" s="568">
        <v>0.248306928875</v>
      </c>
      <c r="F171" s="566">
        <v>1.58582871395</v>
      </c>
      <c r="G171" s="567">
        <v>0.26430478565799997</v>
      </c>
      <c r="H171" s="569">
        <v>0</v>
      </c>
      <c r="I171" s="566">
        <v>0</v>
      </c>
      <c r="J171" s="567">
        <v>-0.26430478565799997</v>
      </c>
      <c r="K171" s="570">
        <v>0</v>
      </c>
    </row>
    <row r="172" spans="1:11" ht="14.4" customHeight="1" thickBot="1" x14ac:dyDescent="0.35">
      <c r="A172" s="587" t="s">
        <v>469</v>
      </c>
      <c r="B172" s="571">
        <v>0</v>
      </c>
      <c r="C172" s="571">
        <v>347.82670000000002</v>
      </c>
      <c r="D172" s="572">
        <v>347.82670000000002</v>
      </c>
      <c r="E172" s="573" t="s">
        <v>306</v>
      </c>
      <c r="F172" s="571">
        <v>463.00000000012102</v>
      </c>
      <c r="G172" s="572">
        <v>77.166666666685998</v>
      </c>
      <c r="H172" s="574">
        <v>6.6238999999999999</v>
      </c>
      <c r="I172" s="571">
        <v>6.6238999999999999</v>
      </c>
      <c r="J172" s="572">
        <v>-70.542766666686006</v>
      </c>
      <c r="K172" s="579">
        <v>1.4306479481000001E-2</v>
      </c>
    </row>
    <row r="173" spans="1:11" ht="14.4" customHeight="1" thickBot="1" x14ac:dyDescent="0.35">
      <c r="A173" s="588" t="s">
        <v>470</v>
      </c>
      <c r="B173" s="566">
        <v>0</v>
      </c>
      <c r="C173" s="566">
        <v>321.26740000000001</v>
      </c>
      <c r="D173" s="567">
        <v>321.26740000000001</v>
      </c>
      <c r="E173" s="576" t="s">
        <v>325</v>
      </c>
      <c r="F173" s="566">
        <v>463.00000000012102</v>
      </c>
      <c r="G173" s="567">
        <v>77.166666666685998</v>
      </c>
      <c r="H173" s="569">
        <v>0</v>
      </c>
      <c r="I173" s="566">
        <v>0</v>
      </c>
      <c r="J173" s="567">
        <v>-77.166666666685998</v>
      </c>
      <c r="K173" s="570">
        <v>0</v>
      </c>
    </row>
    <row r="174" spans="1:11" ht="14.4" customHeight="1" thickBot="1" x14ac:dyDescent="0.35">
      <c r="A174" s="588" t="s">
        <v>471</v>
      </c>
      <c r="B174" s="566">
        <v>0</v>
      </c>
      <c r="C174" s="566">
        <v>26.5593</v>
      </c>
      <c r="D174" s="567">
        <v>26.5593</v>
      </c>
      <c r="E174" s="576" t="s">
        <v>306</v>
      </c>
      <c r="F174" s="566">
        <v>0</v>
      </c>
      <c r="G174" s="567">
        <v>0</v>
      </c>
      <c r="H174" s="569">
        <v>6.6238999999999999</v>
      </c>
      <c r="I174" s="566">
        <v>6.6238999999999999</v>
      </c>
      <c r="J174" s="567">
        <v>6.6238999999999999</v>
      </c>
      <c r="K174" s="577" t="s">
        <v>306</v>
      </c>
    </row>
    <row r="175" spans="1:11" ht="14.4" customHeight="1" thickBot="1" x14ac:dyDescent="0.35">
      <c r="A175" s="587" t="s">
        <v>472</v>
      </c>
      <c r="B175" s="571">
        <v>0</v>
      </c>
      <c r="C175" s="571">
        <v>885.20786999999996</v>
      </c>
      <c r="D175" s="572">
        <v>885.20786999999996</v>
      </c>
      <c r="E175" s="573" t="s">
        <v>306</v>
      </c>
      <c r="F175" s="571">
        <v>786.00000000020498</v>
      </c>
      <c r="G175" s="572">
        <v>131.00000000003399</v>
      </c>
      <c r="H175" s="574">
        <v>0</v>
      </c>
      <c r="I175" s="571">
        <v>0</v>
      </c>
      <c r="J175" s="572">
        <v>-131.00000000003399</v>
      </c>
      <c r="K175" s="579">
        <v>0</v>
      </c>
    </row>
    <row r="176" spans="1:11" ht="14.4" customHeight="1" thickBot="1" x14ac:dyDescent="0.35">
      <c r="A176" s="588" t="s">
        <v>473</v>
      </c>
      <c r="B176" s="566">
        <v>0</v>
      </c>
      <c r="C176" s="566">
        <v>885.20786999999996</v>
      </c>
      <c r="D176" s="567">
        <v>885.20786999999996</v>
      </c>
      <c r="E176" s="576" t="s">
        <v>325</v>
      </c>
      <c r="F176" s="566">
        <v>786.00000000020498</v>
      </c>
      <c r="G176" s="567">
        <v>131.00000000003399</v>
      </c>
      <c r="H176" s="569">
        <v>0</v>
      </c>
      <c r="I176" s="566">
        <v>0</v>
      </c>
      <c r="J176" s="567">
        <v>-131.00000000003399</v>
      </c>
      <c r="K176" s="570">
        <v>0</v>
      </c>
    </row>
    <row r="177" spans="1:11" ht="14.4" customHeight="1" thickBot="1" x14ac:dyDescent="0.35">
      <c r="A177" s="587" t="s">
        <v>474</v>
      </c>
      <c r="B177" s="571">
        <v>74232</v>
      </c>
      <c r="C177" s="571">
        <v>64568.38465</v>
      </c>
      <c r="D177" s="572">
        <v>-9663.6153500000401</v>
      </c>
      <c r="E177" s="578">
        <v>0.86981873922200004</v>
      </c>
      <c r="F177" s="571">
        <v>67066.000000017506</v>
      </c>
      <c r="G177" s="572">
        <v>11177.6666666696</v>
      </c>
      <c r="H177" s="574">
        <v>5735.5757400000002</v>
      </c>
      <c r="I177" s="571">
        <v>13176.73683</v>
      </c>
      <c r="J177" s="572">
        <v>1999.07016333041</v>
      </c>
      <c r="K177" s="579">
        <v>0.196474172158</v>
      </c>
    </row>
    <row r="178" spans="1:11" ht="14.4" customHeight="1" thickBot="1" x14ac:dyDescent="0.35">
      <c r="A178" s="588" t="s">
        <v>475</v>
      </c>
      <c r="B178" s="566">
        <v>22415</v>
      </c>
      <c r="C178" s="566">
        <v>16427.629649999999</v>
      </c>
      <c r="D178" s="567">
        <v>-5987.3703500000202</v>
      </c>
      <c r="E178" s="568">
        <v>0.73288555208499995</v>
      </c>
      <c r="F178" s="566">
        <v>17667.000000004598</v>
      </c>
      <c r="G178" s="567">
        <v>2944.5000000007699</v>
      </c>
      <c r="H178" s="569">
        <v>1539.9724100000001</v>
      </c>
      <c r="I178" s="566">
        <v>2695.4480600000002</v>
      </c>
      <c r="J178" s="567">
        <v>-249.05194000077</v>
      </c>
      <c r="K178" s="570">
        <v>0.152569653025</v>
      </c>
    </row>
    <row r="179" spans="1:11" ht="14.4" customHeight="1" thickBot="1" x14ac:dyDescent="0.35">
      <c r="A179" s="588" t="s">
        <v>476</v>
      </c>
      <c r="B179" s="566">
        <v>51817</v>
      </c>
      <c r="C179" s="566">
        <v>48140.754999999997</v>
      </c>
      <c r="D179" s="567">
        <v>-3676.2450000000199</v>
      </c>
      <c r="E179" s="568">
        <v>0.92905330296999999</v>
      </c>
      <c r="F179" s="566">
        <v>49399.0000000129</v>
      </c>
      <c r="G179" s="567">
        <v>8233.1666666688197</v>
      </c>
      <c r="H179" s="569">
        <v>4195.6033299999999</v>
      </c>
      <c r="I179" s="566">
        <v>10481.288769999999</v>
      </c>
      <c r="J179" s="567">
        <v>2248.1221033311799</v>
      </c>
      <c r="K179" s="570">
        <v>0.21217613251199999</v>
      </c>
    </row>
    <row r="180" spans="1:11" ht="14.4" customHeight="1" thickBot="1" x14ac:dyDescent="0.35">
      <c r="A180" s="587" t="s">
        <v>477</v>
      </c>
      <c r="B180" s="571">
        <v>0</v>
      </c>
      <c r="C180" s="571">
        <v>6029.4945900000002</v>
      </c>
      <c r="D180" s="572">
        <v>6029.4945900000002</v>
      </c>
      <c r="E180" s="573" t="s">
        <v>306</v>
      </c>
      <c r="F180" s="571">
        <v>0</v>
      </c>
      <c r="G180" s="572">
        <v>0</v>
      </c>
      <c r="H180" s="574">
        <v>0</v>
      </c>
      <c r="I180" s="571">
        <v>-64.982669999999999</v>
      </c>
      <c r="J180" s="572">
        <v>-64.982669999999999</v>
      </c>
      <c r="K180" s="575" t="s">
        <v>306</v>
      </c>
    </row>
    <row r="181" spans="1:11" ht="14.4" customHeight="1" thickBot="1" x14ac:dyDescent="0.35">
      <c r="A181" s="588" t="s">
        <v>478</v>
      </c>
      <c r="B181" s="566">
        <v>0</v>
      </c>
      <c r="C181" s="566">
        <v>160.95596</v>
      </c>
      <c r="D181" s="567">
        <v>160.95596</v>
      </c>
      <c r="E181" s="576" t="s">
        <v>306</v>
      </c>
      <c r="F181" s="566">
        <v>0</v>
      </c>
      <c r="G181" s="567">
        <v>0</v>
      </c>
      <c r="H181" s="569">
        <v>0</v>
      </c>
      <c r="I181" s="566">
        <v>0</v>
      </c>
      <c r="J181" s="567">
        <v>0</v>
      </c>
      <c r="K181" s="577" t="s">
        <v>306</v>
      </c>
    </row>
    <row r="182" spans="1:11" ht="14.4" customHeight="1" thickBot="1" x14ac:dyDescent="0.35">
      <c r="A182" s="588" t="s">
        <v>479</v>
      </c>
      <c r="B182" s="566">
        <v>0</v>
      </c>
      <c r="C182" s="566">
        <v>5868.53863</v>
      </c>
      <c r="D182" s="567">
        <v>5868.53863</v>
      </c>
      <c r="E182" s="576" t="s">
        <v>306</v>
      </c>
      <c r="F182" s="566">
        <v>0</v>
      </c>
      <c r="G182" s="567">
        <v>0</v>
      </c>
      <c r="H182" s="569">
        <v>0</v>
      </c>
      <c r="I182" s="566">
        <v>-64.982669999999999</v>
      </c>
      <c r="J182" s="567">
        <v>-64.982669999999999</v>
      </c>
      <c r="K182" s="577" t="s">
        <v>306</v>
      </c>
    </row>
    <row r="183" spans="1:11" ht="14.4" customHeight="1" thickBot="1" x14ac:dyDescent="0.35">
      <c r="A183" s="586" t="s">
        <v>480</v>
      </c>
      <c r="B183" s="566">
        <v>0</v>
      </c>
      <c r="C183" s="566">
        <v>139.39551</v>
      </c>
      <c r="D183" s="567">
        <v>139.39551</v>
      </c>
      <c r="E183" s="576" t="s">
        <v>306</v>
      </c>
      <c r="F183" s="566">
        <v>176.00000000004599</v>
      </c>
      <c r="G183" s="567">
        <v>29.333333333340999</v>
      </c>
      <c r="H183" s="569">
        <v>7.4739599999999999</v>
      </c>
      <c r="I183" s="566">
        <v>19.560890000000001</v>
      </c>
      <c r="J183" s="567">
        <v>-9.7724433333410001</v>
      </c>
      <c r="K183" s="570">
        <v>0.111141420454</v>
      </c>
    </row>
    <row r="184" spans="1:11" ht="14.4" customHeight="1" thickBot="1" x14ac:dyDescent="0.35">
      <c r="A184" s="587" t="s">
        <v>481</v>
      </c>
      <c r="B184" s="571">
        <v>0</v>
      </c>
      <c r="C184" s="571">
        <v>139.39551</v>
      </c>
      <c r="D184" s="572">
        <v>139.39551</v>
      </c>
      <c r="E184" s="573" t="s">
        <v>306</v>
      </c>
      <c r="F184" s="571">
        <v>176.00000000004599</v>
      </c>
      <c r="G184" s="572">
        <v>29.333333333340999</v>
      </c>
      <c r="H184" s="574">
        <v>7.4739599999999999</v>
      </c>
      <c r="I184" s="571">
        <v>19.560890000000001</v>
      </c>
      <c r="J184" s="572">
        <v>-9.7724433333410001</v>
      </c>
      <c r="K184" s="579">
        <v>0.111141420454</v>
      </c>
    </row>
    <row r="185" spans="1:11" ht="14.4" customHeight="1" thickBot="1" x14ac:dyDescent="0.35">
      <c r="A185" s="588" t="s">
        <v>482</v>
      </c>
      <c r="B185" s="566">
        <v>0</v>
      </c>
      <c r="C185" s="566">
        <v>139.39551</v>
      </c>
      <c r="D185" s="567">
        <v>139.39551</v>
      </c>
      <c r="E185" s="576" t="s">
        <v>306</v>
      </c>
      <c r="F185" s="566">
        <v>176.00000000004599</v>
      </c>
      <c r="G185" s="567">
        <v>29.333333333340999</v>
      </c>
      <c r="H185" s="569">
        <v>7.4739599999999999</v>
      </c>
      <c r="I185" s="566">
        <v>19.560890000000001</v>
      </c>
      <c r="J185" s="567">
        <v>-9.7724433333410001</v>
      </c>
      <c r="K185" s="570">
        <v>0.111141420454</v>
      </c>
    </row>
    <row r="186" spans="1:11" ht="14.4" customHeight="1" thickBot="1" x14ac:dyDescent="0.35">
      <c r="A186" s="585" t="s">
        <v>483</v>
      </c>
      <c r="B186" s="566">
        <v>52.334480502433998</v>
      </c>
      <c r="C186" s="566">
        <v>303.53919000000002</v>
      </c>
      <c r="D186" s="567">
        <v>251.204709497566</v>
      </c>
      <c r="E186" s="568">
        <v>5.7999847726749998</v>
      </c>
      <c r="F186" s="566">
        <v>63</v>
      </c>
      <c r="G186" s="567">
        <v>10.5</v>
      </c>
      <c r="H186" s="569">
        <v>4.1322299999999998</v>
      </c>
      <c r="I186" s="566">
        <v>31.33569</v>
      </c>
      <c r="J186" s="567">
        <v>20.83569</v>
      </c>
      <c r="K186" s="570">
        <v>0.49739190476099998</v>
      </c>
    </row>
    <row r="187" spans="1:11" ht="14.4" customHeight="1" thickBot="1" x14ac:dyDescent="0.35">
      <c r="A187" s="586" t="s">
        <v>484</v>
      </c>
      <c r="B187" s="566">
        <v>0</v>
      </c>
      <c r="C187" s="566">
        <v>87.337800000000001</v>
      </c>
      <c r="D187" s="567">
        <v>87.337800000000001</v>
      </c>
      <c r="E187" s="576" t="s">
        <v>306</v>
      </c>
      <c r="F187" s="566">
        <v>0</v>
      </c>
      <c r="G187" s="567">
        <v>0</v>
      </c>
      <c r="H187" s="569">
        <v>0</v>
      </c>
      <c r="I187" s="566">
        <v>0</v>
      </c>
      <c r="J187" s="567">
        <v>0</v>
      </c>
      <c r="K187" s="577" t="s">
        <v>306</v>
      </c>
    </row>
    <row r="188" spans="1:11" ht="14.4" customHeight="1" thickBot="1" x14ac:dyDescent="0.35">
      <c r="A188" s="587" t="s">
        <v>485</v>
      </c>
      <c r="B188" s="571">
        <v>0</v>
      </c>
      <c r="C188" s="571">
        <v>87.337800000000001</v>
      </c>
      <c r="D188" s="572">
        <v>87.337800000000001</v>
      </c>
      <c r="E188" s="573" t="s">
        <v>325</v>
      </c>
      <c r="F188" s="571">
        <v>0</v>
      </c>
      <c r="G188" s="572">
        <v>0</v>
      </c>
      <c r="H188" s="574">
        <v>0</v>
      </c>
      <c r="I188" s="571">
        <v>0</v>
      </c>
      <c r="J188" s="572">
        <v>0</v>
      </c>
      <c r="K188" s="575" t="s">
        <v>306</v>
      </c>
    </row>
    <row r="189" spans="1:11" ht="14.4" customHeight="1" thickBot="1" x14ac:dyDescent="0.35">
      <c r="A189" s="588" t="s">
        <v>486</v>
      </c>
      <c r="B189" s="566">
        <v>0</v>
      </c>
      <c r="C189" s="566">
        <v>87.337800000000001</v>
      </c>
      <c r="D189" s="567">
        <v>87.337800000000001</v>
      </c>
      <c r="E189" s="576" t="s">
        <v>325</v>
      </c>
      <c r="F189" s="566">
        <v>0</v>
      </c>
      <c r="G189" s="567">
        <v>0</v>
      </c>
      <c r="H189" s="569">
        <v>0</v>
      </c>
      <c r="I189" s="566">
        <v>0</v>
      </c>
      <c r="J189" s="567">
        <v>0</v>
      </c>
      <c r="K189" s="577" t="s">
        <v>306</v>
      </c>
    </row>
    <row r="190" spans="1:11" ht="14.4" customHeight="1" thickBot="1" x14ac:dyDescent="0.35">
      <c r="A190" s="591" t="s">
        <v>487</v>
      </c>
      <c r="B190" s="571">
        <v>52.334480502433998</v>
      </c>
      <c r="C190" s="571">
        <v>216.20139</v>
      </c>
      <c r="D190" s="572">
        <v>163.86690949756601</v>
      </c>
      <c r="E190" s="578">
        <v>4.131146195096</v>
      </c>
      <c r="F190" s="571">
        <v>63</v>
      </c>
      <c r="G190" s="572">
        <v>10.5</v>
      </c>
      <c r="H190" s="574">
        <v>4.1322299999999998</v>
      </c>
      <c r="I190" s="571">
        <v>31.33569</v>
      </c>
      <c r="J190" s="572">
        <v>20.83569</v>
      </c>
      <c r="K190" s="579">
        <v>0.49739190476099998</v>
      </c>
    </row>
    <row r="191" spans="1:11" ht="14.4" customHeight="1" thickBot="1" x14ac:dyDescent="0.35">
      <c r="A191" s="587" t="s">
        <v>488</v>
      </c>
      <c r="B191" s="571">
        <v>0</v>
      </c>
      <c r="C191" s="571">
        <v>59.999119999999998</v>
      </c>
      <c r="D191" s="572">
        <v>59.999119999999998</v>
      </c>
      <c r="E191" s="573" t="s">
        <v>306</v>
      </c>
      <c r="F191" s="571">
        <v>0</v>
      </c>
      <c r="G191" s="572">
        <v>0</v>
      </c>
      <c r="H191" s="574">
        <v>0</v>
      </c>
      <c r="I191" s="571">
        <v>0</v>
      </c>
      <c r="J191" s="572">
        <v>0</v>
      </c>
      <c r="K191" s="575" t="s">
        <v>306</v>
      </c>
    </row>
    <row r="192" spans="1:11" ht="14.4" customHeight="1" thickBot="1" x14ac:dyDescent="0.35">
      <c r="A192" s="588" t="s">
        <v>489</v>
      </c>
      <c r="B192" s="566">
        <v>0</v>
      </c>
      <c r="C192" s="566">
        <v>-8.8000000000000003E-4</v>
      </c>
      <c r="D192" s="567">
        <v>-8.8000000000000003E-4</v>
      </c>
      <c r="E192" s="576" t="s">
        <v>306</v>
      </c>
      <c r="F192" s="566">
        <v>0</v>
      </c>
      <c r="G192" s="567">
        <v>0</v>
      </c>
      <c r="H192" s="569">
        <v>0</v>
      </c>
      <c r="I192" s="566">
        <v>0</v>
      </c>
      <c r="J192" s="567">
        <v>0</v>
      </c>
      <c r="K192" s="577" t="s">
        <v>306</v>
      </c>
    </row>
    <row r="193" spans="1:11" ht="14.4" customHeight="1" thickBot="1" x14ac:dyDescent="0.35">
      <c r="A193" s="588" t="s">
        <v>490</v>
      </c>
      <c r="B193" s="566">
        <v>0</v>
      </c>
      <c r="C193" s="566">
        <v>60</v>
      </c>
      <c r="D193" s="567">
        <v>60</v>
      </c>
      <c r="E193" s="576" t="s">
        <v>325</v>
      </c>
      <c r="F193" s="566">
        <v>0</v>
      </c>
      <c r="G193" s="567">
        <v>0</v>
      </c>
      <c r="H193" s="569">
        <v>0</v>
      </c>
      <c r="I193" s="566">
        <v>0</v>
      </c>
      <c r="J193" s="567">
        <v>0</v>
      </c>
      <c r="K193" s="577" t="s">
        <v>306</v>
      </c>
    </row>
    <row r="194" spans="1:11" ht="14.4" customHeight="1" thickBot="1" x14ac:dyDescent="0.35">
      <c r="A194" s="587" t="s">
        <v>491</v>
      </c>
      <c r="B194" s="571">
        <v>52.334480502433998</v>
      </c>
      <c r="C194" s="571">
        <v>72.975269999999995</v>
      </c>
      <c r="D194" s="572">
        <v>20.640789497564999</v>
      </c>
      <c r="E194" s="578">
        <v>1.3944013449520001</v>
      </c>
      <c r="F194" s="571">
        <v>63</v>
      </c>
      <c r="G194" s="572">
        <v>10.5</v>
      </c>
      <c r="H194" s="574">
        <v>4.1322299999999998</v>
      </c>
      <c r="I194" s="571">
        <v>12.39669</v>
      </c>
      <c r="J194" s="572">
        <v>1.89669</v>
      </c>
      <c r="K194" s="579">
        <v>0.19677285714199999</v>
      </c>
    </row>
    <row r="195" spans="1:11" ht="14.4" customHeight="1" thickBot="1" x14ac:dyDescent="0.35">
      <c r="A195" s="588" t="s">
        <v>492</v>
      </c>
      <c r="B195" s="566">
        <v>52.334480502433998</v>
      </c>
      <c r="C195" s="566">
        <v>72.975269999999995</v>
      </c>
      <c r="D195" s="567">
        <v>20.640789497564999</v>
      </c>
      <c r="E195" s="568">
        <v>1.3944013449520001</v>
      </c>
      <c r="F195" s="566">
        <v>63</v>
      </c>
      <c r="G195" s="567">
        <v>10.5</v>
      </c>
      <c r="H195" s="569">
        <v>4.1322299999999998</v>
      </c>
      <c r="I195" s="566">
        <v>12.39669</v>
      </c>
      <c r="J195" s="567">
        <v>1.89669</v>
      </c>
      <c r="K195" s="570">
        <v>0.19677285714199999</v>
      </c>
    </row>
    <row r="196" spans="1:11" ht="14.4" customHeight="1" thickBot="1" x14ac:dyDescent="0.35">
      <c r="A196" s="587" t="s">
        <v>493</v>
      </c>
      <c r="B196" s="571">
        <v>0</v>
      </c>
      <c r="C196" s="571">
        <v>83.227000000000004</v>
      </c>
      <c r="D196" s="572">
        <v>83.227000000000004</v>
      </c>
      <c r="E196" s="573" t="s">
        <v>306</v>
      </c>
      <c r="F196" s="571">
        <v>0</v>
      </c>
      <c r="G196" s="572">
        <v>0</v>
      </c>
      <c r="H196" s="574">
        <v>0</v>
      </c>
      <c r="I196" s="571">
        <v>18.939</v>
      </c>
      <c r="J196" s="572">
        <v>18.939</v>
      </c>
      <c r="K196" s="575" t="s">
        <v>306</v>
      </c>
    </row>
    <row r="197" spans="1:11" ht="14.4" customHeight="1" thickBot="1" x14ac:dyDescent="0.35">
      <c r="A197" s="588" t="s">
        <v>494</v>
      </c>
      <c r="B197" s="566">
        <v>0</v>
      </c>
      <c r="C197" s="566">
        <v>83.227000000000004</v>
      </c>
      <c r="D197" s="567">
        <v>83.227000000000004</v>
      </c>
      <c r="E197" s="576" t="s">
        <v>306</v>
      </c>
      <c r="F197" s="566">
        <v>0</v>
      </c>
      <c r="G197" s="567">
        <v>0</v>
      </c>
      <c r="H197" s="569">
        <v>0</v>
      </c>
      <c r="I197" s="566">
        <v>18.939</v>
      </c>
      <c r="J197" s="567">
        <v>18.939</v>
      </c>
      <c r="K197" s="577" t="s">
        <v>306</v>
      </c>
    </row>
    <row r="198" spans="1:11" ht="14.4" customHeight="1" thickBot="1" x14ac:dyDescent="0.35">
      <c r="A198" s="585" t="s">
        <v>495</v>
      </c>
      <c r="B198" s="566">
        <v>0</v>
      </c>
      <c r="C198" s="566">
        <v>5.2500000000000003E-3</v>
      </c>
      <c r="D198" s="567">
        <v>5.2500000000000003E-3</v>
      </c>
      <c r="E198" s="576" t="s">
        <v>325</v>
      </c>
      <c r="F198" s="566">
        <v>0</v>
      </c>
      <c r="G198" s="567">
        <v>0</v>
      </c>
      <c r="H198" s="569">
        <v>0</v>
      </c>
      <c r="I198" s="566">
        <v>0</v>
      </c>
      <c r="J198" s="567">
        <v>0</v>
      </c>
      <c r="K198" s="570">
        <v>0</v>
      </c>
    </row>
    <row r="199" spans="1:11" ht="14.4" customHeight="1" thickBot="1" x14ac:dyDescent="0.35">
      <c r="A199" s="591" t="s">
        <v>496</v>
      </c>
      <c r="B199" s="571">
        <v>0</v>
      </c>
      <c r="C199" s="571">
        <v>5.2500000000000003E-3</v>
      </c>
      <c r="D199" s="572">
        <v>5.2500000000000003E-3</v>
      </c>
      <c r="E199" s="573" t="s">
        <v>325</v>
      </c>
      <c r="F199" s="571">
        <v>0</v>
      </c>
      <c r="G199" s="572">
        <v>0</v>
      </c>
      <c r="H199" s="574">
        <v>0</v>
      </c>
      <c r="I199" s="571">
        <v>0</v>
      </c>
      <c r="J199" s="572">
        <v>0</v>
      </c>
      <c r="K199" s="579">
        <v>0</v>
      </c>
    </row>
    <row r="200" spans="1:11" ht="14.4" customHeight="1" thickBot="1" x14ac:dyDescent="0.35">
      <c r="A200" s="587" t="s">
        <v>497</v>
      </c>
      <c r="B200" s="571">
        <v>0</v>
      </c>
      <c r="C200" s="571">
        <v>5.2500000000000003E-3</v>
      </c>
      <c r="D200" s="572">
        <v>5.2500000000000003E-3</v>
      </c>
      <c r="E200" s="573" t="s">
        <v>325</v>
      </c>
      <c r="F200" s="571">
        <v>0</v>
      </c>
      <c r="G200" s="572">
        <v>0</v>
      </c>
      <c r="H200" s="574">
        <v>0</v>
      </c>
      <c r="I200" s="571">
        <v>0</v>
      </c>
      <c r="J200" s="572">
        <v>0</v>
      </c>
      <c r="K200" s="579">
        <v>0</v>
      </c>
    </row>
    <row r="201" spans="1:11" ht="14.4" customHeight="1" thickBot="1" x14ac:dyDescent="0.35">
      <c r="A201" s="588" t="s">
        <v>498</v>
      </c>
      <c r="B201" s="566">
        <v>0</v>
      </c>
      <c r="C201" s="566">
        <v>5.2500000000000003E-3</v>
      </c>
      <c r="D201" s="567">
        <v>5.2500000000000003E-3</v>
      </c>
      <c r="E201" s="576" t="s">
        <v>325</v>
      </c>
      <c r="F201" s="566">
        <v>0</v>
      </c>
      <c r="G201" s="567">
        <v>0</v>
      </c>
      <c r="H201" s="569">
        <v>0</v>
      </c>
      <c r="I201" s="566">
        <v>0</v>
      </c>
      <c r="J201" s="567">
        <v>0</v>
      </c>
      <c r="K201" s="570">
        <v>0</v>
      </c>
    </row>
    <row r="202" spans="1:11" ht="14.4" customHeight="1" thickBot="1" x14ac:dyDescent="0.35">
      <c r="A202" s="585" t="s">
        <v>499</v>
      </c>
      <c r="B202" s="566">
        <v>40</v>
      </c>
      <c r="C202" s="566">
        <v>64.956000000000003</v>
      </c>
      <c r="D202" s="567">
        <v>24.956</v>
      </c>
      <c r="E202" s="568">
        <v>1.6238999999999999</v>
      </c>
      <c r="F202" s="566">
        <v>29.422690984669</v>
      </c>
      <c r="G202" s="567">
        <v>4.9037818307779997</v>
      </c>
      <c r="H202" s="569">
        <v>2.0630000000000002</v>
      </c>
      <c r="I202" s="566">
        <v>4.1260000000000003</v>
      </c>
      <c r="J202" s="567">
        <v>-0.77778183077800001</v>
      </c>
      <c r="K202" s="570">
        <v>0.140231904761</v>
      </c>
    </row>
    <row r="203" spans="1:11" ht="14.4" customHeight="1" thickBot="1" x14ac:dyDescent="0.35">
      <c r="A203" s="591" t="s">
        <v>500</v>
      </c>
      <c r="B203" s="571">
        <v>40</v>
      </c>
      <c r="C203" s="571">
        <v>64.956000000000003</v>
      </c>
      <c r="D203" s="572">
        <v>24.956</v>
      </c>
      <c r="E203" s="578">
        <v>1.6238999999999999</v>
      </c>
      <c r="F203" s="571">
        <v>29.422690984669</v>
      </c>
      <c r="G203" s="572">
        <v>4.9037818307779997</v>
      </c>
      <c r="H203" s="574">
        <v>2.0630000000000002</v>
      </c>
      <c r="I203" s="571">
        <v>4.1260000000000003</v>
      </c>
      <c r="J203" s="572">
        <v>-0.77778183077800001</v>
      </c>
      <c r="K203" s="579">
        <v>0.140231904761</v>
      </c>
    </row>
    <row r="204" spans="1:11" ht="14.4" customHeight="1" thickBot="1" x14ac:dyDescent="0.35">
      <c r="A204" s="587" t="s">
        <v>501</v>
      </c>
      <c r="B204" s="571">
        <v>40</v>
      </c>
      <c r="C204" s="571">
        <v>40.200000000000003</v>
      </c>
      <c r="D204" s="572">
        <v>0.19999999999900001</v>
      </c>
      <c r="E204" s="578">
        <v>1.0049999999999999</v>
      </c>
      <c r="F204" s="571">
        <v>0</v>
      </c>
      <c r="G204" s="572">
        <v>0</v>
      </c>
      <c r="H204" s="574">
        <v>0</v>
      </c>
      <c r="I204" s="571">
        <v>0</v>
      </c>
      <c r="J204" s="572">
        <v>0</v>
      </c>
      <c r="K204" s="575" t="s">
        <v>306</v>
      </c>
    </row>
    <row r="205" spans="1:11" ht="14.4" customHeight="1" thickBot="1" x14ac:dyDescent="0.35">
      <c r="A205" s="588" t="s">
        <v>502</v>
      </c>
      <c r="B205" s="566">
        <v>40</v>
      </c>
      <c r="C205" s="566">
        <v>40.200000000000003</v>
      </c>
      <c r="D205" s="567">
        <v>0.19999999999900001</v>
      </c>
      <c r="E205" s="568">
        <v>1.0049999999999999</v>
      </c>
      <c r="F205" s="566">
        <v>0</v>
      </c>
      <c r="G205" s="567">
        <v>0</v>
      </c>
      <c r="H205" s="569">
        <v>0</v>
      </c>
      <c r="I205" s="566">
        <v>0</v>
      </c>
      <c r="J205" s="567">
        <v>0</v>
      </c>
      <c r="K205" s="577" t="s">
        <v>306</v>
      </c>
    </row>
    <row r="206" spans="1:11" ht="14.4" customHeight="1" thickBot="1" x14ac:dyDescent="0.35">
      <c r="A206" s="590" t="s">
        <v>503</v>
      </c>
      <c r="B206" s="566">
        <v>0</v>
      </c>
      <c r="C206" s="566">
        <v>24.756</v>
      </c>
      <c r="D206" s="567">
        <v>24.756</v>
      </c>
      <c r="E206" s="576" t="s">
        <v>306</v>
      </c>
      <c r="F206" s="566">
        <v>29.422690984669</v>
      </c>
      <c r="G206" s="567">
        <v>4.9037818307779997</v>
      </c>
      <c r="H206" s="569">
        <v>2.0630000000000002</v>
      </c>
      <c r="I206" s="566">
        <v>4.1260000000000003</v>
      </c>
      <c r="J206" s="567">
        <v>-0.77778183077800001</v>
      </c>
      <c r="K206" s="570">
        <v>0.140231904761</v>
      </c>
    </row>
    <row r="207" spans="1:11" ht="14.4" customHeight="1" thickBot="1" x14ac:dyDescent="0.35">
      <c r="A207" s="588" t="s">
        <v>504</v>
      </c>
      <c r="B207" s="566">
        <v>0</v>
      </c>
      <c r="C207" s="566">
        <v>24.756</v>
      </c>
      <c r="D207" s="567">
        <v>24.756</v>
      </c>
      <c r="E207" s="576" t="s">
        <v>306</v>
      </c>
      <c r="F207" s="566">
        <v>29.422690984669</v>
      </c>
      <c r="G207" s="567">
        <v>4.9037818307779997</v>
      </c>
      <c r="H207" s="569">
        <v>2.0630000000000002</v>
      </c>
      <c r="I207" s="566">
        <v>4.1260000000000003</v>
      </c>
      <c r="J207" s="567">
        <v>-0.77778183077800001</v>
      </c>
      <c r="K207" s="570">
        <v>0.140231904761</v>
      </c>
    </row>
    <row r="208" spans="1:11" ht="14.4" customHeight="1" thickBot="1" x14ac:dyDescent="0.35">
      <c r="A208" s="584" t="s">
        <v>505</v>
      </c>
      <c r="B208" s="566">
        <v>6394.0059540686098</v>
      </c>
      <c r="C208" s="566">
        <v>7285.4961999999996</v>
      </c>
      <c r="D208" s="567">
        <v>891.49024593138904</v>
      </c>
      <c r="E208" s="568">
        <v>1.139425933027</v>
      </c>
      <c r="F208" s="566">
        <v>0</v>
      </c>
      <c r="G208" s="567">
        <v>0</v>
      </c>
      <c r="H208" s="569">
        <v>548.87001999999995</v>
      </c>
      <c r="I208" s="566">
        <v>1325.1021800000001</v>
      </c>
      <c r="J208" s="567">
        <v>1325.1021800000001</v>
      </c>
      <c r="K208" s="577" t="s">
        <v>306</v>
      </c>
    </row>
    <row r="209" spans="1:11" ht="14.4" customHeight="1" thickBot="1" x14ac:dyDescent="0.35">
      <c r="A209" s="589" t="s">
        <v>506</v>
      </c>
      <c r="B209" s="571">
        <v>6394.0059540686098</v>
      </c>
      <c r="C209" s="571">
        <v>7285.4961999999996</v>
      </c>
      <c r="D209" s="572">
        <v>891.49024593138904</v>
      </c>
      <c r="E209" s="578">
        <v>1.139425933027</v>
      </c>
      <c r="F209" s="571">
        <v>0</v>
      </c>
      <c r="G209" s="572">
        <v>0</v>
      </c>
      <c r="H209" s="574">
        <v>548.87001999999995</v>
      </c>
      <c r="I209" s="571">
        <v>1325.1021800000001</v>
      </c>
      <c r="J209" s="572">
        <v>1325.1021800000001</v>
      </c>
      <c r="K209" s="575" t="s">
        <v>306</v>
      </c>
    </row>
    <row r="210" spans="1:11" ht="14.4" customHeight="1" thickBot="1" x14ac:dyDescent="0.35">
      <c r="A210" s="591" t="s">
        <v>41</v>
      </c>
      <c r="B210" s="571">
        <v>6394.0059540686098</v>
      </c>
      <c r="C210" s="571">
        <v>7285.4961999999996</v>
      </c>
      <c r="D210" s="572">
        <v>891.49024593138904</v>
      </c>
      <c r="E210" s="578">
        <v>1.139425933027</v>
      </c>
      <c r="F210" s="571">
        <v>0</v>
      </c>
      <c r="G210" s="572">
        <v>0</v>
      </c>
      <c r="H210" s="574">
        <v>548.87001999999995</v>
      </c>
      <c r="I210" s="571">
        <v>1325.1021800000001</v>
      </c>
      <c r="J210" s="572">
        <v>1325.1021800000001</v>
      </c>
      <c r="K210" s="575" t="s">
        <v>306</v>
      </c>
    </row>
    <row r="211" spans="1:11" ht="14.4" customHeight="1" thickBot="1" x14ac:dyDescent="0.35">
      <c r="A211" s="587" t="s">
        <v>507</v>
      </c>
      <c r="B211" s="571">
        <v>53</v>
      </c>
      <c r="C211" s="571">
        <v>71.775000000000006</v>
      </c>
      <c r="D211" s="572">
        <v>18.774999999999999</v>
      </c>
      <c r="E211" s="578">
        <v>1.3542452830180001</v>
      </c>
      <c r="F211" s="571">
        <v>0</v>
      </c>
      <c r="G211" s="572">
        <v>0</v>
      </c>
      <c r="H211" s="574">
        <v>7.5750000000000002</v>
      </c>
      <c r="I211" s="571">
        <v>15.151249999999999</v>
      </c>
      <c r="J211" s="572">
        <v>15.151249999999999</v>
      </c>
      <c r="K211" s="575" t="s">
        <v>306</v>
      </c>
    </row>
    <row r="212" spans="1:11" ht="14.4" customHeight="1" thickBot="1" x14ac:dyDescent="0.35">
      <c r="A212" s="588" t="s">
        <v>508</v>
      </c>
      <c r="B212" s="566">
        <v>53</v>
      </c>
      <c r="C212" s="566">
        <v>71.775000000000006</v>
      </c>
      <c r="D212" s="567">
        <v>18.774999999999999</v>
      </c>
      <c r="E212" s="568">
        <v>1.3542452830180001</v>
      </c>
      <c r="F212" s="566">
        <v>0</v>
      </c>
      <c r="G212" s="567">
        <v>0</v>
      </c>
      <c r="H212" s="569">
        <v>7.5750000000000002</v>
      </c>
      <c r="I212" s="566">
        <v>15.151249999999999</v>
      </c>
      <c r="J212" s="567">
        <v>15.151249999999999</v>
      </c>
      <c r="K212" s="577" t="s">
        <v>306</v>
      </c>
    </row>
    <row r="213" spans="1:11" ht="14.4" customHeight="1" thickBot="1" x14ac:dyDescent="0.35">
      <c r="A213" s="587" t="s">
        <v>509</v>
      </c>
      <c r="B213" s="571">
        <v>42.005954068613001</v>
      </c>
      <c r="C213" s="571">
        <v>48.171720000000001</v>
      </c>
      <c r="D213" s="572">
        <v>6.1657659313859998</v>
      </c>
      <c r="E213" s="578">
        <v>1.146783142249</v>
      </c>
      <c r="F213" s="571">
        <v>0</v>
      </c>
      <c r="G213" s="572">
        <v>0</v>
      </c>
      <c r="H213" s="574">
        <v>9.0000599999999995</v>
      </c>
      <c r="I213" s="571">
        <v>17.715119999999999</v>
      </c>
      <c r="J213" s="572">
        <v>17.715119999999999</v>
      </c>
      <c r="K213" s="575" t="s">
        <v>306</v>
      </c>
    </row>
    <row r="214" spans="1:11" ht="14.4" customHeight="1" thickBot="1" x14ac:dyDescent="0.35">
      <c r="A214" s="588" t="s">
        <v>510</v>
      </c>
      <c r="B214" s="566">
        <v>42.005954068613001</v>
      </c>
      <c r="C214" s="566">
        <v>48.171720000000001</v>
      </c>
      <c r="D214" s="567">
        <v>6.1657659313859998</v>
      </c>
      <c r="E214" s="568">
        <v>1.146783142249</v>
      </c>
      <c r="F214" s="566">
        <v>0</v>
      </c>
      <c r="G214" s="567">
        <v>0</v>
      </c>
      <c r="H214" s="569">
        <v>9.0000599999999995</v>
      </c>
      <c r="I214" s="566">
        <v>17.715119999999999</v>
      </c>
      <c r="J214" s="567">
        <v>17.715119999999999</v>
      </c>
      <c r="K214" s="577" t="s">
        <v>306</v>
      </c>
    </row>
    <row r="215" spans="1:11" ht="14.4" customHeight="1" thickBot="1" x14ac:dyDescent="0.35">
      <c r="A215" s="587" t="s">
        <v>511</v>
      </c>
      <c r="B215" s="571">
        <v>1289</v>
      </c>
      <c r="C215" s="571">
        <v>872.80804000000001</v>
      </c>
      <c r="D215" s="572">
        <v>-416.19195999999999</v>
      </c>
      <c r="E215" s="578">
        <v>0.67712027928600005</v>
      </c>
      <c r="F215" s="571">
        <v>0</v>
      </c>
      <c r="G215" s="572">
        <v>0</v>
      </c>
      <c r="H215" s="574">
        <v>63.810899999999997</v>
      </c>
      <c r="I215" s="571">
        <v>133.49950000000001</v>
      </c>
      <c r="J215" s="572">
        <v>133.49950000000001</v>
      </c>
      <c r="K215" s="575" t="s">
        <v>306</v>
      </c>
    </row>
    <row r="216" spans="1:11" ht="14.4" customHeight="1" thickBot="1" x14ac:dyDescent="0.35">
      <c r="A216" s="588" t="s">
        <v>512</v>
      </c>
      <c r="B216" s="566">
        <v>1289</v>
      </c>
      <c r="C216" s="566">
        <v>872.80804000000001</v>
      </c>
      <c r="D216" s="567">
        <v>-416.19195999999999</v>
      </c>
      <c r="E216" s="568">
        <v>0.67712027928600005</v>
      </c>
      <c r="F216" s="566">
        <v>0</v>
      </c>
      <c r="G216" s="567">
        <v>0</v>
      </c>
      <c r="H216" s="569">
        <v>63.810899999999997</v>
      </c>
      <c r="I216" s="566">
        <v>133.49950000000001</v>
      </c>
      <c r="J216" s="567">
        <v>133.49950000000001</v>
      </c>
      <c r="K216" s="577" t="s">
        <v>306</v>
      </c>
    </row>
    <row r="217" spans="1:11" ht="14.4" customHeight="1" thickBot="1" x14ac:dyDescent="0.35">
      <c r="A217" s="587" t="s">
        <v>513</v>
      </c>
      <c r="B217" s="571">
        <v>0</v>
      </c>
      <c r="C217" s="571">
        <v>9.4220000000000006</v>
      </c>
      <c r="D217" s="572">
        <v>9.4220000000000006</v>
      </c>
      <c r="E217" s="573" t="s">
        <v>325</v>
      </c>
      <c r="F217" s="571">
        <v>0</v>
      </c>
      <c r="G217" s="572">
        <v>0</v>
      </c>
      <c r="H217" s="574">
        <v>1.038</v>
      </c>
      <c r="I217" s="571">
        <v>1.8140000000000001</v>
      </c>
      <c r="J217" s="572">
        <v>1.8140000000000001</v>
      </c>
      <c r="K217" s="575" t="s">
        <v>306</v>
      </c>
    </row>
    <row r="218" spans="1:11" ht="14.4" customHeight="1" thickBot="1" x14ac:dyDescent="0.35">
      <c r="A218" s="588" t="s">
        <v>514</v>
      </c>
      <c r="B218" s="566">
        <v>0</v>
      </c>
      <c r="C218" s="566">
        <v>9.4220000000000006</v>
      </c>
      <c r="D218" s="567">
        <v>9.4220000000000006</v>
      </c>
      <c r="E218" s="576" t="s">
        <v>325</v>
      </c>
      <c r="F218" s="566">
        <v>0</v>
      </c>
      <c r="G218" s="567">
        <v>0</v>
      </c>
      <c r="H218" s="569">
        <v>1.038</v>
      </c>
      <c r="I218" s="566">
        <v>1.8140000000000001</v>
      </c>
      <c r="J218" s="567">
        <v>1.8140000000000001</v>
      </c>
      <c r="K218" s="577" t="s">
        <v>306</v>
      </c>
    </row>
    <row r="219" spans="1:11" ht="14.4" customHeight="1" thickBot="1" x14ac:dyDescent="0.35">
      <c r="A219" s="587" t="s">
        <v>515</v>
      </c>
      <c r="B219" s="571">
        <v>586</v>
      </c>
      <c r="C219" s="571">
        <v>514.13036999999997</v>
      </c>
      <c r="D219" s="572">
        <v>-71.869629999999006</v>
      </c>
      <c r="E219" s="578">
        <v>0.87735558020399995</v>
      </c>
      <c r="F219" s="571">
        <v>0</v>
      </c>
      <c r="G219" s="572">
        <v>0</v>
      </c>
      <c r="H219" s="574">
        <v>27.696960000000001</v>
      </c>
      <c r="I219" s="571">
        <v>69.938689999999994</v>
      </c>
      <c r="J219" s="572">
        <v>69.938689999999994</v>
      </c>
      <c r="K219" s="575" t="s">
        <v>306</v>
      </c>
    </row>
    <row r="220" spans="1:11" ht="14.4" customHeight="1" thickBot="1" x14ac:dyDescent="0.35">
      <c r="A220" s="588" t="s">
        <v>516</v>
      </c>
      <c r="B220" s="566">
        <v>577</v>
      </c>
      <c r="C220" s="566">
        <v>504.70925999999997</v>
      </c>
      <c r="D220" s="567">
        <v>-72.29074</v>
      </c>
      <c r="E220" s="568">
        <v>0.87471275563200002</v>
      </c>
      <c r="F220" s="566">
        <v>0</v>
      </c>
      <c r="G220" s="567">
        <v>0</v>
      </c>
      <c r="H220" s="569">
        <v>27.696960000000001</v>
      </c>
      <c r="I220" s="566">
        <v>69.938689999999994</v>
      </c>
      <c r="J220" s="567">
        <v>69.938689999999994</v>
      </c>
      <c r="K220" s="577" t="s">
        <v>306</v>
      </c>
    </row>
    <row r="221" spans="1:11" ht="14.4" customHeight="1" thickBot="1" x14ac:dyDescent="0.35">
      <c r="A221" s="588" t="s">
        <v>517</v>
      </c>
      <c r="B221" s="566">
        <v>9</v>
      </c>
      <c r="C221" s="566">
        <v>9.4211100000000005</v>
      </c>
      <c r="D221" s="567">
        <v>0.42110999999999998</v>
      </c>
      <c r="E221" s="568">
        <v>1.0467900000000001</v>
      </c>
      <c r="F221" s="566">
        <v>0</v>
      </c>
      <c r="G221" s="567">
        <v>0</v>
      </c>
      <c r="H221" s="569">
        <v>0</v>
      </c>
      <c r="I221" s="566">
        <v>0</v>
      </c>
      <c r="J221" s="567">
        <v>0</v>
      </c>
      <c r="K221" s="577" t="s">
        <v>306</v>
      </c>
    </row>
    <row r="222" spans="1:11" ht="14.4" customHeight="1" thickBot="1" x14ac:dyDescent="0.35">
      <c r="A222" s="587" t="s">
        <v>518</v>
      </c>
      <c r="B222" s="571">
        <v>0</v>
      </c>
      <c r="C222" s="571">
        <v>1110.79016</v>
      </c>
      <c r="D222" s="572">
        <v>1110.79016</v>
      </c>
      <c r="E222" s="573" t="s">
        <v>325</v>
      </c>
      <c r="F222" s="571">
        <v>0</v>
      </c>
      <c r="G222" s="572">
        <v>0</v>
      </c>
      <c r="H222" s="574">
        <v>44.682279999999999</v>
      </c>
      <c r="I222" s="571">
        <v>374.37921999999998</v>
      </c>
      <c r="J222" s="572">
        <v>374.37921999999998</v>
      </c>
      <c r="K222" s="575" t="s">
        <v>306</v>
      </c>
    </row>
    <row r="223" spans="1:11" ht="14.4" customHeight="1" thickBot="1" x14ac:dyDescent="0.35">
      <c r="A223" s="588" t="s">
        <v>519</v>
      </c>
      <c r="B223" s="566">
        <v>0</v>
      </c>
      <c r="C223" s="566">
        <v>1110.79016</v>
      </c>
      <c r="D223" s="567">
        <v>1110.79016</v>
      </c>
      <c r="E223" s="576" t="s">
        <v>325</v>
      </c>
      <c r="F223" s="566">
        <v>0</v>
      </c>
      <c r="G223" s="567">
        <v>0</v>
      </c>
      <c r="H223" s="569">
        <v>44.682279999999999</v>
      </c>
      <c r="I223" s="566">
        <v>374.37921999999998</v>
      </c>
      <c r="J223" s="567">
        <v>374.37921999999998</v>
      </c>
      <c r="K223" s="577" t="s">
        <v>306</v>
      </c>
    </row>
    <row r="224" spans="1:11" ht="14.4" customHeight="1" thickBot="1" x14ac:dyDescent="0.35">
      <c r="A224" s="587" t="s">
        <v>520</v>
      </c>
      <c r="B224" s="571">
        <v>4424</v>
      </c>
      <c r="C224" s="571">
        <v>4658.3989099999999</v>
      </c>
      <c r="D224" s="572">
        <v>234.39891</v>
      </c>
      <c r="E224" s="578">
        <v>1.052983478752</v>
      </c>
      <c r="F224" s="571">
        <v>0</v>
      </c>
      <c r="G224" s="572">
        <v>0</v>
      </c>
      <c r="H224" s="574">
        <v>395.06682000000001</v>
      </c>
      <c r="I224" s="571">
        <v>712.60440000000006</v>
      </c>
      <c r="J224" s="572">
        <v>712.60440000000006</v>
      </c>
      <c r="K224" s="575" t="s">
        <v>306</v>
      </c>
    </row>
    <row r="225" spans="1:11" ht="14.4" customHeight="1" thickBot="1" x14ac:dyDescent="0.35">
      <c r="A225" s="588" t="s">
        <v>521</v>
      </c>
      <c r="B225" s="566">
        <v>4424</v>
      </c>
      <c r="C225" s="566">
        <v>4658.3989099999999</v>
      </c>
      <c r="D225" s="567">
        <v>234.39891</v>
      </c>
      <c r="E225" s="568">
        <v>1.052983478752</v>
      </c>
      <c r="F225" s="566">
        <v>0</v>
      </c>
      <c r="G225" s="567">
        <v>0</v>
      </c>
      <c r="H225" s="569">
        <v>395.06682000000001</v>
      </c>
      <c r="I225" s="566">
        <v>712.60440000000006</v>
      </c>
      <c r="J225" s="567">
        <v>712.60440000000006</v>
      </c>
      <c r="K225" s="577" t="s">
        <v>306</v>
      </c>
    </row>
    <row r="226" spans="1:11" ht="14.4" customHeight="1" thickBot="1" x14ac:dyDescent="0.35">
      <c r="A226" s="592" t="s">
        <v>522</v>
      </c>
      <c r="B226" s="571">
        <v>0</v>
      </c>
      <c r="C226" s="571">
        <v>5.9749999999999996</v>
      </c>
      <c r="D226" s="572">
        <v>5.9749999999999996</v>
      </c>
      <c r="E226" s="573" t="s">
        <v>325</v>
      </c>
      <c r="F226" s="571">
        <v>0</v>
      </c>
      <c r="G226" s="572">
        <v>0</v>
      </c>
      <c r="H226" s="574">
        <v>0</v>
      </c>
      <c r="I226" s="571">
        <v>0</v>
      </c>
      <c r="J226" s="572">
        <v>0</v>
      </c>
      <c r="K226" s="579">
        <v>0</v>
      </c>
    </row>
    <row r="227" spans="1:11" ht="14.4" customHeight="1" thickBot="1" x14ac:dyDescent="0.35">
      <c r="A227" s="589" t="s">
        <v>523</v>
      </c>
      <c r="B227" s="571">
        <v>0</v>
      </c>
      <c r="C227" s="571">
        <v>5.9749999999999996</v>
      </c>
      <c r="D227" s="572">
        <v>5.9749999999999996</v>
      </c>
      <c r="E227" s="573" t="s">
        <v>325</v>
      </c>
      <c r="F227" s="571">
        <v>0</v>
      </c>
      <c r="G227" s="572">
        <v>0</v>
      </c>
      <c r="H227" s="574">
        <v>0</v>
      </c>
      <c r="I227" s="571">
        <v>0</v>
      </c>
      <c r="J227" s="572">
        <v>0</v>
      </c>
      <c r="K227" s="579">
        <v>0</v>
      </c>
    </row>
    <row r="228" spans="1:11" ht="14.4" customHeight="1" thickBot="1" x14ac:dyDescent="0.35">
      <c r="A228" s="591" t="s">
        <v>524</v>
      </c>
      <c r="B228" s="571">
        <v>0</v>
      </c>
      <c r="C228" s="571">
        <v>5.9749999999999996</v>
      </c>
      <c r="D228" s="572">
        <v>5.9749999999999996</v>
      </c>
      <c r="E228" s="573" t="s">
        <v>325</v>
      </c>
      <c r="F228" s="571">
        <v>0</v>
      </c>
      <c r="G228" s="572">
        <v>0</v>
      </c>
      <c r="H228" s="574">
        <v>0</v>
      </c>
      <c r="I228" s="571">
        <v>0</v>
      </c>
      <c r="J228" s="572">
        <v>0</v>
      </c>
      <c r="K228" s="579">
        <v>0</v>
      </c>
    </row>
    <row r="229" spans="1:11" ht="14.4" customHeight="1" thickBot="1" x14ac:dyDescent="0.35">
      <c r="A229" s="587" t="s">
        <v>525</v>
      </c>
      <c r="B229" s="571">
        <v>0</v>
      </c>
      <c r="C229" s="571">
        <v>5.9749999999999996</v>
      </c>
      <c r="D229" s="572">
        <v>5.9749999999999996</v>
      </c>
      <c r="E229" s="573" t="s">
        <v>325</v>
      </c>
      <c r="F229" s="571">
        <v>0</v>
      </c>
      <c r="G229" s="572">
        <v>0</v>
      </c>
      <c r="H229" s="574">
        <v>0</v>
      </c>
      <c r="I229" s="571">
        <v>0</v>
      </c>
      <c r="J229" s="572">
        <v>0</v>
      </c>
      <c r="K229" s="579">
        <v>0</v>
      </c>
    </row>
    <row r="230" spans="1:11" ht="14.4" customHeight="1" thickBot="1" x14ac:dyDescent="0.35">
      <c r="A230" s="588" t="s">
        <v>526</v>
      </c>
      <c r="B230" s="566">
        <v>0</v>
      </c>
      <c r="C230" s="566">
        <v>5.9749999999999996</v>
      </c>
      <c r="D230" s="567">
        <v>5.9749999999999996</v>
      </c>
      <c r="E230" s="576" t="s">
        <v>325</v>
      </c>
      <c r="F230" s="566">
        <v>0</v>
      </c>
      <c r="G230" s="567">
        <v>0</v>
      </c>
      <c r="H230" s="569">
        <v>0</v>
      </c>
      <c r="I230" s="566">
        <v>0</v>
      </c>
      <c r="J230" s="567">
        <v>0</v>
      </c>
      <c r="K230" s="570">
        <v>0</v>
      </c>
    </row>
    <row r="231" spans="1:11" ht="14.4" customHeight="1" thickBot="1" x14ac:dyDescent="0.35">
      <c r="A231" s="593"/>
      <c r="B231" s="566">
        <v>12216.4686671774</v>
      </c>
      <c r="C231" s="566">
        <v>8692.9817599999697</v>
      </c>
      <c r="D231" s="567">
        <v>-3523.4869071773901</v>
      </c>
      <c r="E231" s="568">
        <v>0.71157893470099998</v>
      </c>
      <c r="F231" s="566">
        <v>13058.584184118299</v>
      </c>
      <c r="G231" s="567">
        <v>2176.4306973530502</v>
      </c>
      <c r="H231" s="569">
        <v>541.29958999998905</v>
      </c>
      <c r="I231" s="566">
        <v>2732.11887999999</v>
      </c>
      <c r="J231" s="567">
        <v>555.68818264693505</v>
      </c>
      <c r="K231" s="570">
        <v>0.20922014526800001</v>
      </c>
    </row>
    <row r="232" spans="1:11" ht="14.4" customHeight="1" thickBot="1" x14ac:dyDescent="0.35">
      <c r="A232" s="594" t="s">
        <v>53</v>
      </c>
      <c r="B232" s="580">
        <v>12216.4686671774</v>
      </c>
      <c r="C232" s="580">
        <v>8692.9817599999697</v>
      </c>
      <c r="D232" s="581">
        <v>-3523.4869071773901</v>
      </c>
      <c r="E232" s="582" t="s">
        <v>325</v>
      </c>
      <c r="F232" s="580">
        <v>13058.584184118299</v>
      </c>
      <c r="G232" s="581">
        <v>2176.4306973530502</v>
      </c>
      <c r="H232" s="580">
        <v>541.29958999998905</v>
      </c>
      <c r="I232" s="580">
        <v>2732.11887999999</v>
      </c>
      <c r="J232" s="581">
        <v>555.688182646933</v>
      </c>
      <c r="K232" s="583">
        <v>0.20922014526800001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527</v>
      </c>
      <c r="B5" s="596" t="s">
        <v>528</v>
      </c>
      <c r="C5" s="597" t="s">
        <v>529</v>
      </c>
      <c r="D5" s="597" t="s">
        <v>529</v>
      </c>
      <c r="E5" s="597"/>
      <c r="F5" s="597" t="s">
        <v>529</v>
      </c>
      <c r="G5" s="597" t="s">
        <v>529</v>
      </c>
      <c r="H5" s="597" t="s">
        <v>529</v>
      </c>
      <c r="I5" s="598" t="s">
        <v>529</v>
      </c>
      <c r="J5" s="599" t="s">
        <v>61</v>
      </c>
    </row>
    <row r="6" spans="1:10" ht="14.4" customHeight="1" x14ac:dyDescent="0.3">
      <c r="A6" s="595" t="s">
        <v>527</v>
      </c>
      <c r="B6" s="596" t="s">
        <v>314</v>
      </c>
      <c r="C6" s="597">
        <v>251.31108999999998</v>
      </c>
      <c r="D6" s="597">
        <v>260.32839000000001</v>
      </c>
      <c r="E6" s="597"/>
      <c r="F6" s="597">
        <v>246.15886</v>
      </c>
      <c r="G6" s="597">
        <v>259.53681285351269</v>
      </c>
      <c r="H6" s="597">
        <v>-13.377952853512681</v>
      </c>
      <c r="I6" s="598">
        <v>0.94845450744953297</v>
      </c>
      <c r="J6" s="599" t="s">
        <v>1</v>
      </c>
    </row>
    <row r="7" spans="1:10" ht="14.4" customHeight="1" x14ac:dyDescent="0.3">
      <c r="A7" s="595" t="s">
        <v>527</v>
      </c>
      <c r="B7" s="596" t="s">
        <v>315</v>
      </c>
      <c r="C7" s="597">
        <v>48.361460000000001</v>
      </c>
      <c r="D7" s="597">
        <v>14.40429</v>
      </c>
      <c r="E7" s="597"/>
      <c r="F7" s="597">
        <v>24.818460000000002</v>
      </c>
      <c r="G7" s="597">
        <v>30.448594068955497</v>
      </c>
      <c r="H7" s="597">
        <v>-5.6301340689554955</v>
      </c>
      <c r="I7" s="598">
        <v>0.81509379197590548</v>
      </c>
      <c r="J7" s="599" t="s">
        <v>1</v>
      </c>
    </row>
    <row r="8" spans="1:10" ht="14.4" customHeight="1" x14ac:dyDescent="0.3">
      <c r="A8" s="595" t="s">
        <v>527</v>
      </c>
      <c r="B8" s="596" t="s">
        <v>316</v>
      </c>
      <c r="C8" s="597">
        <v>6.8407499999999999</v>
      </c>
      <c r="D8" s="597">
        <v>8.4923999999999999</v>
      </c>
      <c r="E8" s="597"/>
      <c r="F8" s="597">
        <v>0.86184000000000005</v>
      </c>
      <c r="G8" s="597">
        <v>4.3043277666643336</v>
      </c>
      <c r="H8" s="597">
        <v>-3.4424877666643336</v>
      </c>
      <c r="I8" s="598">
        <v>0.2002263876544626</v>
      </c>
      <c r="J8" s="599" t="s">
        <v>1</v>
      </c>
    </row>
    <row r="9" spans="1:10" ht="14.4" customHeight="1" x14ac:dyDescent="0.3">
      <c r="A9" s="595" t="s">
        <v>527</v>
      </c>
      <c r="B9" s="596" t="s">
        <v>317</v>
      </c>
      <c r="C9" s="597">
        <v>54.237200000000001</v>
      </c>
      <c r="D9" s="597">
        <v>27.093109999999999</v>
      </c>
      <c r="E9" s="597"/>
      <c r="F9" s="597">
        <v>27.522400000000001</v>
      </c>
      <c r="G9" s="597">
        <v>24.550006979269835</v>
      </c>
      <c r="H9" s="597">
        <v>2.9723930207301663</v>
      </c>
      <c r="I9" s="598">
        <v>1.1210750377073242</v>
      </c>
      <c r="J9" s="599" t="s">
        <v>1</v>
      </c>
    </row>
    <row r="10" spans="1:10" ht="14.4" customHeight="1" x14ac:dyDescent="0.3">
      <c r="A10" s="595" t="s">
        <v>527</v>
      </c>
      <c r="B10" s="596" t="s">
        <v>318</v>
      </c>
      <c r="C10" s="597">
        <v>3.9169100000000001</v>
      </c>
      <c r="D10" s="597">
        <v>1.4363899999999998</v>
      </c>
      <c r="E10" s="597"/>
      <c r="F10" s="597">
        <v>1.2978499999999999</v>
      </c>
      <c r="G10" s="597">
        <v>1.1159439275318332</v>
      </c>
      <c r="H10" s="597">
        <v>0.1819060724681667</v>
      </c>
      <c r="I10" s="598">
        <v>1.1630064629416406</v>
      </c>
      <c r="J10" s="599" t="s">
        <v>1</v>
      </c>
    </row>
    <row r="11" spans="1:10" ht="14.4" customHeight="1" x14ac:dyDescent="0.3">
      <c r="A11" s="595" t="s">
        <v>527</v>
      </c>
      <c r="B11" s="596" t="s">
        <v>530</v>
      </c>
      <c r="C11" s="597">
        <v>0</v>
      </c>
      <c r="D11" s="597" t="s">
        <v>529</v>
      </c>
      <c r="E11" s="597"/>
      <c r="F11" s="597" t="s">
        <v>529</v>
      </c>
      <c r="G11" s="597" t="s">
        <v>529</v>
      </c>
      <c r="H11" s="597" t="s">
        <v>529</v>
      </c>
      <c r="I11" s="598" t="s">
        <v>529</v>
      </c>
      <c r="J11" s="599" t="s">
        <v>1</v>
      </c>
    </row>
    <row r="12" spans="1:10" ht="14.4" customHeight="1" x14ac:dyDescent="0.3">
      <c r="A12" s="595" t="s">
        <v>527</v>
      </c>
      <c r="B12" s="596" t="s">
        <v>319</v>
      </c>
      <c r="C12" s="597">
        <v>63.21546</v>
      </c>
      <c r="D12" s="597">
        <v>43.057739999999995</v>
      </c>
      <c r="E12" s="597"/>
      <c r="F12" s="597">
        <v>57.748660000000001</v>
      </c>
      <c r="G12" s="597">
        <v>75.972083278618001</v>
      </c>
      <c r="H12" s="597">
        <v>-18.223423278618</v>
      </c>
      <c r="I12" s="598">
        <v>0.7601300044414222</v>
      </c>
      <c r="J12" s="599" t="s">
        <v>1</v>
      </c>
    </row>
    <row r="13" spans="1:10" ht="14.4" customHeight="1" x14ac:dyDescent="0.3">
      <c r="A13" s="595" t="s">
        <v>527</v>
      </c>
      <c r="B13" s="596" t="s">
        <v>531</v>
      </c>
      <c r="C13" s="597">
        <v>427.88286999999997</v>
      </c>
      <c r="D13" s="597">
        <v>354.81232</v>
      </c>
      <c r="E13" s="597"/>
      <c r="F13" s="597">
        <v>358.40806999999995</v>
      </c>
      <c r="G13" s="597">
        <v>395.92776887455221</v>
      </c>
      <c r="H13" s="597">
        <v>-37.519698874552262</v>
      </c>
      <c r="I13" s="598">
        <v>0.90523600054321984</v>
      </c>
      <c r="J13" s="599" t="s">
        <v>532</v>
      </c>
    </row>
    <row r="15" spans="1:10" ht="14.4" customHeight="1" x14ac:dyDescent="0.3">
      <c r="A15" s="595" t="s">
        <v>527</v>
      </c>
      <c r="B15" s="596" t="s">
        <v>528</v>
      </c>
      <c r="C15" s="597" t="s">
        <v>529</v>
      </c>
      <c r="D15" s="597" t="s">
        <v>529</v>
      </c>
      <c r="E15" s="597"/>
      <c r="F15" s="597" t="s">
        <v>529</v>
      </c>
      <c r="G15" s="597" t="s">
        <v>529</v>
      </c>
      <c r="H15" s="597" t="s">
        <v>529</v>
      </c>
      <c r="I15" s="598" t="s">
        <v>529</v>
      </c>
      <c r="J15" s="599" t="s">
        <v>61</v>
      </c>
    </row>
    <row r="16" spans="1:10" ht="14.4" customHeight="1" x14ac:dyDescent="0.3">
      <c r="A16" s="595" t="s">
        <v>533</v>
      </c>
      <c r="B16" s="596" t="s">
        <v>534</v>
      </c>
      <c r="C16" s="597" t="s">
        <v>529</v>
      </c>
      <c r="D16" s="597" t="s">
        <v>529</v>
      </c>
      <c r="E16" s="597"/>
      <c r="F16" s="597" t="s">
        <v>529</v>
      </c>
      <c r="G16" s="597" t="s">
        <v>529</v>
      </c>
      <c r="H16" s="597" t="s">
        <v>529</v>
      </c>
      <c r="I16" s="598" t="s">
        <v>529</v>
      </c>
      <c r="J16" s="599" t="s">
        <v>0</v>
      </c>
    </row>
    <row r="17" spans="1:10" ht="14.4" customHeight="1" x14ac:dyDescent="0.3">
      <c r="A17" s="595" t="s">
        <v>533</v>
      </c>
      <c r="B17" s="596" t="s">
        <v>314</v>
      </c>
      <c r="C17" s="597">
        <v>27.084849999999999</v>
      </c>
      <c r="D17" s="597">
        <v>25.167830000000002</v>
      </c>
      <c r="E17" s="597"/>
      <c r="F17" s="597">
        <v>28.077550000000002</v>
      </c>
      <c r="G17" s="597">
        <v>32.557458206365169</v>
      </c>
      <c r="H17" s="597">
        <v>-4.4799082063651667</v>
      </c>
      <c r="I17" s="598">
        <v>0.86239993988568431</v>
      </c>
      <c r="J17" s="599" t="s">
        <v>1</v>
      </c>
    </row>
    <row r="18" spans="1:10" ht="14.4" customHeight="1" x14ac:dyDescent="0.3">
      <c r="A18" s="595" t="s">
        <v>533</v>
      </c>
      <c r="B18" s="596" t="s">
        <v>315</v>
      </c>
      <c r="C18" s="597">
        <v>18.643540000000002</v>
      </c>
      <c r="D18" s="597">
        <v>0</v>
      </c>
      <c r="E18" s="597"/>
      <c r="F18" s="597" t="s">
        <v>529</v>
      </c>
      <c r="G18" s="597" t="s">
        <v>529</v>
      </c>
      <c r="H18" s="597" t="s">
        <v>529</v>
      </c>
      <c r="I18" s="598" t="s">
        <v>529</v>
      </c>
      <c r="J18" s="599" t="s">
        <v>1</v>
      </c>
    </row>
    <row r="19" spans="1:10" ht="14.4" customHeight="1" x14ac:dyDescent="0.3">
      <c r="A19" s="595" t="s">
        <v>533</v>
      </c>
      <c r="B19" s="596" t="s">
        <v>317</v>
      </c>
      <c r="C19" s="597">
        <v>1.4293200000000001</v>
      </c>
      <c r="D19" s="597">
        <v>2.03505</v>
      </c>
      <c r="E19" s="597"/>
      <c r="F19" s="597">
        <v>2.0735999999999999</v>
      </c>
      <c r="G19" s="597">
        <v>2.627211633246</v>
      </c>
      <c r="H19" s="597">
        <v>-0.55361163324600016</v>
      </c>
      <c r="I19" s="598">
        <v>0.78927786926628518</v>
      </c>
      <c r="J19" s="599" t="s">
        <v>1</v>
      </c>
    </row>
    <row r="20" spans="1:10" ht="14.4" customHeight="1" x14ac:dyDescent="0.3">
      <c r="A20" s="595" t="s">
        <v>533</v>
      </c>
      <c r="B20" s="596" t="s">
        <v>318</v>
      </c>
      <c r="C20" s="597">
        <v>0.15975</v>
      </c>
      <c r="D20" s="597">
        <v>0.72026999999999997</v>
      </c>
      <c r="E20" s="597"/>
      <c r="F20" s="597">
        <v>0.73985999999999996</v>
      </c>
      <c r="G20" s="597">
        <v>0.28382980190699997</v>
      </c>
      <c r="H20" s="597">
        <v>0.45603019809299999</v>
      </c>
      <c r="I20" s="598">
        <v>2.6067030136688163</v>
      </c>
      <c r="J20" s="599" t="s">
        <v>1</v>
      </c>
    </row>
    <row r="21" spans="1:10" ht="14.4" customHeight="1" x14ac:dyDescent="0.3">
      <c r="A21" s="595" t="s">
        <v>533</v>
      </c>
      <c r="B21" s="596" t="s">
        <v>319</v>
      </c>
      <c r="C21" s="597">
        <v>29.27093</v>
      </c>
      <c r="D21" s="597">
        <v>21.158569999999997</v>
      </c>
      <c r="E21" s="597"/>
      <c r="F21" s="597">
        <v>26.873329999999999</v>
      </c>
      <c r="G21" s="597">
        <v>25.139474771165336</v>
      </c>
      <c r="H21" s="597">
        <v>1.7338552288346634</v>
      </c>
      <c r="I21" s="598">
        <v>1.0689694293384113</v>
      </c>
      <c r="J21" s="599" t="s">
        <v>1</v>
      </c>
    </row>
    <row r="22" spans="1:10" ht="14.4" customHeight="1" x14ac:dyDescent="0.3">
      <c r="A22" s="595" t="s">
        <v>533</v>
      </c>
      <c r="B22" s="596" t="s">
        <v>535</v>
      </c>
      <c r="C22" s="597">
        <v>76.588390000000004</v>
      </c>
      <c r="D22" s="597">
        <v>49.081719999999997</v>
      </c>
      <c r="E22" s="597"/>
      <c r="F22" s="597">
        <v>57.764340000000004</v>
      </c>
      <c r="G22" s="597">
        <v>60.607974412683504</v>
      </c>
      <c r="H22" s="597">
        <v>-2.8436344126834996</v>
      </c>
      <c r="I22" s="598">
        <v>0.95308151377373196</v>
      </c>
      <c r="J22" s="599" t="s">
        <v>536</v>
      </c>
    </row>
    <row r="23" spans="1:10" ht="14.4" customHeight="1" x14ac:dyDescent="0.3">
      <c r="A23" s="595" t="s">
        <v>529</v>
      </c>
      <c r="B23" s="596" t="s">
        <v>529</v>
      </c>
      <c r="C23" s="597" t="s">
        <v>529</v>
      </c>
      <c r="D23" s="597" t="s">
        <v>529</v>
      </c>
      <c r="E23" s="597"/>
      <c r="F23" s="597" t="s">
        <v>529</v>
      </c>
      <c r="G23" s="597" t="s">
        <v>529</v>
      </c>
      <c r="H23" s="597" t="s">
        <v>529</v>
      </c>
      <c r="I23" s="598" t="s">
        <v>529</v>
      </c>
      <c r="J23" s="599" t="s">
        <v>537</v>
      </c>
    </row>
    <row r="24" spans="1:10" ht="14.4" customHeight="1" x14ac:dyDescent="0.3">
      <c r="A24" s="595" t="s">
        <v>538</v>
      </c>
      <c r="B24" s="596" t="s">
        <v>539</v>
      </c>
      <c r="C24" s="597" t="s">
        <v>529</v>
      </c>
      <c r="D24" s="597" t="s">
        <v>529</v>
      </c>
      <c r="E24" s="597"/>
      <c r="F24" s="597" t="s">
        <v>529</v>
      </c>
      <c r="G24" s="597" t="s">
        <v>529</v>
      </c>
      <c r="H24" s="597" t="s">
        <v>529</v>
      </c>
      <c r="I24" s="598" t="s">
        <v>529</v>
      </c>
      <c r="J24" s="599" t="s">
        <v>0</v>
      </c>
    </row>
    <row r="25" spans="1:10" ht="14.4" customHeight="1" x14ac:dyDescent="0.3">
      <c r="A25" s="595" t="s">
        <v>538</v>
      </c>
      <c r="B25" s="596" t="s">
        <v>314</v>
      </c>
      <c r="C25" s="597">
        <v>24.109409999999997</v>
      </c>
      <c r="D25" s="597">
        <v>19.327030000000001</v>
      </c>
      <c r="E25" s="597"/>
      <c r="F25" s="597">
        <v>21.225770000000001</v>
      </c>
      <c r="G25" s="597">
        <v>21.674381642332502</v>
      </c>
      <c r="H25" s="597">
        <v>-0.4486116423325015</v>
      </c>
      <c r="I25" s="598">
        <v>0.97930221725650934</v>
      </c>
      <c r="J25" s="599" t="s">
        <v>1</v>
      </c>
    </row>
    <row r="26" spans="1:10" ht="14.4" customHeight="1" x14ac:dyDescent="0.3">
      <c r="A26" s="595" t="s">
        <v>538</v>
      </c>
      <c r="B26" s="596" t="s">
        <v>315</v>
      </c>
      <c r="C26" s="597">
        <v>2.95886</v>
      </c>
      <c r="D26" s="597">
        <v>0</v>
      </c>
      <c r="E26" s="597"/>
      <c r="F26" s="597">
        <v>0</v>
      </c>
      <c r="G26" s="597">
        <v>0.44879011741766667</v>
      </c>
      <c r="H26" s="597">
        <v>-0.44879011741766667</v>
      </c>
      <c r="I26" s="598">
        <v>0</v>
      </c>
      <c r="J26" s="599" t="s">
        <v>1</v>
      </c>
    </row>
    <row r="27" spans="1:10" ht="14.4" customHeight="1" x14ac:dyDescent="0.3">
      <c r="A27" s="595" t="s">
        <v>538</v>
      </c>
      <c r="B27" s="596" t="s">
        <v>317</v>
      </c>
      <c r="C27" s="597">
        <v>8.7428900000000009</v>
      </c>
      <c r="D27" s="597">
        <v>1.4777899999999999</v>
      </c>
      <c r="E27" s="597"/>
      <c r="F27" s="597">
        <v>1.7644899999999999</v>
      </c>
      <c r="G27" s="597">
        <v>1.7067769122725001</v>
      </c>
      <c r="H27" s="597">
        <v>5.7713087727499834E-2</v>
      </c>
      <c r="I27" s="598">
        <v>1.0338140780511598</v>
      </c>
      <c r="J27" s="599" t="s">
        <v>1</v>
      </c>
    </row>
    <row r="28" spans="1:10" ht="14.4" customHeight="1" x14ac:dyDescent="0.3">
      <c r="A28" s="595" t="s">
        <v>538</v>
      </c>
      <c r="B28" s="596" t="s">
        <v>318</v>
      </c>
      <c r="C28" s="597">
        <v>8.8760000000000006E-2</v>
      </c>
      <c r="D28" s="597">
        <v>0.35585</v>
      </c>
      <c r="E28" s="597"/>
      <c r="F28" s="597">
        <v>0</v>
      </c>
      <c r="G28" s="597">
        <v>0.17510838660549999</v>
      </c>
      <c r="H28" s="597">
        <v>-0.17510838660549999</v>
      </c>
      <c r="I28" s="598">
        <v>0</v>
      </c>
      <c r="J28" s="599" t="s">
        <v>1</v>
      </c>
    </row>
    <row r="29" spans="1:10" ht="14.4" customHeight="1" x14ac:dyDescent="0.3">
      <c r="A29" s="595" t="s">
        <v>538</v>
      </c>
      <c r="B29" s="596" t="s">
        <v>540</v>
      </c>
      <c r="C29" s="597">
        <v>35.899920000000002</v>
      </c>
      <c r="D29" s="597">
        <v>21.16067</v>
      </c>
      <c r="E29" s="597"/>
      <c r="F29" s="597">
        <v>22.990259999999999</v>
      </c>
      <c r="G29" s="597">
        <v>24.005057058628168</v>
      </c>
      <c r="H29" s="597">
        <v>-1.0147970586281687</v>
      </c>
      <c r="I29" s="598">
        <v>0.95772569687504994</v>
      </c>
      <c r="J29" s="599" t="s">
        <v>536</v>
      </c>
    </row>
    <row r="30" spans="1:10" ht="14.4" customHeight="1" x14ac:dyDescent="0.3">
      <c r="A30" s="595" t="s">
        <v>529</v>
      </c>
      <c r="B30" s="596" t="s">
        <v>529</v>
      </c>
      <c r="C30" s="597" t="s">
        <v>529</v>
      </c>
      <c r="D30" s="597" t="s">
        <v>529</v>
      </c>
      <c r="E30" s="597"/>
      <c r="F30" s="597" t="s">
        <v>529</v>
      </c>
      <c r="G30" s="597" t="s">
        <v>529</v>
      </c>
      <c r="H30" s="597" t="s">
        <v>529</v>
      </c>
      <c r="I30" s="598" t="s">
        <v>529</v>
      </c>
      <c r="J30" s="599" t="s">
        <v>537</v>
      </c>
    </row>
    <row r="31" spans="1:10" ht="14.4" customHeight="1" x14ac:dyDescent="0.3">
      <c r="A31" s="595" t="s">
        <v>541</v>
      </c>
      <c r="B31" s="596" t="s">
        <v>542</v>
      </c>
      <c r="C31" s="597" t="s">
        <v>529</v>
      </c>
      <c r="D31" s="597" t="s">
        <v>529</v>
      </c>
      <c r="E31" s="597"/>
      <c r="F31" s="597" t="s">
        <v>529</v>
      </c>
      <c r="G31" s="597" t="s">
        <v>529</v>
      </c>
      <c r="H31" s="597" t="s">
        <v>529</v>
      </c>
      <c r="I31" s="598" t="s">
        <v>529</v>
      </c>
      <c r="J31" s="599" t="s">
        <v>0</v>
      </c>
    </row>
    <row r="32" spans="1:10" ht="14.4" customHeight="1" x14ac:dyDescent="0.3">
      <c r="A32" s="595" t="s">
        <v>541</v>
      </c>
      <c r="B32" s="596" t="s">
        <v>314</v>
      </c>
      <c r="C32" s="597">
        <v>200.11682999999999</v>
      </c>
      <c r="D32" s="597">
        <v>215.83353</v>
      </c>
      <c r="E32" s="597"/>
      <c r="F32" s="597">
        <v>196.85554000000002</v>
      </c>
      <c r="G32" s="597">
        <v>205.304973004815</v>
      </c>
      <c r="H32" s="597">
        <v>-8.4494330048149777</v>
      </c>
      <c r="I32" s="598">
        <v>0.95884447959954278</v>
      </c>
      <c r="J32" s="599" t="s">
        <v>1</v>
      </c>
    </row>
    <row r="33" spans="1:10" ht="14.4" customHeight="1" x14ac:dyDescent="0.3">
      <c r="A33" s="595" t="s">
        <v>541</v>
      </c>
      <c r="B33" s="596" t="s">
        <v>315</v>
      </c>
      <c r="C33" s="597">
        <v>26.759059999999998</v>
      </c>
      <c r="D33" s="597">
        <v>14.40429</v>
      </c>
      <c r="E33" s="597"/>
      <c r="F33" s="597">
        <v>24.818460000000002</v>
      </c>
      <c r="G33" s="597">
        <v>29.999803951537832</v>
      </c>
      <c r="H33" s="597">
        <v>-5.1813439515378299</v>
      </c>
      <c r="I33" s="598">
        <v>0.82728740628079245</v>
      </c>
      <c r="J33" s="599" t="s">
        <v>1</v>
      </c>
    </row>
    <row r="34" spans="1:10" ht="14.4" customHeight="1" x14ac:dyDescent="0.3">
      <c r="A34" s="595" t="s">
        <v>541</v>
      </c>
      <c r="B34" s="596" t="s">
        <v>316</v>
      </c>
      <c r="C34" s="597">
        <v>6.8407499999999999</v>
      </c>
      <c r="D34" s="597">
        <v>8.4923999999999999</v>
      </c>
      <c r="E34" s="597"/>
      <c r="F34" s="597">
        <v>0.86184000000000005</v>
      </c>
      <c r="G34" s="597">
        <v>4.3043277666643336</v>
      </c>
      <c r="H34" s="597">
        <v>-3.4424877666643336</v>
      </c>
      <c r="I34" s="598">
        <v>0.2002263876544626</v>
      </c>
      <c r="J34" s="599" t="s">
        <v>1</v>
      </c>
    </row>
    <row r="35" spans="1:10" ht="14.4" customHeight="1" x14ac:dyDescent="0.3">
      <c r="A35" s="595" t="s">
        <v>541</v>
      </c>
      <c r="B35" s="596" t="s">
        <v>317</v>
      </c>
      <c r="C35" s="597">
        <v>44.064990000000002</v>
      </c>
      <c r="D35" s="597">
        <v>23.580269999999999</v>
      </c>
      <c r="E35" s="597"/>
      <c r="F35" s="597">
        <v>23.68431</v>
      </c>
      <c r="G35" s="597">
        <v>20.216018433751334</v>
      </c>
      <c r="H35" s="597">
        <v>3.4682915662486664</v>
      </c>
      <c r="I35" s="598">
        <v>1.1715615553880894</v>
      </c>
      <c r="J35" s="599" t="s">
        <v>1</v>
      </c>
    </row>
    <row r="36" spans="1:10" ht="14.4" customHeight="1" x14ac:dyDescent="0.3">
      <c r="A36" s="595" t="s">
        <v>541</v>
      </c>
      <c r="B36" s="596" t="s">
        <v>318</v>
      </c>
      <c r="C36" s="597">
        <v>3.6684000000000001</v>
      </c>
      <c r="D36" s="597">
        <v>0.36026999999999998</v>
      </c>
      <c r="E36" s="597"/>
      <c r="F36" s="597">
        <v>0.55798999999999999</v>
      </c>
      <c r="G36" s="597">
        <v>0.65700573901933335</v>
      </c>
      <c r="H36" s="597">
        <v>-9.901573901933336E-2</v>
      </c>
      <c r="I36" s="598">
        <v>0.84929242906290703</v>
      </c>
      <c r="J36" s="599" t="s">
        <v>1</v>
      </c>
    </row>
    <row r="37" spans="1:10" ht="14.4" customHeight="1" x14ac:dyDescent="0.3">
      <c r="A37" s="595" t="s">
        <v>541</v>
      </c>
      <c r="B37" s="596" t="s">
        <v>319</v>
      </c>
      <c r="C37" s="597">
        <v>33.94453</v>
      </c>
      <c r="D37" s="597">
        <v>21.899169999999998</v>
      </c>
      <c r="E37" s="597"/>
      <c r="F37" s="597">
        <v>30.875329999999998</v>
      </c>
      <c r="G37" s="597">
        <v>50.832608507452669</v>
      </c>
      <c r="H37" s="597">
        <v>-19.957278507452671</v>
      </c>
      <c r="I37" s="598">
        <v>0.60739220170991826</v>
      </c>
      <c r="J37" s="599" t="s">
        <v>1</v>
      </c>
    </row>
    <row r="38" spans="1:10" ht="14.4" customHeight="1" x14ac:dyDescent="0.3">
      <c r="A38" s="595" t="s">
        <v>541</v>
      </c>
      <c r="B38" s="596" t="s">
        <v>543</v>
      </c>
      <c r="C38" s="597">
        <v>315.39456000000001</v>
      </c>
      <c r="D38" s="597">
        <v>284.56993</v>
      </c>
      <c r="E38" s="597"/>
      <c r="F38" s="597">
        <v>277.65347000000003</v>
      </c>
      <c r="G38" s="597">
        <v>311.31473740324049</v>
      </c>
      <c r="H38" s="597">
        <v>-33.661267403240458</v>
      </c>
      <c r="I38" s="598">
        <v>0.89187383904784556</v>
      </c>
      <c r="J38" s="599" t="s">
        <v>536</v>
      </c>
    </row>
    <row r="39" spans="1:10" ht="14.4" customHeight="1" x14ac:dyDescent="0.3">
      <c r="A39" s="595" t="s">
        <v>529</v>
      </c>
      <c r="B39" s="596" t="s">
        <v>529</v>
      </c>
      <c r="C39" s="597" t="s">
        <v>529</v>
      </c>
      <c r="D39" s="597" t="s">
        <v>529</v>
      </c>
      <c r="E39" s="597"/>
      <c r="F39" s="597" t="s">
        <v>529</v>
      </c>
      <c r="G39" s="597" t="s">
        <v>529</v>
      </c>
      <c r="H39" s="597" t="s">
        <v>529</v>
      </c>
      <c r="I39" s="598" t="s">
        <v>529</v>
      </c>
      <c r="J39" s="599" t="s">
        <v>537</v>
      </c>
    </row>
    <row r="40" spans="1:10" ht="14.4" customHeight="1" x14ac:dyDescent="0.3">
      <c r="A40" s="595" t="s">
        <v>544</v>
      </c>
      <c r="B40" s="596" t="s">
        <v>545</v>
      </c>
      <c r="C40" s="597" t="s">
        <v>529</v>
      </c>
      <c r="D40" s="597" t="s">
        <v>529</v>
      </c>
      <c r="E40" s="597"/>
      <c r="F40" s="597" t="s">
        <v>529</v>
      </c>
      <c r="G40" s="597" t="s">
        <v>529</v>
      </c>
      <c r="H40" s="597" t="s">
        <v>529</v>
      </c>
      <c r="I40" s="598" t="s">
        <v>529</v>
      </c>
      <c r="J40" s="599" t="s">
        <v>0</v>
      </c>
    </row>
    <row r="41" spans="1:10" ht="14.4" customHeight="1" x14ac:dyDescent="0.3">
      <c r="A41" s="595" t="s">
        <v>544</v>
      </c>
      <c r="B41" s="596" t="s">
        <v>530</v>
      </c>
      <c r="C41" s="597">
        <v>0</v>
      </c>
      <c r="D41" s="597" t="s">
        <v>529</v>
      </c>
      <c r="E41" s="597"/>
      <c r="F41" s="597" t="s">
        <v>529</v>
      </c>
      <c r="G41" s="597" t="s">
        <v>529</v>
      </c>
      <c r="H41" s="597" t="s">
        <v>529</v>
      </c>
      <c r="I41" s="598" t="s">
        <v>529</v>
      </c>
      <c r="J41" s="599" t="s">
        <v>1</v>
      </c>
    </row>
    <row r="42" spans="1:10" ht="14.4" customHeight="1" x14ac:dyDescent="0.3">
      <c r="A42" s="595" t="s">
        <v>544</v>
      </c>
      <c r="B42" s="596" t="s">
        <v>546</v>
      </c>
      <c r="C42" s="597">
        <v>0</v>
      </c>
      <c r="D42" s="597" t="s">
        <v>529</v>
      </c>
      <c r="E42" s="597"/>
      <c r="F42" s="597" t="s">
        <v>529</v>
      </c>
      <c r="G42" s="597" t="s">
        <v>529</v>
      </c>
      <c r="H42" s="597" t="s">
        <v>529</v>
      </c>
      <c r="I42" s="598" t="s">
        <v>529</v>
      </c>
      <c r="J42" s="599" t="s">
        <v>536</v>
      </c>
    </row>
    <row r="43" spans="1:10" ht="14.4" customHeight="1" x14ac:dyDescent="0.3">
      <c r="A43" s="595" t="s">
        <v>529</v>
      </c>
      <c r="B43" s="596" t="s">
        <v>529</v>
      </c>
      <c r="C43" s="597" t="s">
        <v>529</v>
      </c>
      <c r="D43" s="597" t="s">
        <v>529</v>
      </c>
      <c r="E43" s="597"/>
      <c r="F43" s="597" t="s">
        <v>529</v>
      </c>
      <c r="G43" s="597" t="s">
        <v>529</v>
      </c>
      <c r="H43" s="597" t="s">
        <v>529</v>
      </c>
      <c r="I43" s="598" t="s">
        <v>529</v>
      </c>
      <c r="J43" s="599" t="s">
        <v>537</v>
      </c>
    </row>
    <row r="44" spans="1:10" ht="14.4" customHeight="1" x14ac:dyDescent="0.3">
      <c r="A44" s="595" t="s">
        <v>527</v>
      </c>
      <c r="B44" s="596" t="s">
        <v>531</v>
      </c>
      <c r="C44" s="597">
        <v>427.88287000000003</v>
      </c>
      <c r="D44" s="597">
        <v>354.81232</v>
      </c>
      <c r="E44" s="597"/>
      <c r="F44" s="597">
        <v>358.40807000000001</v>
      </c>
      <c r="G44" s="597">
        <v>395.92776887455221</v>
      </c>
      <c r="H44" s="597">
        <v>-37.519698874552205</v>
      </c>
      <c r="I44" s="598">
        <v>0.90523600054321995</v>
      </c>
      <c r="J44" s="599" t="s">
        <v>532</v>
      </c>
    </row>
  </sheetData>
  <mergeCells count="3">
    <mergeCell ref="F3:I3"/>
    <mergeCell ref="C4:D4"/>
    <mergeCell ref="A1:I1"/>
  </mergeCells>
  <conditionalFormatting sqref="F14 F45:F65537">
    <cfRule type="cellIs" dxfId="56" priority="18" stopIfTrue="1" operator="greaterThan">
      <formula>1</formula>
    </cfRule>
  </conditionalFormatting>
  <conditionalFormatting sqref="H5:H13">
    <cfRule type="expression" dxfId="55" priority="14">
      <formula>$H5&gt;0</formula>
    </cfRule>
  </conditionalFormatting>
  <conditionalFormatting sqref="I5:I13">
    <cfRule type="expression" dxfId="54" priority="15">
      <formula>$I5&gt;1</formula>
    </cfRule>
  </conditionalFormatting>
  <conditionalFormatting sqref="B5:B13">
    <cfRule type="expression" dxfId="53" priority="11">
      <formula>OR($J5="NS",$J5="SumaNS",$J5="Účet")</formula>
    </cfRule>
  </conditionalFormatting>
  <conditionalFormatting sqref="B5:D13 F5:I13">
    <cfRule type="expression" dxfId="52" priority="17">
      <formula>AND($J5&lt;&gt;"",$J5&lt;&gt;"mezeraKL")</formula>
    </cfRule>
  </conditionalFormatting>
  <conditionalFormatting sqref="B5:D13 F5:I13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50" priority="13">
      <formula>OR($J5="SumaNS",$J5="NS")</formula>
    </cfRule>
  </conditionalFormatting>
  <conditionalFormatting sqref="A5:A13">
    <cfRule type="expression" dxfId="49" priority="9">
      <formula>AND($J5&lt;&gt;"mezeraKL",$J5&lt;&gt;"")</formula>
    </cfRule>
  </conditionalFormatting>
  <conditionalFormatting sqref="A5:A13">
    <cfRule type="expression" dxfId="48" priority="10">
      <formula>AND($J5&lt;&gt;"",$J5&lt;&gt;"mezeraKL")</formula>
    </cfRule>
  </conditionalFormatting>
  <conditionalFormatting sqref="H15:H44">
    <cfRule type="expression" dxfId="47" priority="5">
      <formula>$H15&gt;0</formula>
    </cfRule>
  </conditionalFormatting>
  <conditionalFormatting sqref="A15:A44">
    <cfRule type="expression" dxfId="46" priority="2">
      <formula>AND($J15&lt;&gt;"mezeraKL",$J15&lt;&gt;"")</formula>
    </cfRule>
  </conditionalFormatting>
  <conditionalFormatting sqref="I15:I44">
    <cfRule type="expression" dxfId="45" priority="6">
      <formula>$I15&gt;1</formula>
    </cfRule>
  </conditionalFormatting>
  <conditionalFormatting sqref="B15:B44">
    <cfRule type="expression" dxfId="44" priority="1">
      <formula>OR($J15="NS",$J15="SumaNS",$J15="Účet")</formula>
    </cfRule>
  </conditionalFormatting>
  <conditionalFormatting sqref="A15:D44 F15:I44">
    <cfRule type="expression" dxfId="43" priority="8">
      <formula>AND($J15&lt;&gt;"",$J15&lt;&gt;"mezeraKL")</formula>
    </cfRule>
  </conditionalFormatting>
  <conditionalFormatting sqref="B15:D44 F15:I44">
    <cfRule type="expression" dxfId="4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4 F15:I44">
    <cfRule type="expression" dxfId="4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8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133.44181612286107</v>
      </c>
      <c r="M3" s="192">
        <f>SUBTOTAL(9,M5:M1048576)</f>
        <v>2449.1999999999998</v>
      </c>
      <c r="N3" s="193">
        <f>SUBTOTAL(9,N5:N1048576)</f>
        <v>326825.69604811131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5" t="s">
        <v>527</v>
      </c>
      <c r="B5" s="606" t="s">
        <v>528</v>
      </c>
      <c r="C5" s="607" t="s">
        <v>533</v>
      </c>
      <c r="D5" s="608" t="s">
        <v>972</v>
      </c>
      <c r="E5" s="607" t="s">
        <v>547</v>
      </c>
      <c r="F5" s="608" t="s">
        <v>975</v>
      </c>
      <c r="G5" s="607" t="s">
        <v>548</v>
      </c>
      <c r="H5" s="607" t="s">
        <v>549</v>
      </c>
      <c r="I5" s="607" t="s">
        <v>549</v>
      </c>
      <c r="J5" s="607" t="s">
        <v>550</v>
      </c>
      <c r="K5" s="607" t="s">
        <v>551</v>
      </c>
      <c r="L5" s="609">
        <v>171.60000000000002</v>
      </c>
      <c r="M5" s="609">
        <v>1</v>
      </c>
      <c r="N5" s="610">
        <v>171.60000000000002</v>
      </c>
    </row>
    <row r="6" spans="1:14" ht="14.4" customHeight="1" x14ac:dyDescent="0.3">
      <c r="A6" s="611" t="s">
        <v>527</v>
      </c>
      <c r="B6" s="612" t="s">
        <v>528</v>
      </c>
      <c r="C6" s="613" t="s">
        <v>533</v>
      </c>
      <c r="D6" s="614" t="s">
        <v>972</v>
      </c>
      <c r="E6" s="613" t="s">
        <v>547</v>
      </c>
      <c r="F6" s="614" t="s">
        <v>975</v>
      </c>
      <c r="G6" s="613" t="s">
        <v>548</v>
      </c>
      <c r="H6" s="613" t="s">
        <v>552</v>
      </c>
      <c r="I6" s="613" t="s">
        <v>553</v>
      </c>
      <c r="J6" s="613" t="s">
        <v>554</v>
      </c>
      <c r="K6" s="613" t="s">
        <v>555</v>
      </c>
      <c r="L6" s="615">
        <v>80.119895220888779</v>
      </c>
      <c r="M6" s="615">
        <v>10</v>
      </c>
      <c r="N6" s="616">
        <v>801.19895220888782</v>
      </c>
    </row>
    <row r="7" spans="1:14" ht="14.4" customHeight="1" x14ac:dyDescent="0.3">
      <c r="A7" s="611" t="s">
        <v>527</v>
      </c>
      <c r="B7" s="612" t="s">
        <v>528</v>
      </c>
      <c r="C7" s="613" t="s">
        <v>533</v>
      </c>
      <c r="D7" s="614" t="s">
        <v>972</v>
      </c>
      <c r="E7" s="613" t="s">
        <v>547</v>
      </c>
      <c r="F7" s="614" t="s">
        <v>975</v>
      </c>
      <c r="G7" s="613" t="s">
        <v>548</v>
      </c>
      <c r="H7" s="613" t="s">
        <v>556</v>
      </c>
      <c r="I7" s="613" t="s">
        <v>557</v>
      </c>
      <c r="J7" s="613" t="s">
        <v>558</v>
      </c>
      <c r="K7" s="613" t="s">
        <v>559</v>
      </c>
      <c r="L7" s="615">
        <v>39.559903139678696</v>
      </c>
      <c r="M7" s="615">
        <v>1</v>
      </c>
      <c r="N7" s="616">
        <v>39.559903139678696</v>
      </c>
    </row>
    <row r="8" spans="1:14" ht="14.4" customHeight="1" x14ac:dyDescent="0.3">
      <c r="A8" s="611" t="s">
        <v>527</v>
      </c>
      <c r="B8" s="612" t="s">
        <v>528</v>
      </c>
      <c r="C8" s="613" t="s">
        <v>533</v>
      </c>
      <c r="D8" s="614" t="s">
        <v>972</v>
      </c>
      <c r="E8" s="613" t="s">
        <v>547</v>
      </c>
      <c r="F8" s="614" t="s">
        <v>975</v>
      </c>
      <c r="G8" s="613" t="s">
        <v>548</v>
      </c>
      <c r="H8" s="613" t="s">
        <v>560</v>
      </c>
      <c r="I8" s="613" t="s">
        <v>189</v>
      </c>
      <c r="J8" s="613" t="s">
        <v>561</v>
      </c>
      <c r="K8" s="613"/>
      <c r="L8" s="615">
        <v>97.320598911848194</v>
      </c>
      <c r="M8" s="615">
        <v>5</v>
      </c>
      <c r="N8" s="616">
        <v>486.60299455924098</v>
      </c>
    </row>
    <row r="9" spans="1:14" ht="14.4" customHeight="1" x14ac:dyDescent="0.3">
      <c r="A9" s="611" t="s">
        <v>527</v>
      </c>
      <c r="B9" s="612" t="s">
        <v>528</v>
      </c>
      <c r="C9" s="613" t="s">
        <v>533</v>
      </c>
      <c r="D9" s="614" t="s">
        <v>972</v>
      </c>
      <c r="E9" s="613" t="s">
        <v>547</v>
      </c>
      <c r="F9" s="614" t="s">
        <v>975</v>
      </c>
      <c r="G9" s="613" t="s">
        <v>548</v>
      </c>
      <c r="H9" s="613" t="s">
        <v>562</v>
      </c>
      <c r="I9" s="613" t="s">
        <v>563</v>
      </c>
      <c r="J9" s="613" t="s">
        <v>564</v>
      </c>
      <c r="K9" s="613" t="s">
        <v>565</v>
      </c>
      <c r="L9" s="615">
        <v>37.690000000000005</v>
      </c>
      <c r="M9" s="615">
        <v>2</v>
      </c>
      <c r="N9" s="616">
        <v>75.38000000000001</v>
      </c>
    </row>
    <row r="10" spans="1:14" ht="14.4" customHeight="1" x14ac:dyDescent="0.3">
      <c r="A10" s="611" t="s">
        <v>527</v>
      </c>
      <c r="B10" s="612" t="s">
        <v>528</v>
      </c>
      <c r="C10" s="613" t="s">
        <v>533</v>
      </c>
      <c r="D10" s="614" t="s">
        <v>972</v>
      </c>
      <c r="E10" s="613" t="s">
        <v>547</v>
      </c>
      <c r="F10" s="614" t="s">
        <v>975</v>
      </c>
      <c r="G10" s="613" t="s">
        <v>548</v>
      </c>
      <c r="H10" s="613" t="s">
        <v>566</v>
      </c>
      <c r="I10" s="613" t="s">
        <v>567</v>
      </c>
      <c r="J10" s="613" t="s">
        <v>568</v>
      </c>
      <c r="K10" s="613" t="s">
        <v>569</v>
      </c>
      <c r="L10" s="615">
        <v>208.69049388512255</v>
      </c>
      <c r="M10" s="615">
        <v>1</v>
      </c>
      <c r="N10" s="616">
        <v>208.69049388512255</v>
      </c>
    </row>
    <row r="11" spans="1:14" ht="14.4" customHeight="1" x14ac:dyDescent="0.3">
      <c r="A11" s="611" t="s">
        <v>527</v>
      </c>
      <c r="B11" s="612" t="s">
        <v>528</v>
      </c>
      <c r="C11" s="613" t="s">
        <v>533</v>
      </c>
      <c r="D11" s="614" t="s">
        <v>972</v>
      </c>
      <c r="E11" s="613" t="s">
        <v>547</v>
      </c>
      <c r="F11" s="614" t="s">
        <v>975</v>
      </c>
      <c r="G11" s="613" t="s">
        <v>548</v>
      </c>
      <c r="H11" s="613" t="s">
        <v>570</v>
      </c>
      <c r="I11" s="613" t="s">
        <v>189</v>
      </c>
      <c r="J11" s="613" t="s">
        <v>571</v>
      </c>
      <c r="K11" s="613"/>
      <c r="L11" s="615">
        <v>35.651889918814781</v>
      </c>
      <c r="M11" s="615">
        <v>18</v>
      </c>
      <c r="N11" s="616">
        <v>641.73401853866608</v>
      </c>
    </row>
    <row r="12" spans="1:14" ht="14.4" customHeight="1" x14ac:dyDescent="0.3">
      <c r="A12" s="611" t="s">
        <v>527</v>
      </c>
      <c r="B12" s="612" t="s">
        <v>528</v>
      </c>
      <c r="C12" s="613" t="s">
        <v>533</v>
      </c>
      <c r="D12" s="614" t="s">
        <v>972</v>
      </c>
      <c r="E12" s="613" t="s">
        <v>547</v>
      </c>
      <c r="F12" s="614" t="s">
        <v>975</v>
      </c>
      <c r="G12" s="613" t="s">
        <v>548</v>
      </c>
      <c r="H12" s="613" t="s">
        <v>572</v>
      </c>
      <c r="I12" s="613" t="s">
        <v>573</v>
      </c>
      <c r="J12" s="613" t="s">
        <v>574</v>
      </c>
      <c r="K12" s="613" t="s">
        <v>575</v>
      </c>
      <c r="L12" s="615">
        <v>49.390000000000015</v>
      </c>
      <c r="M12" s="615">
        <v>1</v>
      </c>
      <c r="N12" s="616">
        <v>49.390000000000015</v>
      </c>
    </row>
    <row r="13" spans="1:14" ht="14.4" customHeight="1" x14ac:dyDescent="0.3">
      <c r="A13" s="611" t="s">
        <v>527</v>
      </c>
      <c r="B13" s="612" t="s">
        <v>528</v>
      </c>
      <c r="C13" s="613" t="s">
        <v>533</v>
      </c>
      <c r="D13" s="614" t="s">
        <v>972</v>
      </c>
      <c r="E13" s="613" t="s">
        <v>547</v>
      </c>
      <c r="F13" s="614" t="s">
        <v>975</v>
      </c>
      <c r="G13" s="613" t="s">
        <v>548</v>
      </c>
      <c r="H13" s="613" t="s">
        <v>576</v>
      </c>
      <c r="I13" s="613" t="s">
        <v>577</v>
      </c>
      <c r="J13" s="613" t="s">
        <v>578</v>
      </c>
      <c r="K13" s="613" t="s">
        <v>579</v>
      </c>
      <c r="L13" s="615">
        <v>52.40999999999994</v>
      </c>
      <c r="M13" s="615">
        <v>1</v>
      </c>
      <c r="N13" s="616">
        <v>52.40999999999994</v>
      </c>
    </row>
    <row r="14" spans="1:14" ht="14.4" customHeight="1" x14ac:dyDescent="0.3">
      <c r="A14" s="611" t="s">
        <v>527</v>
      </c>
      <c r="B14" s="612" t="s">
        <v>528</v>
      </c>
      <c r="C14" s="613" t="s">
        <v>533</v>
      </c>
      <c r="D14" s="614" t="s">
        <v>972</v>
      </c>
      <c r="E14" s="613" t="s">
        <v>547</v>
      </c>
      <c r="F14" s="614" t="s">
        <v>975</v>
      </c>
      <c r="G14" s="613" t="s">
        <v>548</v>
      </c>
      <c r="H14" s="613" t="s">
        <v>580</v>
      </c>
      <c r="I14" s="613" t="s">
        <v>189</v>
      </c>
      <c r="J14" s="613" t="s">
        <v>581</v>
      </c>
      <c r="K14" s="613"/>
      <c r="L14" s="615">
        <v>41.365900669098799</v>
      </c>
      <c r="M14" s="615">
        <v>12</v>
      </c>
      <c r="N14" s="616">
        <v>496.39080802918556</v>
      </c>
    </row>
    <row r="15" spans="1:14" ht="14.4" customHeight="1" x14ac:dyDescent="0.3">
      <c r="A15" s="611" t="s">
        <v>527</v>
      </c>
      <c r="B15" s="612" t="s">
        <v>528</v>
      </c>
      <c r="C15" s="613" t="s">
        <v>533</v>
      </c>
      <c r="D15" s="614" t="s">
        <v>972</v>
      </c>
      <c r="E15" s="613" t="s">
        <v>547</v>
      </c>
      <c r="F15" s="614" t="s">
        <v>975</v>
      </c>
      <c r="G15" s="613" t="s">
        <v>548</v>
      </c>
      <c r="H15" s="613" t="s">
        <v>582</v>
      </c>
      <c r="I15" s="613" t="s">
        <v>582</v>
      </c>
      <c r="J15" s="613" t="s">
        <v>583</v>
      </c>
      <c r="K15" s="613" t="s">
        <v>584</v>
      </c>
      <c r="L15" s="615">
        <v>75.499999999999929</v>
      </c>
      <c r="M15" s="615">
        <v>2</v>
      </c>
      <c r="N15" s="616">
        <v>150.99999999999986</v>
      </c>
    </row>
    <row r="16" spans="1:14" ht="14.4" customHeight="1" x14ac:dyDescent="0.3">
      <c r="A16" s="611" t="s">
        <v>527</v>
      </c>
      <c r="B16" s="612" t="s">
        <v>528</v>
      </c>
      <c r="C16" s="613" t="s">
        <v>533</v>
      </c>
      <c r="D16" s="614" t="s">
        <v>972</v>
      </c>
      <c r="E16" s="613" t="s">
        <v>547</v>
      </c>
      <c r="F16" s="614" t="s">
        <v>975</v>
      </c>
      <c r="G16" s="613" t="s">
        <v>548</v>
      </c>
      <c r="H16" s="613" t="s">
        <v>585</v>
      </c>
      <c r="I16" s="613" t="s">
        <v>586</v>
      </c>
      <c r="J16" s="613" t="s">
        <v>587</v>
      </c>
      <c r="K16" s="613" t="s">
        <v>588</v>
      </c>
      <c r="L16" s="615">
        <v>65.957626094273763</v>
      </c>
      <c r="M16" s="615">
        <v>32</v>
      </c>
      <c r="N16" s="616">
        <v>2110.6440350167604</v>
      </c>
    </row>
    <row r="17" spans="1:14" ht="14.4" customHeight="1" x14ac:dyDescent="0.3">
      <c r="A17" s="611" t="s">
        <v>527</v>
      </c>
      <c r="B17" s="612" t="s">
        <v>528</v>
      </c>
      <c r="C17" s="613" t="s">
        <v>533</v>
      </c>
      <c r="D17" s="614" t="s">
        <v>972</v>
      </c>
      <c r="E17" s="613" t="s">
        <v>547</v>
      </c>
      <c r="F17" s="614" t="s">
        <v>975</v>
      </c>
      <c r="G17" s="613" t="s">
        <v>548</v>
      </c>
      <c r="H17" s="613" t="s">
        <v>589</v>
      </c>
      <c r="I17" s="613" t="s">
        <v>189</v>
      </c>
      <c r="J17" s="613" t="s">
        <v>590</v>
      </c>
      <c r="K17" s="613" t="s">
        <v>591</v>
      </c>
      <c r="L17" s="615">
        <v>23.700000000000003</v>
      </c>
      <c r="M17" s="615">
        <v>36</v>
      </c>
      <c r="N17" s="616">
        <v>853.2</v>
      </c>
    </row>
    <row r="18" spans="1:14" ht="14.4" customHeight="1" x14ac:dyDescent="0.3">
      <c r="A18" s="611" t="s">
        <v>527</v>
      </c>
      <c r="B18" s="612" t="s">
        <v>528</v>
      </c>
      <c r="C18" s="613" t="s">
        <v>533</v>
      </c>
      <c r="D18" s="614" t="s">
        <v>972</v>
      </c>
      <c r="E18" s="613" t="s">
        <v>547</v>
      </c>
      <c r="F18" s="614" t="s">
        <v>975</v>
      </c>
      <c r="G18" s="613" t="s">
        <v>548</v>
      </c>
      <c r="H18" s="613" t="s">
        <v>592</v>
      </c>
      <c r="I18" s="613" t="s">
        <v>189</v>
      </c>
      <c r="J18" s="613" t="s">
        <v>593</v>
      </c>
      <c r="K18" s="613" t="s">
        <v>594</v>
      </c>
      <c r="L18" s="615">
        <v>199.67000000000004</v>
      </c>
      <c r="M18" s="615">
        <v>1</v>
      </c>
      <c r="N18" s="616">
        <v>199.67000000000004</v>
      </c>
    </row>
    <row r="19" spans="1:14" ht="14.4" customHeight="1" x14ac:dyDescent="0.3">
      <c r="A19" s="611" t="s">
        <v>527</v>
      </c>
      <c r="B19" s="612" t="s">
        <v>528</v>
      </c>
      <c r="C19" s="613" t="s">
        <v>533</v>
      </c>
      <c r="D19" s="614" t="s">
        <v>972</v>
      </c>
      <c r="E19" s="613" t="s">
        <v>547</v>
      </c>
      <c r="F19" s="614" t="s">
        <v>975</v>
      </c>
      <c r="G19" s="613" t="s">
        <v>548</v>
      </c>
      <c r="H19" s="613" t="s">
        <v>595</v>
      </c>
      <c r="I19" s="613" t="s">
        <v>596</v>
      </c>
      <c r="J19" s="613" t="s">
        <v>597</v>
      </c>
      <c r="K19" s="613"/>
      <c r="L19" s="615">
        <v>221.08696568584332</v>
      </c>
      <c r="M19" s="615">
        <v>2</v>
      </c>
      <c r="N19" s="616">
        <v>442.17393137168665</v>
      </c>
    </row>
    <row r="20" spans="1:14" ht="14.4" customHeight="1" x14ac:dyDescent="0.3">
      <c r="A20" s="611" t="s">
        <v>527</v>
      </c>
      <c r="B20" s="612" t="s">
        <v>528</v>
      </c>
      <c r="C20" s="613" t="s">
        <v>533</v>
      </c>
      <c r="D20" s="614" t="s">
        <v>972</v>
      </c>
      <c r="E20" s="613" t="s">
        <v>547</v>
      </c>
      <c r="F20" s="614" t="s">
        <v>975</v>
      </c>
      <c r="G20" s="613" t="s">
        <v>548</v>
      </c>
      <c r="H20" s="613" t="s">
        <v>598</v>
      </c>
      <c r="I20" s="613" t="s">
        <v>189</v>
      </c>
      <c r="J20" s="613" t="s">
        <v>599</v>
      </c>
      <c r="K20" s="613"/>
      <c r="L20" s="615">
        <v>81.212494121157007</v>
      </c>
      <c r="M20" s="615">
        <v>12</v>
      </c>
      <c r="N20" s="616">
        <v>974.54992945388403</v>
      </c>
    </row>
    <row r="21" spans="1:14" ht="14.4" customHeight="1" x14ac:dyDescent="0.3">
      <c r="A21" s="611" t="s">
        <v>527</v>
      </c>
      <c r="B21" s="612" t="s">
        <v>528</v>
      </c>
      <c r="C21" s="613" t="s">
        <v>533</v>
      </c>
      <c r="D21" s="614" t="s">
        <v>972</v>
      </c>
      <c r="E21" s="613" t="s">
        <v>547</v>
      </c>
      <c r="F21" s="614" t="s">
        <v>975</v>
      </c>
      <c r="G21" s="613" t="s">
        <v>548</v>
      </c>
      <c r="H21" s="613" t="s">
        <v>600</v>
      </c>
      <c r="I21" s="613" t="s">
        <v>189</v>
      </c>
      <c r="J21" s="613" t="s">
        <v>601</v>
      </c>
      <c r="K21" s="613"/>
      <c r="L21" s="615">
        <v>55.045682158805064</v>
      </c>
      <c r="M21" s="615">
        <v>15</v>
      </c>
      <c r="N21" s="616">
        <v>825.68523238207592</v>
      </c>
    </row>
    <row r="22" spans="1:14" ht="14.4" customHeight="1" x14ac:dyDescent="0.3">
      <c r="A22" s="611" t="s">
        <v>527</v>
      </c>
      <c r="B22" s="612" t="s">
        <v>528</v>
      </c>
      <c r="C22" s="613" t="s">
        <v>533</v>
      </c>
      <c r="D22" s="614" t="s">
        <v>972</v>
      </c>
      <c r="E22" s="613" t="s">
        <v>547</v>
      </c>
      <c r="F22" s="614" t="s">
        <v>975</v>
      </c>
      <c r="G22" s="613" t="s">
        <v>548</v>
      </c>
      <c r="H22" s="613" t="s">
        <v>602</v>
      </c>
      <c r="I22" s="613" t="s">
        <v>189</v>
      </c>
      <c r="J22" s="613" t="s">
        <v>603</v>
      </c>
      <c r="K22" s="613"/>
      <c r="L22" s="615">
        <v>77.385477517464707</v>
      </c>
      <c r="M22" s="615">
        <v>42</v>
      </c>
      <c r="N22" s="616">
        <v>3250.1900557335175</v>
      </c>
    </row>
    <row r="23" spans="1:14" ht="14.4" customHeight="1" x14ac:dyDescent="0.3">
      <c r="A23" s="611" t="s">
        <v>527</v>
      </c>
      <c r="B23" s="612" t="s">
        <v>528</v>
      </c>
      <c r="C23" s="613" t="s">
        <v>533</v>
      </c>
      <c r="D23" s="614" t="s">
        <v>972</v>
      </c>
      <c r="E23" s="613" t="s">
        <v>547</v>
      </c>
      <c r="F23" s="614" t="s">
        <v>975</v>
      </c>
      <c r="G23" s="613" t="s">
        <v>548</v>
      </c>
      <c r="H23" s="613" t="s">
        <v>604</v>
      </c>
      <c r="I23" s="613" t="s">
        <v>189</v>
      </c>
      <c r="J23" s="613" t="s">
        <v>605</v>
      </c>
      <c r="K23" s="613"/>
      <c r="L23" s="615">
        <v>46.685494847976123</v>
      </c>
      <c r="M23" s="615">
        <v>155</v>
      </c>
      <c r="N23" s="616">
        <v>7236.2517014362993</v>
      </c>
    </row>
    <row r="24" spans="1:14" ht="14.4" customHeight="1" x14ac:dyDescent="0.3">
      <c r="A24" s="611" t="s">
        <v>527</v>
      </c>
      <c r="B24" s="612" t="s">
        <v>528</v>
      </c>
      <c r="C24" s="613" t="s">
        <v>533</v>
      </c>
      <c r="D24" s="614" t="s">
        <v>972</v>
      </c>
      <c r="E24" s="613" t="s">
        <v>547</v>
      </c>
      <c r="F24" s="614" t="s">
        <v>975</v>
      </c>
      <c r="G24" s="613" t="s">
        <v>548</v>
      </c>
      <c r="H24" s="613" t="s">
        <v>606</v>
      </c>
      <c r="I24" s="613" t="s">
        <v>189</v>
      </c>
      <c r="J24" s="613" t="s">
        <v>607</v>
      </c>
      <c r="K24" s="613"/>
      <c r="L24" s="615">
        <v>39.954897883512729</v>
      </c>
      <c r="M24" s="615">
        <v>2</v>
      </c>
      <c r="N24" s="616">
        <v>79.909795767025457</v>
      </c>
    </row>
    <row r="25" spans="1:14" ht="14.4" customHeight="1" x14ac:dyDescent="0.3">
      <c r="A25" s="611" t="s">
        <v>527</v>
      </c>
      <c r="B25" s="612" t="s">
        <v>528</v>
      </c>
      <c r="C25" s="613" t="s">
        <v>533</v>
      </c>
      <c r="D25" s="614" t="s">
        <v>972</v>
      </c>
      <c r="E25" s="613" t="s">
        <v>547</v>
      </c>
      <c r="F25" s="614" t="s">
        <v>975</v>
      </c>
      <c r="G25" s="613" t="s">
        <v>548</v>
      </c>
      <c r="H25" s="613" t="s">
        <v>608</v>
      </c>
      <c r="I25" s="613" t="s">
        <v>189</v>
      </c>
      <c r="J25" s="613" t="s">
        <v>609</v>
      </c>
      <c r="K25" s="613"/>
      <c r="L25" s="615">
        <v>152.9981719577421</v>
      </c>
      <c r="M25" s="615">
        <v>1</v>
      </c>
      <c r="N25" s="616">
        <v>152.9981719577421</v>
      </c>
    </row>
    <row r="26" spans="1:14" ht="14.4" customHeight="1" x14ac:dyDescent="0.3">
      <c r="A26" s="611" t="s">
        <v>527</v>
      </c>
      <c r="B26" s="612" t="s">
        <v>528</v>
      </c>
      <c r="C26" s="613" t="s">
        <v>533</v>
      </c>
      <c r="D26" s="614" t="s">
        <v>972</v>
      </c>
      <c r="E26" s="613" t="s">
        <v>547</v>
      </c>
      <c r="F26" s="614" t="s">
        <v>975</v>
      </c>
      <c r="G26" s="613" t="s">
        <v>548</v>
      </c>
      <c r="H26" s="613" t="s">
        <v>610</v>
      </c>
      <c r="I26" s="613" t="s">
        <v>610</v>
      </c>
      <c r="J26" s="613" t="s">
        <v>611</v>
      </c>
      <c r="K26" s="613" t="s">
        <v>612</v>
      </c>
      <c r="L26" s="615">
        <v>57.88904462478412</v>
      </c>
      <c r="M26" s="615">
        <v>120</v>
      </c>
      <c r="N26" s="616">
        <v>6946.6853549740945</v>
      </c>
    </row>
    <row r="27" spans="1:14" ht="14.4" customHeight="1" x14ac:dyDescent="0.3">
      <c r="A27" s="611" t="s">
        <v>527</v>
      </c>
      <c r="B27" s="612" t="s">
        <v>528</v>
      </c>
      <c r="C27" s="613" t="s">
        <v>533</v>
      </c>
      <c r="D27" s="614" t="s">
        <v>972</v>
      </c>
      <c r="E27" s="613" t="s">
        <v>547</v>
      </c>
      <c r="F27" s="614" t="s">
        <v>975</v>
      </c>
      <c r="G27" s="613" t="s">
        <v>548</v>
      </c>
      <c r="H27" s="613" t="s">
        <v>613</v>
      </c>
      <c r="I27" s="613" t="s">
        <v>189</v>
      </c>
      <c r="J27" s="613" t="s">
        <v>614</v>
      </c>
      <c r="K27" s="613"/>
      <c r="L27" s="615">
        <v>37.700000000000003</v>
      </c>
      <c r="M27" s="615">
        <v>1</v>
      </c>
      <c r="N27" s="616">
        <v>37.700000000000003</v>
      </c>
    </row>
    <row r="28" spans="1:14" ht="14.4" customHeight="1" x14ac:dyDescent="0.3">
      <c r="A28" s="611" t="s">
        <v>527</v>
      </c>
      <c r="B28" s="612" t="s">
        <v>528</v>
      </c>
      <c r="C28" s="613" t="s">
        <v>533</v>
      </c>
      <c r="D28" s="614" t="s">
        <v>972</v>
      </c>
      <c r="E28" s="613" t="s">
        <v>547</v>
      </c>
      <c r="F28" s="614" t="s">
        <v>975</v>
      </c>
      <c r="G28" s="613" t="s">
        <v>548</v>
      </c>
      <c r="H28" s="613" t="s">
        <v>615</v>
      </c>
      <c r="I28" s="613" t="s">
        <v>189</v>
      </c>
      <c r="J28" s="613" t="s">
        <v>616</v>
      </c>
      <c r="K28" s="613"/>
      <c r="L28" s="615">
        <v>154.2358038870135</v>
      </c>
      <c r="M28" s="615">
        <v>11</v>
      </c>
      <c r="N28" s="616">
        <v>1696.5938427571486</v>
      </c>
    </row>
    <row r="29" spans="1:14" ht="14.4" customHeight="1" x14ac:dyDescent="0.3">
      <c r="A29" s="611" t="s">
        <v>527</v>
      </c>
      <c r="B29" s="612" t="s">
        <v>528</v>
      </c>
      <c r="C29" s="613" t="s">
        <v>533</v>
      </c>
      <c r="D29" s="614" t="s">
        <v>972</v>
      </c>
      <c r="E29" s="613" t="s">
        <v>547</v>
      </c>
      <c r="F29" s="614" t="s">
        <v>975</v>
      </c>
      <c r="G29" s="613" t="s">
        <v>548</v>
      </c>
      <c r="H29" s="613" t="s">
        <v>617</v>
      </c>
      <c r="I29" s="613" t="s">
        <v>617</v>
      </c>
      <c r="J29" s="613" t="s">
        <v>618</v>
      </c>
      <c r="K29" s="613" t="s">
        <v>619</v>
      </c>
      <c r="L29" s="615">
        <v>48.679856661472556</v>
      </c>
      <c r="M29" s="615">
        <v>2</v>
      </c>
      <c r="N29" s="616">
        <v>97.359713322945112</v>
      </c>
    </row>
    <row r="30" spans="1:14" ht="14.4" customHeight="1" x14ac:dyDescent="0.3">
      <c r="A30" s="611" t="s">
        <v>527</v>
      </c>
      <c r="B30" s="612" t="s">
        <v>528</v>
      </c>
      <c r="C30" s="613" t="s">
        <v>533</v>
      </c>
      <c r="D30" s="614" t="s">
        <v>972</v>
      </c>
      <c r="E30" s="613" t="s">
        <v>620</v>
      </c>
      <c r="F30" s="614" t="s">
        <v>976</v>
      </c>
      <c r="G30" s="613" t="s">
        <v>548</v>
      </c>
      <c r="H30" s="613" t="s">
        <v>621</v>
      </c>
      <c r="I30" s="613" t="s">
        <v>622</v>
      </c>
      <c r="J30" s="613" t="s">
        <v>623</v>
      </c>
      <c r="K30" s="613" t="s">
        <v>624</v>
      </c>
      <c r="L30" s="615">
        <v>40.25</v>
      </c>
      <c r="M30" s="615">
        <v>2</v>
      </c>
      <c r="N30" s="616">
        <v>80.5</v>
      </c>
    </row>
    <row r="31" spans="1:14" ht="14.4" customHeight="1" x14ac:dyDescent="0.3">
      <c r="A31" s="611" t="s">
        <v>527</v>
      </c>
      <c r="B31" s="612" t="s">
        <v>528</v>
      </c>
      <c r="C31" s="613" t="s">
        <v>533</v>
      </c>
      <c r="D31" s="614" t="s">
        <v>972</v>
      </c>
      <c r="E31" s="613" t="s">
        <v>620</v>
      </c>
      <c r="F31" s="614" t="s">
        <v>976</v>
      </c>
      <c r="G31" s="613" t="s">
        <v>548</v>
      </c>
      <c r="H31" s="613" t="s">
        <v>625</v>
      </c>
      <c r="I31" s="613" t="s">
        <v>626</v>
      </c>
      <c r="J31" s="613" t="s">
        <v>627</v>
      </c>
      <c r="K31" s="613" t="s">
        <v>628</v>
      </c>
      <c r="L31" s="615">
        <v>82.969652567896787</v>
      </c>
      <c r="M31" s="615">
        <v>1</v>
      </c>
      <c r="N31" s="616">
        <v>82.969652567896787</v>
      </c>
    </row>
    <row r="32" spans="1:14" ht="14.4" customHeight="1" x14ac:dyDescent="0.3">
      <c r="A32" s="611" t="s">
        <v>527</v>
      </c>
      <c r="B32" s="612" t="s">
        <v>528</v>
      </c>
      <c r="C32" s="613" t="s">
        <v>533</v>
      </c>
      <c r="D32" s="614" t="s">
        <v>972</v>
      </c>
      <c r="E32" s="613" t="s">
        <v>620</v>
      </c>
      <c r="F32" s="614" t="s">
        <v>976</v>
      </c>
      <c r="G32" s="613" t="s">
        <v>548</v>
      </c>
      <c r="H32" s="613" t="s">
        <v>629</v>
      </c>
      <c r="I32" s="613" t="s">
        <v>630</v>
      </c>
      <c r="J32" s="613" t="s">
        <v>631</v>
      </c>
      <c r="K32" s="613" t="s">
        <v>632</v>
      </c>
      <c r="L32" s="615">
        <v>49.176828413261624</v>
      </c>
      <c r="M32" s="615">
        <v>19</v>
      </c>
      <c r="N32" s="616">
        <v>934.35973985197086</v>
      </c>
    </row>
    <row r="33" spans="1:14" ht="14.4" customHeight="1" x14ac:dyDescent="0.3">
      <c r="A33" s="611" t="s">
        <v>527</v>
      </c>
      <c r="B33" s="612" t="s">
        <v>528</v>
      </c>
      <c r="C33" s="613" t="s">
        <v>533</v>
      </c>
      <c r="D33" s="614" t="s">
        <v>972</v>
      </c>
      <c r="E33" s="613" t="s">
        <v>620</v>
      </c>
      <c r="F33" s="614" t="s">
        <v>976</v>
      </c>
      <c r="G33" s="613" t="s">
        <v>633</v>
      </c>
      <c r="H33" s="613" t="s">
        <v>634</v>
      </c>
      <c r="I33" s="613" t="s">
        <v>635</v>
      </c>
      <c r="J33" s="613" t="s">
        <v>636</v>
      </c>
      <c r="K33" s="613" t="s">
        <v>637</v>
      </c>
      <c r="L33" s="615">
        <v>141.51507779829126</v>
      </c>
      <c r="M33" s="615">
        <v>6</v>
      </c>
      <c r="N33" s="616">
        <v>849.09046678974755</v>
      </c>
    </row>
    <row r="34" spans="1:14" ht="14.4" customHeight="1" x14ac:dyDescent="0.3">
      <c r="A34" s="611" t="s">
        <v>527</v>
      </c>
      <c r="B34" s="612" t="s">
        <v>528</v>
      </c>
      <c r="C34" s="613" t="s">
        <v>533</v>
      </c>
      <c r="D34" s="614" t="s">
        <v>972</v>
      </c>
      <c r="E34" s="613" t="s">
        <v>620</v>
      </c>
      <c r="F34" s="614" t="s">
        <v>976</v>
      </c>
      <c r="G34" s="613" t="s">
        <v>633</v>
      </c>
      <c r="H34" s="613" t="s">
        <v>638</v>
      </c>
      <c r="I34" s="613" t="s">
        <v>639</v>
      </c>
      <c r="J34" s="613" t="s">
        <v>640</v>
      </c>
      <c r="K34" s="613" t="s">
        <v>641</v>
      </c>
      <c r="L34" s="615">
        <v>63.34</v>
      </c>
      <c r="M34" s="615">
        <v>2</v>
      </c>
      <c r="N34" s="616">
        <v>126.68</v>
      </c>
    </row>
    <row r="35" spans="1:14" ht="14.4" customHeight="1" x14ac:dyDescent="0.3">
      <c r="A35" s="611" t="s">
        <v>527</v>
      </c>
      <c r="B35" s="612" t="s">
        <v>528</v>
      </c>
      <c r="C35" s="613" t="s">
        <v>533</v>
      </c>
      <c r="D35" s="614" t="s">
        <v>972</v>
      </c>
      <c r="E35" s="613" t="s">
        <v>642</v>
      </c>
      <c r="F35" s="614" t="s">
        <v>977</v>
      </c>
      <c r="G35" s="613" t="s">
        <v>548</v>
      </c>
      <c r="H35" s="613" t="s">
        <v>643</v>
      </c>
      <c r="I35" s="613" t="s">
        <v>644</v>
      </c>
      <c r="J35" s="613" t="s">
        <v>645</v>
      </c>
      <c r="K35" s="613" t="s">
        <v>646</v>
      </c>
      <c r="L35" s="615">
        <v>94.899373595964889</v>
      </c>
      <c r="M35" s="615">
        <v>1</v>
      </c>
      <c r="N35" s="616">
        <v>94.899373595964889</v>
      </c>
    </row>
    <row r="36" spans="1:14" ht="14.4" customHeight="1" x14ac:dyDescent="0.3">
      <c r="A36" s="611" t="s">
        <v>527</v>
      </c>
      <c r="B36" s="612" t="s">
        <v>528</v>
      </c>
      <c r="C36" s="613" t="s">
        <v>533</v>
      </c>
      <c r="D36" s="614" t="s">
        <v>972</v>
      </c>
      <c r="E36" s="613" t="s">
        <v>642</v>
      </c>
      <c r="F36" s="614" t="s">
        <v>977</v>
      </c>
      <c r="G36" s="613" t="s">
        <v>548</v>
      </c>
      <c r="H36" s="613" t="s">
        <v>647</v>
      </c>
      <c r="I36" s="613" t="s">
        <v>648</v>
      </c>
      <c r="J36" s="613" t="s">
        <v>649</v>
      </c>
      <c r="K36" s="613" t="s">
        <v>650</v>
      </c>
      <c r="L36" s="615">
        <v>93.259464854643795</v>
      </c>
      <c r="M36" s="615">
        <v>6</v>
      </c>
      <c r="N36" s="616">
        <v>559.55678912786277</v>
      </c>
    </row>
    <row r="37" spans="1:14" ht="14.4" customHeight="1" x14ac:dyDescent="0.3">
      <c r="A37" s="611" t="s">
        <v>527</v>
      </c>
      <c r="B37" s="612" t="s">
        <v>528</v>
      </c>
      <c r="C37" s="613" t="s">
        <v>533</v>
      </c>
      <c r="D37" s="614" t="s">
        <v>972</v>
      </c>
      <c r="E37" s="613" t="s">
        <v>642</v>
      </c>
      <c r="F37" s="614" t="s">
        <v>977</v>
      </c>
      <c r="G37" s="613" t="s">
        <v>548</v>
      </c>
      <c r="H37" s="613" t="s">
        <v>651</v>
      </c>
      <c r="I37" s="613" t="s">
        <v>652</v>
      </c>
      <c r="J37" s="613" t="s">
        <v>653</v>
      </c>
      <c r="K37" s="613" t="s">
        <v>654</v>
      </c>
      <c r="L37" s="615">
        <v>85.400000000000063</v>
      </c>
      <c r="M37" s="615">
        <v>1</v>
      </c>
      <c r="N37" s="616">
        <v>85.400000000000063</v>
      </c>
    </row>
    <row r="38" spans="1:14" ht="14.4" customHeight="1" x14ac:dyDescent="0.3">
      <c r="A38" s="611" t="s">
        <v>527</v>
      </c>
      <c r="B38" s="612" t="s">
        <v>528</v>
      </c>
      <c r="C38" s="613" t="s">
        <v>538</v>
      </c>
      <c r="D38" s="614" t="s">
        <v>973</v>
      </c>
      <c r="E38" s="613" t="s">
        <v>547</v>
      </c>
      <c r="F38" s="614" t="s">
        <v>975</v>
      </c>
      <c r="G38" s="613" t="s">
        <v>548</v>
      </c>
      <c r="H38" s="613" t="s">
        <v>549</v>
      </c>
      <c r="I38" s="613" t="s">
        <v>549</v>
      </c>
      <c r="J38" s="613" t="s">
        <v>550</v>
      </c>
      <c r="K38" s="613" t="s">
        <v>551</v>
      </c>
      <c r="L38" s="615">
        <v>171.6</v>
      </c>
      <c r="M38" s="615">
        <v>3</v>
      </c>
      <c r="N38" s="616">
        <v>514.79999999999995</v>
      </c>
    </row>
    <row r="39" spans="1:14" ht="14.4" customHeight="1" x14ac:dyDescent="0.3">
      <c r="A39" s="611" t="s">
        <v>527</v>
      </c>
      <c r="B39" s="612" t="s">
        <v>528</v>
      </c>
      <c r="C39" s="613" t="s">
        <v>538</v>
      </c>
      <c r="D39" s="614" t="s">
        <v>973</v>
      </c>
      <c r="E39" s="613" t="s">
        <v>547</v>
      </c>
      <c r="F39" s="614" t="s">
        <v>975</v>
      </c>
      <c r="G39" s="613" t="s">
        <v>548</v>
      </c>
      <c r="H39" s="613" t="s">
        <v>655</v>
      </c>
      <c r="I39" s="613" t="s">
        <v>655</v>
      </c>
      <c r="J39" s="613" t="s">
        <v>656</v>
      </c>
      <c r="K39" s="613" t="s">
        <v>657</v>
      </c>
      <c r="L39" s="615">
        <v>224.72499999999999</v>
      </c>
      <c r="M39" s="615">
        <v>4</v>
      </c>
      <c r="N39" s="616">
        <v>898.9</v>
      </c>
    </row>
    <row r="40" spans="1:14" ht="14.4" customHeight="1" x14ac:dyDescent="0.3">
      <c r="A40" s="611" t="s">
        <v>527</v>
      </c>
      <c r="B40" s="612" t="s">
        <v>528</v>
      </c>
      <c r="C40" s="613" t="s">
        <v>538</v>
      </c>
      <c r="D40" s="614" t="s">
        <v>973</v>
      </c>
      <c r="E40" s="613" t="s">
        <v>547</v>
      </c>
      <c r="F40" s="614" t="s">
        <v>975</v>
      </c>
      <c r="G40" s="613" t="s">
        <v>548</v>
      </c>
      <c r="H40" s="613" t="s">
        <v>552</v>
      </c>
      <c r="I40" s="613" t="s">
        <v>553</v>
      </c>
      <c r="J40" s="613" t="s">
        <v>554</v>
      </c>
      <c r="K40" s="613" t="s">
        <v>555</v>
      </c>
      <c r="L40" s="615">
        <v>79.37</v>
      </c>
      <c r="M40" s="615">
        <v>1</v>
      </c>
      <c r="N40" s="616">
        <v>79.37</v>
      </c>
    </row>
    <row r="41" spans="1:14" ht="14.4" customHeight="1" x14ac:dyDescent="0.3">
      <c r="A41" s="611" t="s">
        <v>527</v>
      </c>
      <c r="B41" s="612" t="s">
        <v>528</v>
      </c>
      <c r="C41" s="613" t="s">
        <v>538</v>
      </c>
      <c r="D41" s="614" t="s">
        <v>973</v>
      </c>
      <c r="E41" s="613" t="s">
        <v>547</v>
      </c>
      <c r="F41" s="614" t="s">
        <v>975</v>
      </c>
      <c r="G41" s="613" t="s">
        <v>548</v>
      </c>
      <c r="H41" s="613" t="s">
        <v>658</v>
      </c>
      <c r="I41" s="613" t="s">
        <v>659</v>
      </c>
      <c r="J41" s="613" t="s">
        <v>660</v>
      </c>
      <c r="K41" s="613" t="s">
        <v>661</v>
      </c>
      <c r="L41" s="615">
        <v>66.634416949311571</v>
      </c>
      <c r="M41" s="615">
        <v>2</v>
      </c>
      <c r="N41" s="616">
        <v>133.26883389862314</v>
      </c>
    </row>
    <row r="42" spans="1:14" ht="14.4" customHeight="1" x14ac:dyDescent="0.3">
      <c r="A42" s="611" t="s">
        <v>527</v>
      </c>
      <c r="B42" s="612" t="s">
        <v>528</v>
      </c>
      <c r="C42" s="613" t="s">
        <v>538</v>
      </c>
      <c r="D42" s="614" t="s">
        <v>973</v>
      </c>
      <c r="E42" s="613" t="s">
        <v>547</v>
      </c>
      <c r="F42" s="614" t="s">
        <v>975</v>
      </c>
      <c r="G42" s="613" t="s">
        <v>548</v>
      </c>
      <c r="H42" s="613" t="s">
        <v>556</v>
      </c>
      <c r="I42" s="613" t="s">
        <v>557</v>
      </c>
      <c r="J42" s="613" t="s">
        <v>558</v>
      </c>
      <c r="K42" s="613" t="s">
        <v>559</v>
      </c>
      <c r="L42" s="615">
        <v>39.049999999999983</v>
      </c>
      <c r="M42" s="615">
        <v>2</v>
      </c>
      <c r="N42" s="616">
        <v>78.099999999999966</v>
      </c>
    </row>
    <row r="43" spans="1:14" ht="14.4" customHeight="1" x14ac:dyDescent="0.3">
      <c r="A43" s="611" t="s">
        <v>527</v>
      </c>
      <c r="B43" s="612" t="s">
        <v>528</v>
      </c>
      <c r="C43" s="613" t="s">
        <v>538</v>
      </c>
      <c r="D43" s="614" t="s">
        <v>973</v>
      </c>
      <c r="E43" s="613" t="s">
        <v>547</v>
      </c>
      <c r="F43" s="614" t="s">
        <v>975</v>
      </c>
      <c r="G43" s="613" t="s">
        <v>548</v>
      </c>
      <c r="H43" s="613" t="s">
        <v>662</v>
      </c>
      <c r="I43" s="613" t="s">
        <v>663</v>
      </c>
      <c r="J43" s="613" t="s">
        <v>664</v>
      </c>
      <c r="K43" s="613" t="s">
        <v>665</v>
      </c>
      <c r="L43" s="615">
        <v>149.25</v>
      </c>
      <c r="M43" s="615">
        <v>1</v>
      </c>
      <c r="N43" s="616">
        <v>149.25</v>
      </c>
    </row>
    <row r="44" spans="1:14" ht="14.4" customHeight="1" x14ac:dyDescent="0.3">
      <c r="A44" s="611" t="s">
        <v>527</v>
      </c>
      <c r="B44" s="612" t="s">
        <v>528</v>
      </c>
      <c r="C44" s="613" t="s">
        <v>538</v>
      </c>
      <c r="D44" s="614" t="s">
        <v>973</v>
      </c>
      <c r="E44" s="613" t="s">
        <v>547</v>
      </c>
      <c r="F44" s="614" t="s">
        <v>975</v>
      </c>
      <c r="G44" s="613" t="s">
        <v>548</v>
      </c>
      <c r="H44" s="613" t="s">
        <v>560</v>
      </c>
      <c r="I44" s="613" t="s">
        <v>189</v>
      </c>
      <c r="J44" s="613" t="s">
        <v>561</v>
      </c>
      <c r="K44" s="613"/>
      <c r="L44" s="615">
        <v>97.320510613024624</v>
      </c>
      <c r="M44" s="615">
        <v>3</v>
      </c>
      <c r="N44" s="616">
        <v>291.96153183907387</v>
      </c>
    </row>
    <row r="45" spans="1:14" ht="14.4" customHeight="1" x14ac:dyDescent="0.3">
      <c r="A45" s="611" t="s">
        <v>527</v>
      </c>
      <c r="B45" s="612" t="s">
        <v>528</v>
      </c>
      <c r="C45" s="613" t="s">
        <v>538</v>
      </c>
      <c r="D45" s="614" t="s">
        <v>973</v>
      </c>
      <c r="E45" s="613" t="s">
        <v>547</v>
      </c>
      <c r="F45" s="614" t="s">
        <v>975</v>
      </c>
      <c r="G45" s="613" t="s">
        <v>548</v>
      </c>
      <c r="H45" s="613" t="s">
        <v>562</v>
      </c>
      <c r="I45" s="613" t="s">
        <v>563</v>
      </c>
      <c r="J45" s="613" t="s">
        <v>564</v>
      </c>
      <c r="K45" s="613" t="s">
        <v>565</v>
      </c>
      <c r="L45" s="615">
        <v>40.669999999999987</v>
      </c>
      <c r="M45" s="615">
        <v>1</v>
      </c>
      <c r="N45" s="616">
        <v>40.669999999999987</v>
      </c>
    </row>
    <row r="46" spans="1:14" ht="14.4" customHeight="1" x14ac:dyDescent="0.3">
      <c r="A46" s="611" t="s">
        <v>527</v>
      </c>
      <c r="B46" s="612" t="s">
        <v>528</v>
      </c>
      <c r="C46" s="613" t="s">
        <v>538</v>
      </c>
      <c r="D46" s="614" t="s">
        <v>973</v>
      </c>
      <c r="E46" s="613" t="s">
        <v>547</v>
      </c>
      <c r="F46" s="614" t="s">
        <v>975</v>
      </c>
      <c r="G46" s="613" t="s">
        <v>548</v>
      </c>
      <c r="H46" s="613" t="s">
        <v>566</v>
      </c>
      <c r="I46" s="613" t="s">
        <v>567</v>
      </c>
      <c r="J46" s="613" t="s">
        <v>568</v>
      </c>
      <c r="K46" s="613" t="s">
        <v>569</v>
      </c>
      <c r="L46" s="615">
        <v>208.69066666666669</v>
      </c>
      <c r="M46" s="615">
        <v>1</v>
      </c>
      <c r="N46" s="616">
        <v>208.69066666666669</v>
      </c>
    </row>
    <row r="47" spans="1:14" ht="14.4" customHeight="1" x14ac:dyDescent="0.3">
      <c r="A47" s="611" t="s">
        <v>527</v>
      </c>
      <c r="B47" s="612" t="s">
        <v>528</v>
      </c>
      <c r="C47" s="613" t="s">
        <v>538</v>
      </c>
      <c r="D47" s="614" t="s">
        <v>973</v>
      </c>
      <c r="E47" s="613" t="s">
        <v>547</v>
      </c>
      <c r="F47" s="614" t="s">
        <v>975</v>
      </c>
      <c r="G47" s="613" t="s">
        <v>548</v>
      </c>
      <c r="H47" s="613" t="s">
        <v>570</v>
      </c>
      <c r="I47" s="613" t="s">
        <v>189</v>
      </c>
      <c r="J47" s="613" t="s">
        <v>571</v>
      </c>
      <c r="K47" s="613"/>
      <c r="L47" s="615">
        <v>35.651808570489784</v>
      </c>
      <c r="M47" s="615">
        <v>48</v>
      </c>
      <c r="N47" s="616">
        <v>1711.2868113835098</v>
      </c>
    </row>
    <row r="48" spans="1:14" ht="14.4" customHeight="1" x14ac:dyDescent="0.3">
      <c r="A48" s="611" t="s">
        <v>527</v>
      </c>
      <c r="B48" s="612" t="s">
        <v>528</v>
      </c>
      <c r="C48" s="613" t="s">
        <v>538</v>
      </c>
      <c r="D48" s="614" t="s">
        <v>973</v>
      </c>
      <c r="E48" s="613" t="s">
        <v>547</v>
      </c>
      <c r="F48" s="614" t="s">
        <v>975</v>
      </c>
      <c r="G48" s="613" t="s">
        <v>548</v>
      </c>
      <c r="H48" s="613" t="s">
        <v>582</v>
      </c>
      <c r="I48" s="613" t="s">
        <v>582</v>
      </c>
      <c r="J48" s="613" t="s">
        <v>583</v>
      </c>
      <c r="K48" s="613" t="s">
        <v>584</v>
      </c>
      <c r="L48" s="615">
        <v>75.519992178545806</v>
      </c>
      <c r="M48" s="615">
        <v>17</v>
      </c>
      <c r="N48" s="616">
        <v>1283.8398670352788</v>
      </c>
    </row>
    <row r="49" spans="1:14" ht="14.4" customHeight="1" x14ac:dyDescent="0.3">
      <c r="A49" s="611" t="s">
        <v>527</v>
      </c>
      <c r="B49" s="612" t="s">
        <v>528</v>
      </c>
      <c r="C49" s="613" t="s">
        <v>538</v>
      </c>
      <c r="D49" s="614" t="s">
        <v>973</v>
      </c>
      <c r="E49" s="613" t="s">
        <v>547</v>
      </c>
      <c r="F49" s="614" t="s">
        <v>975</v>
      </c>
      <c r="G49" s="613" t="s">
        <v>548</v>
      </c>
      <c r="H49" s="613" t="s">
        <v>585</v>
      </c>
      <c r="I49" s="613" t="s">
        <v>586</v>
      </c>
      <c r="J49" s="613" t="s">
        <v>587</v>
      </c>
      <c r="K49" s="613" t="s">
        <v>588</v>
      </c>
      <c r="L49" s="615">
        <v>66.241211097944728</v>
      </c>
      <c r="M49" s="615">
        <v>18</v>
      </c>
      <c r="N49" s="616">
        <v>1192.3417997630052</v>
      </c>
    </row>
    <row r="50" spans="1:14" ht="14.4" customHeight="1" x14ac:dyDescent="0.3">
      <c r="A50" s="611" t="s">
        <v>527</v>
      </c>
      <c r="B50" s="612" t="s">
        <v>528</v>
      </c>
      <c r="C50" s="613" t="s">
        <v>538</v>
      </c>
      <c r="D50" s="614" t="s">
        <v>973</v>
      </c>
      <c r="E50" s="613" t="s">
        <v>547</v>
      </c>
      <c r="F50" s="614" t="s">
        <v>975</v>
      </c>
      <c r="G50" s="613" t="s">
        <v>548</v>
      </c>
      <c r="H50" s="613" t="s">
        <v>589</v>
      </c>
      <c r="I50" s="613" t="s">
        <v>189</v>
      </c>
      <c r="J50" s="613" t="s">
        <v>590</v>
      </c>
      <c r="K50" s="613" t="s">
        <v>591</v>
      </c>
      <c r="L50" s="615">
        <v>23.7</v>
      </c>
      <c r="M50" s="615">
        <v>126</v>
      </c>
      <c r="N50" s="616">
        <v>2986.2</v>
      </c>
    </row>
    <row r="51" spans="1:14" ht="14.4" customHeight="1" x14ac:dyDescent="0.3">
      <c r="A51" s="611" t="s">
        <v>527</v>
      </c>
      <c r="B51" s="612" t="s">
        <v>528</v>
      </c>
      <c r="C51" s="613" t="s">
        <v>538</v>
      </c>
      <c r="D51" s="614" t="s">
        <v>973</v>
      </c>
      <c r="E51" s="613" t="s">
        <v>547</v>
      </c>
      <c r="F51" s="614" t="s">
        <v>975</v>
      </c>
      <c r="G51" s="613" t="s">
        <v>548</v>
      </c>
      <c r="H51" s="613" t="s">
        <v>666</v>
      </c>
      <c r="I51" s="613" t="s">
        <v>667</v>
      </c>
      <c r="J51" s="613" t="s">
        <v>668</v>
      </c>
      <c r="K51" s="613" t="s">
        <v>669</v>
      </c>
      <c r="L51" s="615">
        <v>33.889659760659924</v>
      </c>
      <c r="M51" s="615">
        <v>1</v>
      </c>
      <c r="N51" s="616">
        <v>33.889659760659924</v>
      </c>
    </row>
    <row r="52" spans="1:14" ht="14.4" customHeight="1" x14ac:dyDescent="0.3">
      <c r="A52" s="611" t="s">
        <v>527</v>
      </c>
      <c r="B52" s="612" t="s">
        <v>528</v>
      </c>
      <c r="C52" s="613" t="s">
        <v>538</v>
      </c>
      <c r="D52" s="614" t="s">
        <v>973</v>
      </c>
      <c r="E52" s="613" t="s">
        <v>547</v>
      </c>
      <c r="F52" s="614" t="s">
        <v>975</v>
      </c>
      <c r="G52" s="613" t="s">
        <v>548</v>
      </c>
      <c r="H52" s="613" t="s">
        <v>592</v>
      </c>
      <c r="I52" s="613" t="s">
        <v>189</v>
      </c>
      <c r="J52" s="613" t="s">
        <v>593</v>
      </c>
      <c r="K52" s="613" t="s">
        <v>594</v>
      </c>
      <c r="L52" s="615">
        <v>199.67000000000004</v>
      </c>
      <c r="M52" s="615">
        <v>4</v>
      </c>
      <c r="N52" s="616">
        <v>798.68000000000018</v>
      </c>
    </row>
    <row r="53" spans="1:14" ht="14.4" customHeight="1" x14ac:dyDescent="0.3">
      <c r="A53" s="611" t="s">
        <v>527</v>
      </c>
      <c r="B53" s="612" t="s">
        <v>528</v>
      </c>
      <c r="C53" s="613" t="s">
        <v>538</v>
      </c>
      <c r="D53" s="614" t="s">
        <v>973</v>
      </c>
      <c r="E53" s="613" t="s">
        <v>547</v>
      </c>
      <c r="F53" s="614" t="s">
        <v>975</v>
      </c>
      <c r="G53" s="613" t="s">
        <v>548</v>
      </c>
      <c r="H53" s="613" t="s">
        <v>670</v>
      </c>
      <c r="I53" s="613" t="s">
        <v>671</v>
      </c>
      <c r="J53" s="613" t="s">
        <v>672</v>
      </c>
      <c r="K53" s="613" t="s">
        <v>673</v>
      </c>
      <c r="L53" s="615">
        <v>70.989999999999995</v>
      </c>
      <c r="M53" s="615">
        <v>1</v>
      </c>
      <c r="N53" s="616">
        <v>70.989999999999995</v>
      </c>
    </row>
    <row r="54" spans="1:14" ht="14.4" customHeight="1" x14ac:dyDescent="0.3">
      <c r="A54" s="611" t="s">
        <v>527</v>
      </c>
      <c r="B54" s="612" t="s">
        <v>528</v>
      </c>
      <c r="C54" s="613" t="s">
        <v>538</v>
      </c>
      <c r="D54" s="614" t="s">
        <v>973</v>
      </c>
      <c r="E54" s="613" t="s">
        <v>547</v>
      </c>
      <c r="F54" s="614" t="s">
        <v>975</v>
      </c>
      <c r="G54" s="613" t="s">
        <v>548</v>
      </c>
      <c r="H54" s="613" t="s">
        <v>595</v>
      </c>
      <c r="I54" s="613" t="s">
        <v>596</v>
      </c>
      <c r="J54" s="613" t="s">
        <v>597</v>
      </c>
      <c r="K54" s="613"/>
      <c r="L54" s="615">
        <v>415.91748387530566</v>
      </c>
      <c r="M54" s="615">
        <v>3</v>
      </c>
      <c r="N54" s="616">
        <v>1247.752451625917</v>
      </c>
    </row>
    <row r="55" spans="1:14" ht="14.4" customHeight="1" x14ac:dyDescent="0.3">
      <c r="A55" s="611" t="s">
        <v>527</v>
      </c>
      <c r="B55" s="612" t="s">
        <v>528</v>
      </c>
      <c r="C55" s="613" t="s">
        <v>538</v>
      </c>
      <c r="D55" s="614" t="s">
        <v>973</v>
      </c>
      <c r="E55" s="613" t="s">
        <v>547</v>
      </c>
      <c r="F55" s="614" t="s">
        <v>975</v>
      </c>
      <c r="G55" s="613" t="s">
        <v>548</v>
      </c>
      <c r="H55" s="613" t="s">
        <v>674</v>
      </c>
      <c r="I55" s="613" t="s">
        <v>189</v>
      </c>
      <c r="J55" s="613" t="s">
        <v>675</v>
      </c>
      <c r="K55" s="613"/>
      <c r="L55" s="615">
        <v>52.17569919913366</v>
      </c>
      <c r="M55" s="615">
        <v>1</v>
      </c>
      <c r="N55" s="616">
        <v>52.17569919913366</v>
      </c>
    </row>
    <row r="56" spans="1:14" ht="14.4" customHeight="1" x14ac:dyDescent="0.3">
      <c r="A56" s="611" t="s">
        <v>527</v>
      </c>
      <c r="B56" s="612" t="s">
        <v>528</v>
      </c>
      <c r="C56" s="613" t="s">
        <v>538</v>
      </c>
      <c r="D56" s="614" t="s">
        <v>973</v>
      </c>
      <c r="E56" s="613" t="s">
        <v>547</v>
      </c>
      <c r="F56" s="614" t="s">
        <v>975</v>
      </c>
      <c r="G56" s="613" t="s">
        <v>548</v>
      </c>
      <c r="H56" s="613" t="s">
        <v>600</v>
      </c>
      <c r="I56" s="613" t="s">
        <v>189</v>
      </c>
      <c r="J56" s="613" t="s">
        <v>601</v>
      </c>
      <c r="K56" s="613"/>
      <c r="L56" s="615">
        <v>56.502877788384843</v>
      </c>
      <c r="M56" s="615">
        <v>6</v>
      </c>
      <c r="N56" s="616">
        <v>339.01726673030907</v>
      </c>
    </row>
    <row r="57" spans="1:14" ht="14.4" customHeight="1" x14ac:dyDescent="0.3">
      <c r="A57" s="611" t="s">
        <v>527</v>
      </c>
      <c r="B57" s="612" t="s">
        <v>528</v>
      </c>
      <c r="C57" s="613" t="s">
        <v>538</v>
      </c>
      <c r="D57" s="614" t="s">
        <v>973</v>
      </c>
      <c r="E57" s="613" t="s">
        <v>547</v>
      </c>
      <c r="F57" s="614" t="s">
        <v>975</v>
      </c>
      <c r="G57" s="613" t="s">
        <v>548</v>
      </c>
      <c r="H57" s="613" t="s">
        <v>604</v>
      </c>
      <c r="I57" s="613" t="s">
        <v>189</v>
      </c>
      <c r="J57" s="613" t="s">
        <v>605</v>
      </c>
      <c r="K57" s="613"/>
      <c r="L57" s="615">
        <v>47.385537770781042</v>
      </c>
      <c r="M57" s="615">
        <v>30</v>
      </c>
      <c r="N57" s="616">
        <v>1421.5661331234312</v>
      </c>
    </row>
    <row r="58" spans="1:14" ht="14.4" customHeight="1" x14ac:dyDescent="0.3">
      <c r="A58" s="611" t="s">
        <v>527</v>
      </c>
      <c r="B58" s="612" t="s">
        <v>528</v>
      </c>
      <c r="C58" s="613" t="s">
        <v>538</v>
      </c>
      <c r="D58" s="614" t="s">
        <v>973</v>
      </c>
      <c r="E58" s="613" t="s">
        <v>547</v>
      </c>
      <c r="F58" s="614" t="s">
        <v>975</v>
      </c>
      <c r="G58" s="613" t="s">
        <v>548</v>
      </c>
      <c r="H58" s="613" t="s">
        <v>606</v>
      </c>
      <c r="I58" s="613" t="s">
        <v>189</v>
      </c>
      <c r="J58" s="613" t="s">
        <v>607</v>
      </c>
      <c r="K58" s="613"/>
      <c r="L58" s="615">
        <v>47.698897883512728</v>
      </c>
      <c r="M58" s="615">
        <v>2</v>
      </c>
      <c r="N58" s="616">
        <v>95.397795767025457</v>
      </c>
    </row>
    <row r="59" spans="1:14" ht="14.4" customHeight="1" x14ac:dyDescent="0.3">
      <c r="A59" s="611" t="s">
        <v>527</v>
      </c>
      <c r="B59" s="612" t="s">
        <v>528</v>
      </c>
      <c r="C59" s="613" t="s">
        <v>538</v>
      </c>
      <c r="D59" s="614" t="s">
        <v>973</v>
      </c>
      <c r="E59" s="613" t="s">
        <v>547</v>
      </c>
      <c r="F59" s="614" t="s">
        <v>975</v>
      </c>
      <c r="G59" s="613" t="s">
        <v>548</v>
      </c>
      <c r="H59" s="613" t="s">
        <v>608</v>
      </c>
      <c r="I59" s="613" t="s">
        <v>189</v>
      </c>
      <c r="J59" s="613" t="s">
        <v>609</v>
      </c>
      <c r="K59" s="613"/>
      <c r="L59" s="615">
        <v>117.50139338785706</v>
      </c>
      <c r="M59" s="615">
        <v>8</v>
      </c>
      <c r="N59" s="616">
        <v>940.01114710285651</v>
      </c>
    </row>
    <row r="60" spans="1:14" ht="14.4" customHeight="1" x14ac:dyDescent="0.3">
      <c r="A60" s="611" t="s">
        <v>527</v>
      </c>
      <c r="B60" s="612" t="s">
        <v>528</v>
      </c>
      <c r="C60" s="613" t="s">
        <v>538</v>
      </c>
      <c r="D60" s="614" t="s">
        <v>973</v>
      </c>
      <c r="E60" s="613" t="s">
        <v>547</v>
      </c>
      <c r="F60" s="614" t="s">
        <v>975</v>
      </c>
      <c r="G60" s="613" t="s">
        <v>548</v>
      </c>
      <c r="H60" s="613" t="s">
        <v>676</v>
      </c>
      <c r="I60" s="613" t="s">
        <v>677</v>
      </c>
      <c r="J60" s="613" t="s">
        <v>678</v>
      </c>
      <c r="K60" s="613" t="s">
        <v>679</v>
      </c>
      <c r="L60" s="615">
        <v>78.099890986913906</v>
      </c>
      <c r="M60" s="615">
        <v>3</v>
      </c>
      <c r="N60" s="616">
        <v>234.2996729607417</v>
      </c>
    </row>
    <row r="61" spans="1:14" ht="14.4" customHeight="1" x14ac:dyDescent="0.3">
      <c r="A61" s="611" t="s">
        <v>527</v>
      </c>
      <c r="B61" s="612" t="s">
        <v>528</v>
      </c>
      <c r="C61" s="613" t="s">
        <v>538</v>
      </c>
      <c r="D61" s="614" t="s">
        <v>973</v>
      </c>
      <c r="E61" s="613" t="s">
        <v>547</v>
      </c>
      <c r="F61" s="614" t="s">
        <v>975</v>
      </c>
      <c r="G61" s="613" t="s">
        <v>548</v>
      </c>
      <c r="H61" s="613" t="s">
        <v>680</v>
      </c>
      <c r="I61" s="613" t="s">
        <v>189</v>
      </c>
      <c r="J61" s="613" t="s">
        <v>681</v>
      </c>
      <c r="K61" s="613"/>
      <c r="L61" s="615">
        <v>531.63860241451221</v>
      </c>
      <c r="M61" s="615">
        <v>2</v>
      </c>
      <c r="N61" s="616">
        <v>1063.2772048290244</v>
      </c>
    </row>
    <row r="62" spans="1:14" ht="14.4" customHeight="1" x14ac:dyDescent="0.3">
      <c r="A62" s="611" t="s">
        <v>527</v>
      </c>
      <c r="B62" s="612" t="s">
        <v>528</v>
      </c>
      <c r="C62" s="613" t="s">
        <v>538</v>
      </c>
      <c r="D62" s="614" t="s">
        <v>973</v>
      </c>
      <c r="E62" s="613" t="s">
        <v>547</v>
      </c>
      <c r="F62" s="614" t="s">
        <v>975</v>
      </c>
      <c r="G62" s="613" t="s">
        <v>548</v>
      </c>
      <c r="H62" s="613" t="s">
        <v>682</v>
      </c>
      <c r="I62" s="613" t="s">
        <v>189</v>
      </c>
      <c r="J62" s="613" t="s">
        <v>683</v>
      </c>
      <c r="K62" s="613"/>
      <c r="L62" s="615">
        <v>147.36939721497401</v>
      </c>
      <c r="M62" s="615">
        <v>2</v>
      </c>
      <c r="N62" s="616">
        <v>294.73879442994803</v>
      </c>
    </row>
    <row r="63" spans="1:14" ht="14.4" customHeight="1" x14ac:dyDescent="0.3">
      <c r="A63" s="611" t="s">
        <v>527</v>
      </c>
      <c r="B63" s="612" t="s">
        <v>528</v>
      </c>
      <c r="C63" s="613" t="s">
        <v>538</v>
      </c>
      <c r="D63" s="614" t="s">
        <v>973</v>
      </c>
      <c r="E63" s="613" t="s">
        <v>547</v>
      </c>
      <c r="F63" s="614" t="s">
        <v>975</v>
      </c>
      <c r="G63" s="613" t="s">
        <v>548</v>
      </c>
      <c r="H63" s="613" t="s">
        <v>684</v>
      </c>
      <c r="I63" s="613" t="s">
        <v>189</v>
      </c>
      <c r="J63" s="613" t="s">
        <v>685</v>
      </c>
      <c r="K63" s="613"/>
      <c r="L63" s="615">
        <v>247.14111656447776</v>
      </c>
      <c r="M63" s="615">
        <v>3</v>
      </c>
      <c r="N63" s="616">
        <v>741.42334969343324</v>
      </c>
    </row>
    <row r="64" spans="1:14" ht="14.4" customHeight="1" x14ac:dyDescent="0.3">
      <c r="A64" s="611" t="s">
        <v>527</v>
      </c>
      <c r="B64" s="612" t="s">
        <v>528</v>
      </c>
      <c r="C64" s="613" t="s">
        <v>538</v>
      </c>
      <c r="D64" s="614" t="s">
        <v>973</v>
      </c>
      <c r="E64" s="613" t="s">
        <v>547</v>
      </c>
      <c r="F64" s="614" t="s">
        <v>975</v>
      </c>
      <c r="G64" s="613" t="s">
        <v>548</v>
      </c>
      <c r="H64" s="613" t="s">
        <v>686</v>
      </c>
      <c r="I64" s="613" t="s">
        <v>189</v>
      </c>
      <c r="J64" s="613" t="s">
        <v>687</v>
      </c>
      <c r="K64" s="613"/>
      <c r="L64" s="615">
        <v>116.61113198940683</v>
      </c>
      <c r="M64" s="615">
        <v>6</v>
      </c>
      <c r="N64" s="616">
        <v>699.66679193644097</v>
      </c>
    </row>
    <row r="65" spans="1:14" ht="14.4" customHeight="1" x14ac:dyDescent="0.3">
      <c r="A65" s="611" t="s">
        <v>527</v>
      </c>
      <c r="B65" s="612" t="s">
        <v>528</v>
      </c>
      <c r="C65" s="613" t="s">
        <v>538</v>
      </c>
      <c r="D65" s="614" t="s">
        <v>973</v>
      </c>
      <c r="E65" s="613" t="s">
        <v>547</v>
      </c>
      <c r="F65" s="614" t="s">
        <v>975</v>
      </c>
      <c r="G65" s="613" t="s">
        <v>548</v>
      </c>
      <c r="H65" s="613" t="s">
        <v>688</v>
      </c>
      <c r="I65" s="613" t="s">
        <v>189</v>
      </c>
      <c r="J65" s="613" t="s">
        <v>689</v>
      </c>
      <c r="K65" s="613"/>
      <c r="L65" s="615">
        <v>103.37572868488068</v>
      </c>
      <c r="M65" s="615">
        <v>5</v>
      </c>
      <c r="N65" s="616">
        <v>516.87864342440344</v>
      </c>
    </row>
    <row r="66" spans="1:14" ht="14.4" customHeight="1" x14ac:dyDescent="0.3">
      <c r="A66" s="611" t="s">
        <v>527</v>
      </c>
      <c r="B66" s="612" t="s">
        <v>528</v>
      </c>
      <c r="C66" s="613" t="s">
        <v>538</v>
      </c>
      <c r="D66" s="614" t="s">
        <v>973</v>
      </c>
      <c r="E66" s="613" t="s">
        <v>547</v>
      </c>
      <c r="F66" s="614" t="s">
        <v>975</v>
      </c>
      <c r="G66" s="613" t="s">
        <v>548</v>
      </c>
      <c r="H66" s="613" t="s">
        <v>690</v>
      </c>
      <c r="I66" s="613" t="s">
        <v>691</v>
      </c>
      <c r="J66" s="613" t="s">
        <v>692</v>
      </c>
      <c r="K66" s="613" t="s">
        <v>693</v>
      </c>
      <c r="L66" s="615">
        <v>93.449999999999918</v>
      </c>
      <c r="M66" s="615">
        <v>1</v>
      </c>
      <c r="N66" s="616">
        <v>93.449999999999918</v>
      </c>
    </row>
    <row r="67" spans="1:14" ht="14.4" customHeight="1" x14ac:dyDescent="0.3">
      <c r="A67" s="611" t="s">
        <v>527</v>
      </c>
      <c r="B67" s="612" t="s">
        <v>528</v>
      </c>
      <c r="C67" s="613" t="s">
        <v>538</v>
      </c>
      <c r="D67" s="614" t="s">
        <v>973</v>
      </c>
      <c r="E67" s="613" t="s">
        <v>547</v>
      </c>
      <c r="F67" s="614" t="s">
        <v>975</v>
      </c>
      <c r="G67" s="613" t="s">
        <v>548</v>
      </c>
      <c r="H67" s="613" t="s">
        <v>694</v>
      </c>
      <c r="I67" s="613" t="s">
        <v>189</v>
      </c>
      <c r="J67" s="613" t="s">
        <v>695</v>
      </c>
      <c r="K67" s="613"/>
      <c r="L67" s="615">
        <v>163.35000303331859</v>
      </c>
      <c r="M67" s="615">
        <v>1</v>
      </c>
      <c r="N67" s="616">
        <v>163.35000303331859</v>
      </c>
    </row>
    <row r="68" spans="1:14" ht="14.4" customHeight="1" x14ac:dyDescent="0.3">
      <c r="A68" s="611" t="s">
        <v>527</v>
      </c>
      <c r="B68" s="612" t="s">
        <v>528</v>
      </c>
      <c r="C68" s="613" t="s">
        <v>538</v>
      </c>
      <c r="D68" s="614" t="s">
        <v>973</v>
      </c>
      <c r="E68" s="613" t="s">
        <v>547</v>
      </c>
      <c r="F68" s="614" t="s">
        <v>975</v>
      </c>
      <c r="G68" s="613" t="s">
        <v>548</v>
      </c>
      <c r="H68" s="613" t="s">
        <v>610</v>
      </c>
      <c r="I68" s="613" t="s">
        <v>610</v>
      </c>
      <c r="J68" s="613" t="s">
        <v>611</v>
      </c>
      <c r="K68" s="613" t="s">
        <v>612</v>
      </c>
      <c r="L68" s="615">
        <v>58.14718541575342</v>
      </c>
      <c r="M68" s="615">
        <v>44</v>
      </c>
      <c r="N68" s="616">
        <v>2558.4761582931505</v>
      </c>
    </row>
    <row r="69" spans="1:14" ht="14.4" customHeight="1" x14ac:dyDescent="0.3">
      <c r="A69" s="611" t="s">
        <v>527</v>
      </c>
      <c r="B69" s="612" t="s">
        <v>528</v>
      </c>
      <c r="C69" s="613" t="s">
        <v>538</v>
      </c>
      <c r="D69" s="614" t="s">
        <v>973</v>
      </c>
      <c r="E69" s="613" t="s">
        <v>547</v>
      </c>
      <c r="F69" s="614" t="s">
        <v>975</v>
      </c>
      <c r="G69" s="613" t="s">
        <v>548</v>
      </c>
      <c r="H69" s="613" t="s">
        <v>617</v>
      </c>
      <c r="I69" s="613" t="s">
        <v>617</v>
      </c>
      <c r="J69" s="613" t="s">
        <v>618</v>
      </c>
      <c r="K69" s="613" t="s">
        <v>619</v>
      </c>
      <c r="L69" s="615">
        <v>48.678237774315029</v>
      </c>
      <c r="M69" s="615">
        <v>6</v>
      </c>
      <c r="N69" s="616">
        <v>292.06942664589019</v>
      </c>
    </row>
    <row r="70" spans="1:14" ht="14.4" customHeight="1" x14ac:dyDescent="0.3">
      <c r="A70" s="611" t="s">
        <v>527</v>
      </c>
      <c r="B70" s="612" t="s">
        <v>528</v>
      </c>
      <c r="C70" s="613" t="s">
        <v>538</v>
      </c>
      <c r="D70" s="614" t="s">
        <v>973</v>
      </c>
      <c r="E70" s="613" t="s">
        <v>620</v>
      </c>
      <c r="F70" s="614" t="s">
        <v>976</v>
      </c>
      <c r="G70" s="613" t="s">
        <v>548</v>
      </c>
      <c r="H70" s="613" t="s">
        <v>696</v>
      </c>
      <c r="I70" s="613" t="s">
        <v>697</v>
      </c>
      <c r="J70" s="613" t="s">
        <v>698</v>
      </c>
      <c r="K70" s="613" t="s">
        <v>699</v>
      </c>
      <c r="L70" s="615">
        <v>23.559670231466757</v>
      </c>
      <c r="M70" s="615">
        <v>1</v>
      </c>
      <c r="N70" s="616">
        <v>23.559670231466757</v>
      </c>
    </row>
    <row r="71" spans="1:14" ht="14.4" customHeight="1" x14ac:dyDescent="0.3">
      <c r="A71" s="611" t="s">
        <v>527</v>
      </c>
      <c r="B71" s="612" t="s">
        <v>528</v>
      </c>
      <c r="C71" s="613" t="s">
        <v>538</v>
      </c>
      <c r="D71" s="614" t="s">
        <v>973</v>
      </c>
      <c r="E71" s="613" t="s">
        <v>620</v>
      </c>
      <c r="F71" s="614" t="s">
        <v>976</v>
      </c>
      <c r="G71" s="613" t="s">
        <v>548</v>
      </c>
      <c r="H71" s="613" t="s">
        <v>629</v>
      </c>
      <c r="I71" s="613" t="s">
        <v>630</v>
      </c>
      <c r="J71" s="613" t="s">
        <v>631</v>
      </c>
      <c r="K71" s="613" t="s">
        <v>632</v>
      </c>
      <c r="L71" s="615">
        <v>49.16499957210592</v>
      </c>
      <c r="M71" s="615">
        <v>4</v>
      </c>
      <c r="N71" s="616">
        <v>196.65999828842368</v>
      </c>
    </row>
    <row r="72" spans="1:14" ht="14.4" customHeight="1" x14ac:dyDescent="0.3">
      <c r="A72" s="611" t="s">
        <v>527</v>
      </c>
      <c r="B72" s="612" t="s">
        <v>528</v>
      </c>
      <c r="C72" s="613" t="s">
        <v>538</v>
      </c>
      <c r="D72" s="614" t="s">
        <v>973</v>
      </c>
      <c r="E72" s="613" t="s">
        <v>620</v>
      </c>
      <c r="F72" s="614" t="s">
        <v>976</v>
      </c>
      <c r="G72" s="613" t="s">
        <v>633</v>
      </c>
      <c r="H72" s="613" t="s">
        <v>634</v>
      </c>
      <c r="I72" s="613" t="s">
        <v>635</v>
      </c>
      <c r="J72" s="613" t="s">
        <v>636</v>
      </c>
      <c r="K72" s="613" t="s">
        <v>637</v>
      </c>
      <c r="L72" s="615">
        <v>136.99011669743692</v>
      </c>
      <c r="M72" s="615">
        <v>4</v>
      </c>
      <c r="N72" s="616">
        <v>547.96046678974767</v>
      </c>
    </row>
    <row r="73" spans="1:14" ht="14.4" customHeight="1" x14ac:dyDescent="0.3">
      <c r="A73" s="611" t="s">
        <v>527</v>
      </c>
      <c r="B73" s="612" t="s">
        <v>528</v>
      </c>
      <c r="C73" s="613" t="s">
        <v>538</v>
      </c>
      <c r="D73" s="614" t="s">
        <v>973</v>
      </c>
      <c r="E73" s="613" t="s">
        <v>620</v>
      </c>
      <c r="F73" s="614" t="s">
        <v>976</v>
      </c>
      <c r="G73" s="613" t="s">
        <v>633</v>
      </c>
      <c r="H73" s="613" t="s">
        <v>700</v>
      </c>
      <c r="I73" s="613" t="s">
        <v>700</v>
      </c>
      <c r="J73" s="613" t="s">
        <v>701</v>
      </c>
      <c r="K73" s="613" t="s">
        <v>702</v>
      </c>
      <c r="L73" s="615">
        <v>142.32999999999998</v>
      </c>
      <c r="M73" s="615">
        <v>7</v>
      </c>
      <c r="N73" s="616">
        <v>996.31</v>
      </c>
    </row>
    <row r="74" spans="1:14" ht="14.4" customHeight="1" x14ac:dyDescent="0.3">
      <c r="A74" s="611" t="s">
        <v>527</v>
      </c>
      <c r="B74" s="612" t="s">
        <v>528</v>
      </c>
      <c r="C74" s="613" t="s">
        <v>541</v>
      </c>
      <c r="D74" s="614" t="s">
        <v>974</v>
      </c>
      <c r="E74" s="613" t="s">
        <v>547</v>
      </c>
      <c r="F74" s="614" t="s">
        <v>975</v>
      </c>
      <c r="G74" s="613" t="s">
        <v>548</v>
      </c>
      <c r="H74" s="613" t="s">
        <v>549</v>
      </c>
      <c r="I74" s="613" t="s">
        <v>549</v>
      </c>
      <c r="J74" s="613" t="s">
        <v>550</v>
      </c>
      <c r="K74" s="613" t="s">
        <v>551</v>
      </c>
      <c r="L74" s="615">
        <v>171.6</v>
      </c>
      <c r="M74" s="615">
        <v>5</v>
      </c>
      <c r="N74" s="616">
        <v>858</v>
      </c>
    </row>
    <row r="75" spans="1:14" ht="14.4" customHeight="1" x14ac:dyDescent="0.3">
      <c r="A75" s="611" t="s">
        <v>527</v>
      </c>
      <c r="B75" s="612" t="s">
        <v>528</v>
      </c>
      <c r="C75" s="613" t="s">
        <v>541</v>
      </c>
      <c r="D75" s="614" t="s">
        <v>974</v>
      </c>
      <c r="E75" s="613" t="s">
        <v>547</v>
      </c>
      <c r="F75" s="614" t="s">
        <v>975</v>
      </c>
      <c r="G75" s="613" t="s">
        <v>548</v>
      </c>
      <c r="H75" s="613" t="s">
        <v>703</v>
      </c>
      <c r="I75" s="613" t="s">
        <v>703</v>
      </c>
      <c r="J75" s="613" t="s">
        <v>704</v>
      </c>
      <c r="K75" s="613" t="s">
        <v>705</v>
      </c>
      <c r="L75" s="615">
        <v>173.69</v>
      </c>
      <c r="M75" s="615">
        <v>1</v>
      </c>
      <c r="N75" s="616">
        <v>173.69</v>
      </c>
    </row>
    <row r="76" spans="1:14" ht="14.4" customHeight="1" x14ac:dyDescent="0.3">
      <c r="A76" s="611" t="s">
        <v>527</v>
      </c>
      <c r="B76" s="612" t="s">
        <v>528</v>
      </c>
      <c r="C76" s="613" t="s">
        <v>541</v>
      </c>
      <c r="D76" s="614" t="s">
        <v>974</v>
      </c>
      <c r="E76" s="613" t="s">
        <v>547</v>
      </c>
      <c r="F76" s="614" t="s">
        <v>975</v>
      </c>
      <c r="G76" s="613" t="s">
        <v>548</v>
      </c>
      <c r="H76" s="613" t="s">
        <v>706</v>
      </c>
      <c r="I76" s="613" t="s">
        <v>706</v>
      </c>
      <c r="J76" s="613" t="s">
        <v>550</v>
      </c>
      <c r="K76" s="613" t="s">
        <v>707</v>
      </c>
      <c r="L76" s="615">
        <v>92.95</v>
      </c>
      <c r="M76" s="615">
        <v>6</v>
      </c>
      <c r="N76" s="616">
        <v>557.70000000000005</v>
      </c>
    </row>
    <row r="77" spans="1:14" ht="14.4" customHeight="1" x14ac:dyDescent="0.3">
      <c r="A77" s="611" t="s">
        <v>527</v>
      </c>
      <c r="B77" s="612" t="s">
        <v>528</v>
      </c>
      <c r="C77" s="613" t="s">
        <v>541</v>
      </c>
      <c r="D77" s="614" t="s">
        <v>974</v>
      </c>
      <c r="E77" s="613" t="s">
        <v>547</v>
      </c>
      <c r="F77" s="614" t="s">
        <v>975</v>
      </c>
      <c r="G77" s="613" t="s">
        <v>548</v>
      </c>
      <c r="H77" s="613" t="s">
        <v>708</v>
      </c>
      <c r="I77" s="613" t="s">
        <v>709</v>
      </c>
      <c r="J77" s="613" t="s">
        <v>710</v>
      </c>
      <c r="K77" s="613" t="s">
        <v>711</v>
      </c>
      <c r="L77" s="615">
        <v>87.029782198135592</v>
      </c>
      <c r="M77" s="615">
        <v>2</v>
      </c>
      <c r="N77" s="616">
        <v>174.05956439627118</v>
      </c>
    </row>
    <row r="78" spans="1:14" ht="14.4" customHeight="1" x14ac:dyDescent="0.3">
      <c r="A78" s="611" t="s">
        <v>527</v>
      </c>
      <c r="B78" s="612" t="s">
        <v>528</v>
      </c>
      <c r="C78" s="613" t="s">
        <v>541</v>
      </c>
      <c r="D78" s="614" t="s">
        <v>974</v>
      </c>
      <c r="E78" s="613" t="s">
        <v>547</v>
      </c>
      <c r="F78" s="614" t="s">
        <v>975</v>
      </c>
      <c r="G78" s="613" t="s">
        <v>548</v>
      </c>
      <c r="H78" s="613" t="s">
        <v>712</v>
      </c>
      <c r="I78" s="613" t="s">
        <v>713</v>
      </c>
      <c r="J78" s="613" t="s">
        <v>714</v>
      </c>
      <c r="K78" s="613" t="s">
        <v>715</v>
      </c>
      <c r="L78" s="615">
        <v>97.644733390800823</v>
      </c>
      <c r="M78" s="615">
        <v>22</v>
      </c>
      <c r="N78" s="616">
        <v>2148.1841345976181</v>
      </c>
    </row>
    <row r="79" spans="1:14" ht="14.4" customHeight="1" x14ac:dyDescent="0.3">
      <c r="A79" s="611" t="s">
        <v>527</v>
      </c>
      <c r="B79" s="612" t="s">
        <v>528</v>
      </c>
      <c r="C79" s="613" t="s">
        <v>541</v>
      </c>
      <c r="D79" s="614" t="s">
        <v>974</v>
      </c>
      <c r="E79" s="613" t="s">
        <v>547</v>
      </c>
      <c r="F79" s="614" t="s">
        <v>975</v>
      </c>
      <c r="G79" s="613" t="s">
        <v>548</v>
      </c>
      <c r="H79" s="613" t="s">
        <v>552</v>
      </c>
      <c r="I79" s="613" t="s">
        <v>553</v>
      </c>
      <c r="J79" s="613" t="s">
        <v>554</v>
      </c>
      <c r="K79" s="613" t="s">
        <v>555</v>
      </c>
      <c r="L79" s="615">
        <v>79.37</v>
      </c>
      <c r="M79" s="615">
        <v>2</v>
      </c>
      <c r="N79" s="616">
        <v>158.74</v>
      </c>
    </row>
    <row r="80" spans="1:14" ht="14.4" customHeight="1" x14ac:dyDescent="0.3">
      <c r="A80" s="611" t="s">
        <v>527</v>
      </c>
      <c r="B80" s="612" t="s">
        <v>528</v>
      </c>
      <c r="C80" s="613" t="s">
        <v>541</v>
      </c>
      <c r="D80" s="614" t="s">
        <v>974</v>
      </c>
      <c r="E80" s="613" t="s">
        <v>547</v>
      </c>
      <c r="F80" s="614" t="s">
        <v>975</v>
      </c>
      <c r="G80" s="613" t="s">
        <v>548</v>
      </c>
      <c r="H80" s="613" t="s">
        <v>716</v>
      </c>
      <c r="I80" s="613" t="s">
        <v>717</v>
      </c>
      <c r="J80" s="613" t="s">
        <v>718</v>
      </c>
      <c r="K80" s="613" t="s">
        <v>661</v>
      </c>
      <c r="L80" s="615">
        <v>86.138712024748585</v>
      </c>
      <c r="M80" s="615">
        <v>2</v>
      </c>
      <c r="N80" s="616">
        <v>172.27742404949717</v>
      </c>
    </row>
    <row r="81" spans="1:14" ht="14.4" customHeight="1" x14ac:dyDescent="0.3">
      <c r="A81" s="611" t="s">
        <v>527</v>
      </c>
      <c r="B81" s="612" t="s">
        <v>528</v>
      </c>
      <c r="C81" s="613" t="s">
        <v>541</v>
      </c>
      <c r="D81" s="614" t="s">
        <v>974</v>
      </c>
      <c r="E81" s="613" t="s">
        <v>547</v>
      </c>
      <c r="F81" s="614" t="s">
        <v>975</v>
      </c>
      <c r="G81" s="613" t="s">
        <v>548</v>
      </c>
      <c r="H81" s="613" t="s">
        <v>719</v>
      </c>
      <c r="I81" s="613" t="s">
        <v>720</v>
      </c>
      <c r="J81" s="613" t="s">
        <v>611</v>
      </c>
      <c r="K81" s="613" t="s">
        <v>721</v>
      </c>
      <c r="L81" s="615">
        <v>64.888863179471002</v>
      </c>
      <c r="M81" s="615">
        <v>3</v>
      </c>
      <c r="N81" s="616">
        <v>194.66658953841301</v>
      </c>
    </row>
    <row r="82" spans="1:14" ht="14.4" customHeight="1" x14ac:dyDescent="0.3">
      <c r="A82" s="611" t="s">
        <v>527</v>
      </c>
      <c r="B82" s="612" t="s">
        <v>528</v>
      </c>
      <c r="C82" s="613" t="s">
        <v>541</v>
      </c>
      <c r="D82" s="614" t="s">
        <v>974</v>
      </c>
      <c r="E82" s="613" t="s">
        <v>547</v>
      </c>
      <c r="F82" s="614" t="s">
        <v>975</v>
      </c>
      <c r="G82" s="613" t="s">
        <v>548</v>
      </c>
      <c r="H82" s="613" t="s">
        <v>722</v>
      </c>
      <c r="I82" s="613" t="s">
        <v>723</v>
      </c>
      <c r="J82" s="613" t="s">
        <v>724</v>
      </c>
      <c r="K82" s="613" t="s">
        <v>661</v>
      </c>
      <c r="L82" s="615">
        <v>31.174990730204978</v>
      </c>
      <c r="M82" s="615">
        <v>2</v>
      </c>
      <c r="N82" s="616">
        <v>62.349981460409957</v>
      </c>
    </row>
    <row r="83" spans="1:14" ht="14.4" customHeight="1" x14ac:dyDescent="0.3">
      <c r="A83" s="611" t="s">
        <v>527</v>
      </c>
      <c r="B83" s="612" t="s">
        <v>528</v>
      </c>
      <c r="C83" s="613" t="s">
        <v>541</v>
      </c>
      <c r="D83" s="614" t="s">
        <v>974</v>
      </c>
      <c r="E83" s="613" t="s">
        <v>547</v>
      </c>
      <c r="F83" s="614" t="s">
        <v>975</v>
      </c>
      <c r="G83" s="613" t="s">
        <v>548</v>
      </c>
      <c r="H83" s="613" t="s">
        <v>725</v>
      </c>
      <c r="I83" s="613" t="s">
        <v>726</v>
      </c>
      <c r="J83" s="613" t="s">
        <v>727</v>
      </c>
      <c r="K83" s="613" t="s">
        <v>728</v>
      </c>
      <c r="L83" s="615">
        <v>27.749999999999996</v>
      </c>
      <c r="M83" s="615">
        <v>12</v>
      </c>
      <c r="N83" s="616">
        <v>332.99999999999994</v>
      </c>
    </row>
    <row r="84" spans="1:14" ht="14.4" customHeight="1" x14ac:dyDescent="0.3">
      <c r="A84" s="611" t="s">
        <v>527</v>
      </c>
      <c r="B84" s="612" t="s">
        <v>528</v>
      </c>
      <c r="C84" s="613" t="s">
        <v>541</v>
      </c>
      <c r="D84" s="614" t="s">
        <v>974</v>
      </c>
      <c r="E84" s="613" t="s">
        <v>547</v>
      </c>
      <c r="F84" s="614" t="s">
        <v>975</v>
      </c>
      <c r="G84" s="613" t="s">
        <v>548</v>
      </c>
      <c r="H84" s="613" t="s">
        <v>729</v>
      </c>
      <c r="I84" s="613" t="s">
        <v>730</v>
      </c>
      <c r="J84" s="613" t="s">
        <v>731</v>
      </c>
      <c r="K84" s="613" t="s">
        <v>732</v>
      </c>
      <c r="L84" s="615">
        <v>115.93961200600877</v>
      </c>
      <c r="M84" s="615">
        <v>9</v>
      </c>
      <c r="N84" s="616">
        <v>1043.456508054079</v>
      </c>
    </row>
    <row r="85" spans="1:14" ht="14.4" customHeight="1" x14ac:dyDescent="0.3">
      <c r="A85" s="611" t="s">
        <v>527</v>
      </c>
      <c r="B85" s="612" t="s">
        <v>528</v>
      </c>
      <c r="C85" s="613" t="s">
        <v>541</v>
      </c>
      <c r="D85" s="614" t="s">
        <v>974</v>
      </c>
      <c r="E85" s="613" t="s">
        <v>547</v>
      </c>
      <c r="F85" s="614" t="s">
        <v>975</v>
      </c>
      <c r="G85" s="613" t="s">
        <v>548</v>
      </c>
      <c r="H85" s="613" t="s">
        <v>658</v>
      </c>
      <c r="I85" s="613" t="s">
        <v>659</v>
      </c>
      <c r="J85" s="613" t="s">
        <v>660</v>
      </c>
      <c r="K85" s="613" t="s">
        <v>661</v>
      </c>
      <c r="L85" s="615">
        <v>66.289275385937799</v>
      </c>
      <c r="M85" s="615">
        <v>1</v>
      </c>
      <c r="N85" s="616">
        <v>66.289275385937799</v>
      </c>
    </row>
    <row r="86" spans="1:14" ht="14.4" customHeight="1" x14ac:dyDescent="0.3">
      <c r="A86" s="611" t="s">
        <v>527</v>
      </c>
      <c r="B86" s="612" t="s">
        <v>528</v>
      </c>
      <c r="C86" s="613" t="s">
        <v>541</v>
      </c>
      <c r="D86" s="614" t="s">
        <v>974</v>
      </c>
      <c r="E86" s="613" t="s">
        <v>547</v>
      </c>
      <c r="F86" s="614" t="s">
        <v>975</v>
      </c>
      <c r="G86" s="613" t="s">
        <v>548</v>
      </c>
      <c r="H86" s="613" t="s">
        <v>733</v>
      </c>
      <c r="I86" s="613" t="s">
        <v>733</v>
      </c>
      <c r="J86" s="613" t="s">
        <v>734</v>
      </c>
      <c r="K86" s="613" t="s">
        <v>735</v>
      </c>
      <c r="L86" s="615">
        <v>36.569813375872712</v>
      </c>
      <c r="M86" s="615">
        <v>8</v>
      </c>
      <c r="N86" s="616">
        <v>292.5585070069817</v>
      </c>
    </row>
    <row r="87" spans="1:14" ht="14.4" customHeight="1" x14ac:dyDescent="0.3">
      <c r="A87" s="611" t="s">
        <v>527</v>
      </c>
      <c r="B87" s="612" t="s">
        <v>528</v>
      </c>
      <c r="C87" s="613" t="s">
        <v>541</v>
      </c>
      <c r="D87" s="614" t="s">
        <v>974</v>
      </c>
      <c r="E87" s="613" t="s">
        <v>547</v>
      </c>
      <c r="F87" s="614" t="s">
        <v>975</v>
      </c>
      <c r="G87" s="613" t="s">
        <v>548</v>
      </c>
      <c r="H87" s="613" t="s">
        <v>736</v>
      </c>
      <c r="I87" s="613" t="s">
        <v>737</v>
      </c>
      <c r="J87" s="613" t="s">
        <v>738</v>
      </c>
      <c r="K87" s="613" t="s">
        <v>739</v>
      </c>
      <c r="L87" s="615">
        <v>316.63479227905674</v>
      </c>
      <c r="M87" s="615">
        <v>7</v>
      </c>
      <c r="N87" s="616">
        <v>2216.443545953397</v>
      </c>
    </row>
    <row r="88" spans="1:14" ht="14.4" customHeight="1" x14ac:dyDescent="0.3">
      <c r="A88" s="611" t="s">
        <v>527</v>
      </c>
      <c r="B88" s="612" t="s">
        <v>528</v>
      </c>
      <c r="C88" s="613" t="s">
        <v>541</v>
      </c>
      <c r="D88" s="614" t="s">
        <v>974</v>
      </c>
      <c r="E88" s="613" t="s">
        <v>547</v>
      </c>
      <c r="F88" s="614" t="s">
        <v>975</v>
      </c>
      <c r="G88" s="613" t="s">
        <v>548</v>
      </c>
      <c r="H88" s="613" t="s">
        <v>556</v>
      </c>
      <c r="I88" s="613" t="s">
        <v>557</v>
      </c>
      <c r="J88" s="613" t="s">
        <v>558</v>
      </c>
      <c r="K88" s="613" t="s">
        <v>559</v>
      </c>
      <c r="L88" s="615">
        <v>38.695999999999984</v>
      </c>
      <c r="M88" s="615">
        <v>5</v>
      </c>
      <c r="N88" s="616">
        <v>193.47999999999993</v>
      </c>
    </row>
    <row r="89" spans="1:14" ht="14.4" customHeight="1" x14ac:dyDescent="0.3">
      <c r="A89" s="611" t="s">
        <v>527</v>
      </c>
      <c r="B89" s="612" t="s">
        <v>528</v>
      </c>
      <c r="C89" s="613" t="s">
        <v>541</v>
      </c>
      <c r="D89" s="614" t="s">
        <v>974</v>
      </c>
      <c r="E89" s="613" t="s">
        <v>547</v>
      </c>
      <c r="F89" s="614" t="s">
        <v>975</v>
      </c>
      <c r="G89" s="613" t="s">
        <v>548</v>
      </c>
      <c r="H89" s="613" t="s">
        <v>740</v>
      </c>
      <c r="I89" s="613" t="s">
        <v>741</v>
      </c>
      <c r="J89" s="613" t="s">
        <v>742</v>
      </c>
      <c r="K89" s="613" t="s">
        <v>743</v>
      </c>
      <c r="L89" s="615">
        <v>144.22883411982974</v>
      </c>
      <c r="M89" s="615">
        <v>3</v>
      </c>
      <c r="N89" s="616">
        <v>432.68650235948923</v>
      </c>
    </row>
    <row r="90" spans="1:14" ht="14.4" customHeight="1" x14ac:dyDescent="0.3">
      <c r="A90" s="611" t="s">
        <v>527</v>
      </c>
      <c r="B90" s="612" t="s">
        <v>528</v>
      </c>
      <c r="C90" s="613" t="s">
        <v>541</v>
      </c>
      <c r="D90" s="614" t="s">
        <v>974</v>
      </c>
      <c r="E90" s="613" t="s">
        <v>547</v>
      </c>
      <c r="F90" s="614" t="s">
        <v>975</v>
      </c>
      <c r="G90" s="613" t="s">
        <v>548</v>
      </c>
      <c r="H90" s="613" t="s">
        <v>744</v>
      </c>
      <c r="I90" s="613" t="s">
        <v>745</v>
      </c>
      <c r="J90" s="613" t="s">
        <v>746</v>
      </c>
      <c r="K90" s="613" t="s">
        <v>747</v>
      </c>
      <c r="L90" s="615">
        <v>65.33</v>
      </c>
      <c r="M90" s="615">
        <v>1</v>
      </c>
      <c r="N90" s="616">
        <v>65.33</v>
      </c>
    </row>
    <row r="91" spans="1:14" ht="14.4" customHeight="1" x14ac:dyDescent="0.3">
      <c r="A91" s="611" t="s">
        <v>527</v>
      </c>
      <c r="B91" s="612" t="s">
        <v>528</v>
      </c>
      <c r="C91" s="613" t="s">
        <v>541</v>
      </c>
      <c r="D91" s="614" t="s">
        <v>974</v>
      </c>
      <c r="E91" s="613" t="s">
        <v>547</v>
      </c>
      <c r="F91" s="614" t="s">
        <v>975</v>
      </c>
      <c r="G91" s="613" t="s">
        <v>548</v>
      </c>
      <c r="H91" s="613" t="s">
        <v>748</v>
      </c>
      <c r="I91" s="613" t="s">
        <v>749</v>
      </c>
      <c r="J91" s="613" t="s">
        <v>750</v>
      </c>
      <c r="K91" s="613" t="s">
        <v>751</v>
      </c>
      <c r="L91" s="615">
        <v>380.26499999999999</v>
      </c>
      <c r="M91" s="615">
        <v>4</v>
      </c>
      <c r="N91" s="616">
        <v>1521.06</v>
      </c>
    </row>
    <row r="92" spans="1:14" ht="14.4" customHeight="1" x14ac:dyDescent="0.3">
      <c r="A92" s="611" t="s">
        <v>527</v>
      </c>
      <c r="B92" s="612" t="s">
        <v>528</v>
      </c>
      <c r="C92" s="613" t="s">
        <v>541</v>
      </c>
      <c r="D92" s="614" t="s">
        <v>974</v>
      </c>
      <c r="E92" s="613" t="s">
        <v>547</v>
      </c>
      <c r="F92" s="614" t="s">
        <v>975</v>
      </c>
      <c r="G92" s="613" t="s">
        <v>548</v>
      </c>
      <c r="H92" s="613" t="s">
        <v>560</v>
      </c>
      <c r="I92" s="613" t="s">
        <v>189</v>
      </c>
      <c r="J92" s="613" t="s">
        <v>561</v>
      </c>
      <c r="K92" s="613"/>
      <c r="L92" s="615">
        <v>97.320507673862252</v>
      </c>
      <c r="M92" s="615">
        <v>16</v>
      </c>
      <c r="N92" s="616">
        <v>1557.128122781796</v>
      </c>
    </row>
    <row r="93" spans="1:14" ht="14.4" customHeight="1" x14ac:dyDescent="0.3">
      <c r="A93" s="611" t="s">
        <v>527</v>
      </c>
      <c r="B93" s="612" t="s">
        <v>528</v>
      </c>
      <c r="C93" s="613" t="s">
        <v>541</v>
      </c>
      <c r="D93" s="614" t="s">
        <v>974</v>
      </c>
      <c r="E93" s="613" t="s">
        <v>547</v>
      </c>
      <c r="F93" s="614" t="s">
        <v>975</v>
      </c>
      <c r="G93" s="613" t="s">
        <v>548</v>
      </c>
      <c r="H93" s="613" t="s">
        <v>752</v>
      </c>
      <c r="I93" s="613" t="s">
        <v>753</v>
      </c>
      <c r="J93" s="613" t="s">
        <v>564</v>
      </c>
      <c r="K93" s="613" t="s">
        <v>754</v>
      </c>
      <c r="L93" s="615">
        <v>89.6</v>
      </c>
      <c r="M93" s="615">
        <v>2</v>
      </c>
      <c r="N93" s="616">
        <v>179.2</v>
      </c>
    </row>
    <row r="94" spans="1:14" ht="14.4" customHeight="1" x14ac:dyDescent="0.3">
      <c r="A94" s="611" t="s">
        <v>527</v>
      </c>
      <c r="B94" s="612" t="s">
        <v>528</v>
      </c>
      <c r="C94" s="613" t="s">
        <v>541</v>
      </c>
      <c r="D94" s="614" t="s">
        <v>974</v>
      </c>
      <c r="E94" s="613" t="s">
        <v>547</v>
      </c>
      <c r="F94" s="614" t="s">
        <v>975</v>
      </c>
      <c r="G94" s="613" t="s">
        <v>548</v>
      </c>
      <c r="H94" s="613" t="s">
        <v>566</v>
      </c>
      <c r="I94" s="613" t="s">
        <v>567</v>
      </c>
      <c r="J94" s="613" t="s">
        <v>568</v>
      </c>
      <c r="K94" s="613" t="s">
        <v>569</v>
      </c>
      <c r="L94" s="615">
        <v>208.69059253712436</v>
      </c>
      <c r="M94" s="615">
        <v>7</v>
      </c>
      <c r="N94" s="616">
        <v>1460.8341477598706</v>
      </c>
    </row>
    <row r="95" spans="1:14" ht="14.4" customHeight="1" x14ac:dyDescent="0.3">
      <c r="A95" s="611" t="s">
        <v>527</v>
      </c>
      <c r="B95" s="612" t="s">
        <v>528</v>
      </c>
      <c r="C95" s="613" t="s">
        <v>541</v>
      </c>
      <c r="D95" s="614" t="s">
        <v>974</v>
      </c>
      <c r="E95" s="613" t="s">
        <v>547</v>
      </c>
      <c r="F95" s="614" t="s">
        <v>975</v>
      </c>
      <c r="G95" s="613" t="s">
        <v>548</v>
      </c>
      <c r="H95" s="613" t="s">
        <v>570</v>
      </c>
      <c r="I95" s="613" t="s">
        <v>189</v>
      </c>
      <c r="J95" s="613" t="s">
        <v>571</v>
      </c>
      <c r="K95" s="613"/>
      <c r="L95" s="615">
        <v>35.716972585883568</v>
      </c>
      <c r="M95" s="615">
        <v>494</v>
      </c>
      <c r="N95" s="616">
        <v>17644.184457426483</v>
      </c>
    </row>
    <row r="96" spans="1:14" ht="14.4" customHeight="1" x14ac:dyDescent="0.3">
      <c r="A96" s="611" t="s">
        <v>527</v>
      </c>
      <c r="B96" s="612" t="s">
        <v>528</v>
      </c>
      <c r="C96" s="613" t="s">
        <v>541</v>
      </c>
      <c r="D96" s="614" t="s">
        <v>974</v>
      </c>
      <c r="E96" s="613" t="s">
        <v>547</v>
      </c>
      <c r="F96" s="614" t="s">
        <v>975</v>
      </c>
      <c r="G96" s="613" t="s">
        <v>548</v>
      </c>
      <c r="H96" s="613" t="s">
        <v>755</v>
      </c>
      <c r="I96" s="613" t="s">
        <v>756</v>
      </c>
      <c r="J96" s="613" t="s">
        <v>554</v>
      </c>
      <c r="K96" s="613" t="s">
        <v>757</v>
      </c>
      <c r="L96" s="615">
        <v>43.129999999999974</v>
      </c>
      <c r="M96" s="615">
        <v>4</v>
      </c>
      <c r="N96" s="616">
        <v>172.5199999999999</v>
      </c>
    </row>
    <row r="97" spans="1:14" ht="14.4" customHeight="1" x14ac:dyDescent="0.3">
      <c r="A97" s="611" t="s">
        <v>527</v>
      </c>
      <c r="B97" s="612" t="s">
        <v>528</v>
      </c>
      <c r="C97" s="613" t="s">
        <v>541</v>
      </c>
      <c r="D97" s="614" t="s">
        <v>974</v>
      </c>
      <c r="E97" s="613" t="s">
        <v>547</v>
      </c>
      <c r="F97" s="614" t="s">
        <v>975</v>
      </c>
      <c r="G97" s="613" t="s">
        <v>548</v>
      </c>
      <c r="H97" s="613" t="s">
        <v>758</v>
      </c>
      <c r="I97" s="613" t="s">
        <v>759</v>
      </c>
      <c r="J97" s="613" t="s">
        <v>760</v>
      </c>
      <c r="K97" s="613" t="s">
        <v>711</v>
      </c>
      <c r="L97" s="615">
        <v>123.93969886494192</v>
      </c>
      <c r="M97" s="615">
        <v>3</v>
      </c>
      <c r="N97" s="616">
        <v>371.81909659482574</v>
      </c>
    </row>
    <row r="98" spans="1:14" ht="14.4" customHeight="1" x14ac:dyDescent="0.3">
      <c r="A98" s="611" t="s">
        <v>527</v>
      </c>
      <c r="B98" s="612" t="s">
        <v>528</v>
      </c>
      <c r="C98" s="613" t="s">
        <v>541</v>
      </c>
      <c r="D98" s="614" t="s">
        <v>974</v>
      </c>
      <c r="E98" s="613" t="s">
        <v>547</v>
      </c>
      <c r="F98" s="614" t="s">
        <v>975</v>
      </c>
      <c r="G98" s="613" t="s">
        <v>548</v>
      </c>
      <c r="H98" s="613" t="s">
        <v>761</v>
      </c>
      <c r="I98" s="613" t="s">
        <v>762</v>
      </c>
      <c r="J98" s="613" t="s">
        <v>763</v>
      </c>
      <c r="K98" s="613" t="s">
        <v>764</v>
      </c>
      <c r="L98" s="615">
        <v>359.02912881702429</v>
      </c>
      <c r="M98" s="615">
        <v>4</v>
      </c>
      <c r="N98" s="616">
        <v>1436.1165152680971</v>
      </c>
    </row>
    <row r="99" spans="1:14" ht="14.4" customHeight="1" x14ac:dyDescent="0.3">
      <c r="A99" s="611" t="s">
        <v>527</v>
      </c>
      <c r="B99" s="612" t="s">
        <v>528</v>
      </c>
      <c r="C99" s="613" t="s">
        <v>541</v>
      </c>
      <c r="D99" s="614" t="s">
        <v>974</v>
      </c>
      <c r="E99" s="613" t="s">
        <v>547</v>
      </c>
      <c r="F99" s="614" t="s">
        <v>975</v>
      </c>
      <c r="G99" s="613" t="s">
        <v>548</v>
      </c>
      <c r="H99" s="613" t="s">
        <v>765</v>
      </c>
      <c r="I99" s="613" t="s">
        <v>766</v>
      </c>
      <c r="J99" s="613" t="s">
        <v>742</v>
      </c>
      <c r="K99" s="613" t="s">
        <v>767</v>
      </c>
      <c r="L99" s="615">
        <v>74.916666666666657</v>
      </c>
      <c r="M99" s="615">
        <v>3</v>
      </c>
      <c r="N99" s="616">
        <v>224.74999999999997</v>
      </c>
    </row>
    <row r="100" spans="1:14" ht="14.4" customHeight="1" x14ac:dyDescent="0.3">
      <c r="A100" s="611" t="s">
        <v>527</v>
      </c>
      <c r="B100" s="612" t="s">
        <v>528</v>
      </c>
      <c r="C100" s="613" t="s">
        <v>541</v>
      </c>
      <c r="D100" s="614" t="s">
        <v>974</v>
      </c>
      <c r="E100" s="613" t="s">
        <v>547</v>
      </c>
      <c r="F100" s="614" t="s">
        <v>975</v>
      </c>
      <c r="G100" s="613" t="s">
        <v>548</v>
      </c>
      <c r="H100" s="613" t="s">
        <v>572</v>
      </c>
      <c r="I100" s="613" t="s">
        <v>573</v>
      </c>
      <c r="J100" s="613" t="s">
        <v>574</v>
      </c>
      <c r="K100" s="613" t="s">
        <v>575</v>
      </c>
      <c r="L100" s="615">
        <v>49.423292942220236</v>
      </c>
      <c r="M100" s="615">
        <v>3</v>
      </c>
      <c r="N100" s="616">
        <v>148.26987882666072</v>
      </c>
    </row>
    <row r="101" spans="1:14" ht="14.4" customHeight="1" x14ac:dyDescent="0.3">
      <c r="A101" s="611" t="s">
        <v>527</v>
      </c>
      <c r="B101" s="612" t="s">
        <v>528</v>
      </c>
      <c r="C101" s="613" t="s">
        <v>541</v>
      </c>
      <c r="D101" s="614" t="s">
        <v>974</v>
      </c>
      <c r="E101" s="613" t="s">
        <v>547</v>
      </c>
      <c r="F101" s="614" t="s">
        <v>975</v>
      </c>
      <c r="G101" s="613" t="s">
        <v>548</v>
      </c>
      <c r="H101" s="613" t="s">
        <v>768</v>
      </c>
      <c r="I101" s="613" t="s">
        <v>768</v>
      </c>
      <c r="J101" s="613" t="s">
        <v>769</v>
      </c>
      <c r="K101" s="613" t="s">
        <v>705</v>
      </c>
      <c r="L101" s="615">
        <v>288.53000000000003</v>
      </c>
      <c r="M101" s="615">
        <v>1</v>
      </c>
      <c r="N101" s="616">
        <v>288.53000000000003</v>
      </c>
    </row>
    <row r="102" spans="1:14" ht="14.4" customHeight="1" x14ac:dyDescent="0.3">
      <c r="A102" s="611" t="s">
        <v>527</v>
      </c>
      <c r="B102" s="612" t="s">
        <v>528</v>
      </c>
      <c r="C102" s="613" t="s">
        <v>541</v>
      </c>
      <c r="D102" s="614" t="s">
        <v>974</v>
      </c>
      <c r="E102" s="613" t="s">
        <v>547</v>
      </c>
      <c r="F102" s="614" t="s">
        <v>975</v>
      </c>
      <c r="G102" s="613" t="s">
        <v>548</v>
      </c>
      <c r="H102" s="613" t="s">
        <v>770</v>
      </c>
      <c r="I102" s="613" t="s">
        <v>771</v>
      </c>
      <c r="J102" s="613" t="s">
        <v>772</v>
      </c>
      <c r="K102" s="613" t="s">
        <v>721</v>
      </c>
      <c r="L102" s="615">
        <v>41.138483993628313</v>
      </c>
      <c r="M102" s="615">
        <v>7</v>
      </c>
      <c r="N102" s="616">
        <v>287.96938795539819</v>
      </c>
    </row>
    <row r="103" spans="1:14" ht="14.4" customHeight="1" x14ac:dyDescent="0.3">
      <c r="A103" s="611" t="s">
        <v>527</v>
      </c>
      <c r="B103" s="612" t="s">
        <v>528</v>
      </c>
      <c r="C103" s="613" t="s">
        <v>541</v>
      </c>
      <c r="D103" s="614" t="s">
        <v>974</v>
      </c>
      <c r="E103" s="613" t="s">
        <v>547</v>
      </c>
      <c r="F103" s="614" t="s">
        <v>975</v>
      </c>
      <c r="G103" s="613" t="s">
        <v>548</v>
      </c>
      <c r="H103" s="613" t="s">
        <v>773</v>
      </c>
      <c r="I103" s="613" t="s">
        <v>774</v>
      </c>
      <c r="J103" s="613" t="s">
        <v>775</v>
      </c>
      <c r="K103" s="613" t="s">
        <v>776</v>
      </c>
      <c r="L103" s="615">
        <v>268.71999999999997</v>
      </c>
      <c r="M103" s="615">
        <v>1</v>
      </c>
      <c r="N103" s="616">
        <v>268.71999999999997</v>
      </c>
    </row>
    <row r="104" spans="1:14" ht="14.4" customHeight="1" x14ac:dyDescent="0.3">
      <c r="A104" s="611" t="s">
        <v>527</v>
      </c>
      <c r="B104" s="612" t="s">
        <v>528</v>
      </c>
      <c r="C104" s="613" t="s">
        <v>541</v>
      </c>
      <c r="D104" s="614" t="s">
        <v>974</v>
      </c>
      <c r="E104" s="613" t="s">
        <v>547</v>
      </c>
      <c r="F104" s="614" t="s">
        <v>975</v>
      </c>
      <c r="G104" s="613" t="s">
        <v>548</v>
      </c>
      <c r="H104" s="613" t="s">
        <v>777</v>
      </c>
      <c r="I104" s="613" t="s">
        <v>778</v>
      </c>
      <c r="J104" s="613" t="s">
        <v>779</v>
      </c>
      <c r="K104" s="613" t="s">
        <v>780</v>
      </c>
      <c r="L104" s="615">
        <v>1052.8800000000001</v>
      </c>
      <c r="M104" s="615">
        <v>3</v>
      </c>
      <c r="N104" s="616">
        <v>3158.6400000000003</v>
      </c>
    </row>
    <row r="105" spans="1:14" ht="14.4" customHeight="1" x14ac:dyDescent="0.3">
      <c r="A105" s="611" t="s">
        <v>527</v>
      </c>
      <c r="B105" s="612" t="s">
        <v>528</v>
      </c>
      <c r="C105" s="613" t="s">
        <v>541</v>
      </c>
      <c r="D105" s="614" t="s">
        <v>974</v>
      </c>
      <c r="E105" s="613" t="s">
        <v>547</v>
      </c>
      <c r="F105" s="614" t="s">
        <v>975</v>
      </c>
      <c r="G105" s="613" t="s">
        <v>548</v>
      </c>
      <c r="H105" s="613" t="s">
        <v>576</v>
      </c>
      <c r="I105" s="613" t="s">
        <v>577</v>
      </c>
      <c r="J105" s="613" t="s">
        <v>578</v>
      </c>
      <c r="K105" s="613" t="s">
        <v>579</v>
      </c>
      <c r="L105" s="615">
        <v>50.129240841567579</v>
      </c>
      <c r="M105" s="615">
        <v>1</v>
      </c>
      <c r="N105" s="616">
        <v>50.129240841567579</v>
      </c>
    </row>
    <row r="106" spans="1:14" ht="14.4" customHeight="1" x14ac:dyDescent="0.3">
      <c r="A106" s="611" t="s">
        <v>527</v>
      </c>
      <c r="B106" s="612" t="s">
        <v>528</v>
      </c>
      <c r="C106" s="613" t="s">
        <v>541</v>
      </c>
      <c r="D106" s="614" t="s">
        <v>974</v>
      </c>
      <c r="E106" s="613" t="s">
        <v>547</v>
      </c>
      <c r="F106" s="614" t="s">
        <v>975</v>
      </c>
      <c r="G106" s="613" t="s">
        <v>548</v>
      </c>
      <c r="H106" s="613" t="s">
        <v>580</v>
      </c>
      <c r="I106" s="613" t="s">
        <v>189</v>
      </c>
      <c r="J106" s="613" t="s">
        <v>581</v>
      </c>
      <c r="K106" s="613"/>
      <c r="L106" s="615">
        <v>41.365900669098792</v>
      </c>
      <c r="M106" s="615">
        <v>48</v>
      </c>
      <c r="N106" s="616">
        <v>1985.563232116742</v>
      </c>
    </row>
    <row r="107" spans="1:14" ht="14.4" customHeight="1" x14ac:dyDescent="0.3">
      <c r="A107" s="611" t="s">
        <v>527</v>
      </c>
      <c r="B107" s="612" t="s">
        <v>528</v>
      </c>
      <c r="C107" s="613" t="s">
        <v>541</v>
      </c>
      <c r="D107" s="614" t="s">
        <v>974</v>
      </c>
      <c r="E107" s="613" t="s">
        <v>547</v>
      </c>
      <c r="F107" s="614" t="s">
        <v>975</v>
      </c>
      <c r="G107" s="613" t="s">
        <v>548</v>
      </c>
      <c r="H107" s="613" t="s">
        <v>582</v>
      </c>
      <c r="I107" s="613" t="s">
        <v>582</v>
      </c>
      <c r="J107" s="613" t="s">
        <v>583</v>
      </c>
      <c r="K107" s="613" t="s">
        <v>584</v>
      </c>
      <c r="L107" s="615">
        <v>75.509995075380687</v>
      </c>
      <c r="M107" s="615">
        <v>9</v>
      </c>
      <c r="N107" s="616">
        <v>679.58995567842612</v>
      </c>
    </row>
    <row r="108" spans="1:14" ht="14.4" customHeight="1" x14ac:dyDescent="0.3">
      <c r="A108" s="611" t="s">
        <v>527</v>
      </c>
      <c r="B108" s="612" t="s">
        <v>528</v>
      </c>
      <c r="C108" s="613" t="s">
        <v>541</v>
      </c>
      <c r="D108" s="614" t="s">
        <v>974</v>
      </c>
      <c r="E108" s="613" t="s">
        <v>547</v>
      </c>
      <c r="F108" s="614" t="s">
        <v>975</v>
      </c>
      <c r="G108" s="613" t="s">
        <v>548</v>
      </c>
      <c r="H108" s="613" t="s">
        <v>585</v>
      </c>
      <c r="I108" s="613" t="s">
        <v>586</v>
      </c>
      <c r="J108" s="613" t="s">
        <v>587</v>
      </c>
      <c r="K108" s="613" t="s">
        <v>588</v>
      </c>
      <c r="L108" s="615">
        <v>65.235846974997258</v>
      </c>
      <c r="M108" s="615">
        <v>28</v>
      </c>
      <c r="N108" s="616">
        <v>1826.6037152999231</v>
      </c>
    </row>
    <row r="109" spans="1:14" ht="14.4" customHeight="1" x14ac:dyDescent="0.3">
      <c r="A109" s="611" t="s">
        <v>527</v>
      </c>
      <c r="B109" s="612" t="s">
        <v>528</v>
      </c>
      <c r="C109" s="613" t="s">
        <v>541</v>
      </c>
      <c r="D109" s="614" t="s">
        <v>974</v>
      </c>
      <c r="E109" s="613" t="s">
        <v>547</v>
      </c>
      <c r="F109" s="614" t="s">
        <v>975</v>
      </c>
      <c r="G109" s="613" t="s">
        <v>548</v>
      </c>
      <c r="H109" s="613" t="s">
        <v>781</v>
      </c>
      <c r="I109" s="613" t="s">
        <v>782</v>
      </c>
      <c r="J109" s="613" t="s">
        <v>783</v>
      </c>
      <c r="K109" s="613" t="s">
        <v>784</v>
      </c>
      <c r="L109" s="615">
        <v>0</v>
      </c>
      <c r="M109" s="615">
        <v>0</v>
      </c>
      <c r="N109" s="616">
        <v>0</v>
      </c>
    </row>
    <row r="110" spans="1:14" ht="14.4" customHeight="1" x14ac:dyDescent="0.3">
      <c r="A110" s="611" t="s">
        <v>527</v>
      </c>
      <c r="B110" s="612" t="s">
        <v>528</v>
      </c>
      <c r="C110" s="613" t="s">
        <v>541</v>
      </c>
      <c r="D110" s="614" t="s">
        <v>974</v>
      </c>
      <c r="E110" s="613" t="s">
        <v>547</v>
      </c>
      <c r="F110" s="614" t="s">
        <v>975</v>
      </c>
      <c r="G110" s="613" t="s">
        <v>548</v>
      </c>
      <c r="H110" s="613" t="s">
        <v>589</v>
      </c>
      <c r="I110" s="613" t="s">
        <v>189</v>
      </c>
      <c r="J110" s="613" t="s">
        <v>590</v>
      </c>
      <c r="K110" s="613" t="s">
        <v>591</v>
      </c>
      <c r="L110" s="615">
        <v>23.700000000000003</v>
      </c>
      <c r="M110" s="615">
        <v>78</v>
      </c>
      <c r="N110" s="616">
        <v>1848.6000000000001</v>
      </c>
    </row>
    <row r="111" spans="1:14" ht="14.4" customHeight="1" x14ac:dyDescent="0.3">
      <c r="A111" s="611" t="s">
        <v>527</v>
      </c>
      <c r="B111" s="612" t="s">
        <v>528</v>
      </c>
      <c r="C111" s="613" t="s">
        <v>541</v>
      </c>
      <c r="D111" s="614" t="s">
        <v>974</v>
      </c>
      <c r="E111" s="613" t="s">
        <v>547</v>
      </c>
      <c r="F111" s="614" t="s">
        <v>975</v>
      </c>
      <c r="G111" s="613" t="s">
        <v>548</v>
      </c>
      <c r="H111" s="613" t="s">
        <v>666</v>
      </c>
      <c r="I111" s="613" t="s">
        <v>667</v>
      </c>
      <c r="J111" s="613" t="s">
        <v>668</v>
      </c>
      <c r="K111" s="613" t="s">
        <v>669</v>
      </c>
      <c r="L111" s="615">
        <v>34.403125946225536</v>
      </c>
      <c r="M111" s="615">
        <v>3</v>
      </c>
      <c r="N111" s="616">
        <v>103.2093778386766</v>
      </c>
    </row>
    <row r="112" spans="1:14" ht="14.4" customHeight="1" x14ac:dyDescent="0.3">
      <c r="A112" s="611" t="s">
        <v>527</v>
      </c>
      <c r="B112" s="612" t="s">
        <v>528</v>
      </c>
      <c r="C112" s="613" t="s">
        <v>541</v>
      </c>
      <c r="D112" s="614" t="s">
        <v>974</v>
      </c>
      <c r="E112" s="613" t="s">
        <v>547</v>
      </c>
      <c r="F112" s="614" t="s">
        <v>975</v>
      </c>
      <c r="G112" s="613" t="s">
        <v>548</v>
      </c>
      <c r="H112" s="613" t="s">
        <v>592</v>
      </c>
      <c r="I112" s="613" t="s">
        <v>189</v>
      </c>
      <c r="J112" s="613" t="s">
        <v>593</v>
      </c>
      <c r="K112" s="613" t="s">
        <v>594</v>
      </c>
      <c r="L112" s="615">
        <v>199.67000000000004</v>
      </c>
      <c r="M112" s="615">
        <v>3</v>
      </c>
      <c r="N112" s="616">
        <v>599.0100000000001</v>
      </c>
    </row>
    <row r="113" spans="1:14" ht="14.4" customHeight="1" x14ac:dyDescent="0.3">
      <c r="A113" s="611" t="s">
        <v>527</v>
      </c>
      <c r="B113" s="612" t="s">
        <v>528</v>
      </c>
      <c r="C113" s="613" t="s">
        <v>541</v>
      </c>
      <c r="D113" s="614" t="s">
        <v>974</v>
      </c>
      <c r="E113" s="613" t="s">
        <v>547</v>
      </c>
      <c r="F113" s="614" t="s">
        <v>975</v>
      </c>
      <c r="G113" s="613" t="s">
        <v>548</v>
      </c>
      <c r="H113" s="613" t="s">
        <v>670</v>
      </c>
      <c r="I113" s="613" t="s">
        <v>671</v>
      </c>
      <c r="J113" s="613" t="s">
        <v>672</v>
      </c>
      <c r="K113" s="613" t="s">
        <v>673</v>
      </c>
      <c r="L113" s="615">
        <v>70.989999999999995</v>
      </c>
      <c r="M113" s="615">
        <v>3</v>
      </c>
      <c r="N113" s="616">
        <v>212.96999999999997</v>
      </c>
    </row>
    <row r="114" spans="1:14" ht="14.4" customHeight="1" x14ac:dyDescent="0.3">
      <c r="A114" s="611" t="s">
        <v>527</v>
      </c>
      <c r="B114" s="612" t="s">
        <v>528</v>
      </c>
      <c r="C114" s="613" t="s">
        <v>541</v>
      </c>
      <c r="D114" s="614" t="s">
        <v>974</v>
      </c>
      <c r="E114" s="613" t="s">
        <v>547</v>
      </c>
      <c r="F114" s="614" t="s">
        <v>975</v>
      </c>
      <c r="G114" s="613" t="s">
        <v>548</v>
      </c>
      <c r="H114" s="613" t="s">
        <v>785</v>
      </c>
      <c r="I114" s="613" t="s">
        <v>786</v>
      </c>
      <c r="J114" s="613" t="s">
        <v>787</v>
      </c>
      <c r="K114" s="613" t="s">
        <v>788</v>
      </c>
      <c r="L114" s="615">
        <v>51.74999999999995</v>
      </c>
      <c r="M114" s="615">
        <v>1</v>
      </c>
      <c r="N114" s="616">
        <v>51.74999999999995</v>
      </c>
    </row>
    <row r="115" spans="1:14" ht="14.4" customHeight="1" x14ac:dyDescent="0.3">
      <c r="A115" s="611" t="s">
        <v>527</v>
      </c>
      <c r="B115" s="612" t="s">
        <v>528</v>
      </c>
      <c r="C115" s="613" t="s">
        <v>541</v>
      </c>
      <c r="D115" s="614" t="s">
        <v>974</v>
      </c>
      <c r="E115" s="613" t="s">
        <v>547</v>
      </c>
      <c r="F115" s="614" t="s">
        <v>975</v>
      </c>
      <c r="G115" s="613" t="s">
        <v>548</v>
      </c>
      <c r="H115" s="613" t="s">
        <v>789</v>
      </c>
      <c r="I115" s="613" t="s">
        <v>790</v>
      </c>
      <c r="J115" s="613" t="s">
        <v>791</v>
      </c>
      <c r="K115" s="613" t="s">
        <v>792</v>
      </c>
      <c r="L115" s="615">
        <v>112.16832282117539</v>
      </c>
      <c r="M115" s="615">
        <v>1</v>
      </c>
      <c r="N115" s="616">
        <v>112.16832282117539</v>
      </c>
    </row>
    <row r="116" spans="1:14" ht="14.4" customHeight="1" x14ac:dyDescent="0.3">
      <c r="A116" s="611" t="s">
        <v>527</v>
      </c>
      <c r="B116" s="612" t="s">
        <v>528</v>
      </c>
      <c r="C116" s="613" t="s">
        <v>541</v>
      </c>
      <c r="D116" s="614" t="s">
        <v>974</v>
      </c>
      <c r="E116" s="613" t="s">
        <v>547</v>
      </c>
      <c r="F116" s="614" t="s">
        <v>975</v>
      </c>
      <c r="G116" s="613" t="s">
        <v>548</v>
      </c>
      <c r="H116" s="613" t="s">
        <v>595</v>
      </c>
      <c r="I116" s="613" t="s">
        <v>596</v>
      </c>
      <c r="J116" s="613" t="s">
        <v>597</v>
      </c>
      <c r="K116" s="613"/>
      <c r="L116" s="615">
        <v>336.48335072999879</v>
      </c>
      <c r="M116" s="615">
        <v>3</v>
      </c>
      <c r="N116" s="616">
        <v>1009.4500521899964</v>
      </c>
    </row>
    <row r="117" spans="1:14" ht="14.4" customHeight="1" x14ac:dyDescent="0.3">
      <c r="A117" s="611" t="s">
        <v>527</v>
      </c>
      <c r="B117" s="612" t="s">
        <v>528</v>
      </c>
      <c r="C117" s="613" t="s">
        <v>541</v>
      </c>
      <c r="D117" s="614" t="s">
        <v>974</v>
      </c>
      <c r="E117" s="613" t="s">
        <v>547</v>
      </c>
      <c r="F117" s="614" t="s">
        <v>975</v>
      </c>
      <c r="G117" s="613" t="s">
        <v>548</v>
      </c>
      <c r="H117" s="613" t="s">
        <v>793</v>
      </c>
      <c r="I117" s="613" t="s">
        <v>189</v>
      </c>
      <c r="J117" s="613" t="s">
        <v>794</v>
      </c>
      <c r="K117" s="613"/>
      <c r="L117" s="615">
        <v>61.63</v>
      </c>
      <c r="M117" s="615">
        <v>1</v>
      </c>
      <c r="N117" s="616">
        <v>61.63</v>
      </c>
    </row>
    <row r="118" spans="1:14" ht="14.4" customHeight="1" x14ac:dyDescent="0.3">
      <c r="A118" s="611" t="s">
        <v>527</v>
      </c>
      <c r="B118" s="612" t="s">
        <v>528</v>
      </c>
      <c r="C118" s="613" t="s">
        <v>541</v>
      </c>
      <c r="D118" s="614" t="s">
        <v>974</v>
      </c>
      <c r="E118" s="613" t="s">
        <v>547</v>
      </c>
      <c r="F118" s="614" t="s">
        <v>975</v>
      </c>
      <c r="G118" s="613" t="s">
        <v>548</v>
      </c>
      <c r="H118" s="613" t="s">
        <v>795</v>
      </c>
      <c r="I118" s="613" t="s">
        <v>189</v>
      </c>
      <c r="J118" s="613" t="s">
        <v>796</v>
      </c>
      <c r="K118" s="613"/>
      <c r="L118" s="615">
        <v>182.34039101144663</v>
      </c>
      <c r="M118" s="615">
        <v>3</v>
      </c>
      <c r="N118" s="616">
        <v>547.02117303433988</v>
      </c>
    </row>
    <row r="119" spans="1:14" ht="14.4" customHeight="1" x14ac:dyDescent="0.3">
      <c r="A119" s="611" t="s">
        <v>527</v>
      </c>
      <c r="B119" s="612" t="s">
        <v>528</v>
      </c>
      <c r="C119" s="613" t="s">
        <v>541</v>
      </c>
      <c r="D119" s="614" t="s">
        <v>974</v>
      </c>
      <c r="E119" s="613" t="s">
        <v>547</v>
      </c>
      <c r="F119" s="614" t="s">
        <v>975</v>
      </c>
      <c r="G119" s="613" t="s">
        <v>548</v>
      </c>
      <c r="H119" s="613" t="s">
        <v>797</v>
      </c>
      <c r="I119" s="613" t="s">
        <v>798</v>
      </c>
      <c r="J119" s="613" t="s">
        <v>799</v>
      </c>
      <c r="K119" s="613" t="s">
        <v>800</v>
      </c>
      <c r="L119" s="615">
        <v>54.649999999999949</v>
      </c>
      <c r="M119" s="615">
        <v>1</v>
      </c>
      <c r="N119" s="616">
        <v>54.649999999999949</v>
      </c>
    </row>
    <row r="120" spans="1:14" ht="14.4" customHeight="1" x14ac:dyDescent="0.3">
      <c r="A120" s="611" t="s">
        <v>527</v>
      </c>
      <c r="B120" s="612" t="s">
        <v>528</v>
      </c>
      <c r="C120" s="613" t="s">
        <v>541</v>
      </c>
      <c r="D120" s="614" t="s">
        <v>974</v>
      </c>
      <c r="E120" s="613" t="s">
        <v>547</v>
      </c>
      <c r="F120" s="614" t="s">
        <v>975</v>
      </c>
      <c r="G120" s="613" t="s">
        <v>548</v>
      </c>
      <c r="H120" s="613" t="s">
        <v>801</v>
      </c>
      <c r="I120" s="613" t="s">
        <v>802</v>
      </c>
      <c r="J120" s="613" t="s">
        <v>803</v>
      </c>
      <c r="K120" s="613" t="s">
        <v>804</v>
      </c>
      <c r="L120" s="615">
        <v>593.45000000000005</v>
      </c>
      <c r="M120" s="615">
        <v>1</v>
      </c>
      <c r="N120" s="616">
        <v>593.45000000000005</v>
      </c>
    </row>
    <row r="121" spans="1:14" ht="14.4" customHeight="1" x14ac:dyDescent="0.3">
      <c r="A121" s="611" t="s">
        <v>527</v>
      </c>
      <c r="B121" s="612" t="s">
        <v>528</v>
      </c>
      <c r="C121" s="613" t="s">
        <v>541</v>
      </c>
      <c r="D121" s="614" t="s">
        <v>974</v>
      </c>
      <c r="E121" s="613" t="s">
        <v>547</v>
      </c>
      <c r="F121" s="614" t="s">
        <v>975</v>
      </c>
      <c r="G121" s="613" t="s">
        <v>548</v>
      </c>
      <c r="H121" s="613" t="s">
        <v>805</v>
      </c>
      <c r="I121" s="613" t="s">
        <v>806</v>
      </c>
      <c r="J121" s="613" t="s">
        <v>807</v>
      </c>
      <c r="K121" s="613" t="s">
        <v>808</v>
      </c>
      <c r="L121" s="615">
        <v>33.96</v>
      </c>
      <c r="M121" s="615">
        <v>20</v>
      </c>
      <c r="N121" s="616">
        <v>679.2</v>
      </c>
    </row>
    <row r="122" spans="1:14" ht="14.4" customHeight="1" x14ac:dyDescent="0.3">
      <c r="A122" s="611" t="s">
        <v>527</v>
      </c>
      <c r="B122" s="612" t="s">
        <v>528</v>
      </c>
      <c r="C122" s="613" t="s">
        <v>541</v>
      </c>
      <c r="D122" s="614" t="s">
        <v>974</v>
      </c>
      <c r="E122" s="613" t="s">
        <v>547</v>
      </c>
      <c r="F122" s="614" t="s">
        <v>975</v>
      </c>
      <c r="G122" s="613" t="s">
        <v>548</v>
      </c>
      <c r="H122" s="613" t="s">
        <v>809</v>
      </c>
      <c r="I122" s="613" t="s">
        <v>810</v>
      </c>
      <c r="J122" s="613" t="s">
        <v>811</v>
      </c>
      <c r="K122" s="613" t="s">
        <v>673</v>
      </c>
      <c r="L122" s="615">
        <v>31.04000000000002</v>
      </c>
      <c r="M122" s="615">
        <v>1</v>
      </c>
      <c r="N122" s="616">
        <v>31.04000000000002</v>
      </c>
    </row>
    <row r="123" spans="1:14" ht="14.4" customHeight="1" x14ac:dyDescent="0.3">
      <c r="A123" s="611" t="s">
        <v>527</v>
      </c>
      <c r="B123" s="612" t="s">
        <v>528</v>
      </c>
      <c r="C123" s="613" t="s">
        <v>541</v>
      </c>
      <c r="D123" s="614" t="s">
        <v>974</v>
      </c>
      <c r="E123" s="613" t="s">
        <v>547</v>
      </c>
      <c r="F123" s="614" t="s">
        <v>975</v>
      </c>
      <c r="G123" s="613" t="s">
        <v>548</v>
      </c>
      <c r="H123" s="613" t="s">
        <v>812</v>
      </c>
      <c r="I123" s="613" t="s">
        <v>813</v>
      </c>
      <c r="J123" s="613" t="s">
        <v>814</v>
      </c>
      <c r="K123" s="613" t="s">
        <v>815</v>
      </c>
      <c r="L123" s="615">
        <v>19.761999999999997</v>
      </c>
      <c r="M123" s="615">
        <v>50</v>
      </c>
      <c r="N123" s="616">
        <v>988.09999999999991</v>
      </c>
    </row>
    <row r="124" spans="1:14" ht="14.4" customHeight="1" x14ac:dyDescent="0.3">
      <c r="A124" s="611" t="s">
        <v>527</v>
      </c>
      <c r="B124" s="612" t="s">
        <v>528</v>
      </c>
      <c r="C124" s="613" t="s">
        <v>541</v>
      </c>
      <c r="D124" s="614" t="s">
        <v>974</v>
      </c>
      <c r="E124" s="613" t="s">
        <v>547</v>
      </c>
      <c r="F124" s="614" t="s">
        <v>975</v>
      </c>
      <c r="G124" s="613" t="s">
        <v>548</v>
      </c>
      <c r="H124" s="613" t="s">
        <v>816</v>
      </c>
      <c r="I124" s="613" t="s">
        <v>816</v>
      </c>
      <c r="J124" s="613" t="s">
        <v>817</v>
      </c>
      <c r="K124" s="613" t="s">
        <v>818</v>
      </c>
      <c r="L124" s="615">
        <v>698.2899999999994</v>
      </c>
      <c r="M124" s="615">
        <v>1</v>
      </c>
      <c r="N124" s="616">
        <v>698.2899999999994</v>
      </c>
    </row>
    <row r="125" spans="1:14" ht="14.4" customHeight="1" x14ac:dyDescent="0.3">
      <c r="A125" s="611" t="s">
        <v>527</v>
      </c>
      <c r="B125" s="612" t="s">
        <v>528</v>
      </c>
      <c r="C125" s="613" t="s">
        <v>541</v>
      </c>
      <c r="D125" s="614" t="s">
        <v>974</v>
      </c>
      <c r="E125" s="613" t="s">
        <v>547</v>
      </c>
      <c r="F125" s="614" t="s">
        <v>975</v>
      </c>
      <c r="G125" s="613" t="s">
        <v>548</v>
      </c>
      <c r="H125" s="613" t="s">
        <v>819</v>
      </c>
      <c r="I125" s="613" t="s">
        <v>820</v>
      </c>
      <c r="J125" s="613" t="s">
        <v>821</v>
      </c>
      <c r="K125" s="613" t="s">
        <v>822</v>
      </c>
      <c r="L125" s="615">
        <v>218.71944422955033</v>
      </c>
      <c r="M125" s="615">
        <v>1</v>
      </c>
      <c r="N125" s="616">
        <v>218.71944422955033</v>
      </c>
    </row>
    <row r="126" spans="1:14" ht="14.4" customHeight="1" x14ac:dyDescent="0.3">
      <c r="A126" s="611" t="s">
        <v>527</v>
      </c>
      <c r="B126" s="612" t="s">
        <v>528</v>
      </c>
      <c r="C126" s="613" t="s">
        <v>541</v>
      </c>
      <c r="D126" s="614" t="s">
        <v>974</v>
      </c>
      <c r="E126" s="613" t="s">
        <v>547</v>
      </c>
      <c r="F126" s="614" t="s">
        <v>975</v>
      </c>
      <c r="G126" s="613" t="s">
        <v>548</v>
      </c>
      <c r="H126" s="613" t="s">
        <v>823</v>
      </c>
      <c r="I126" s="613" t="s">
        <v>823</v>
      </c>
      <c r="J126" s="613" t="s">
        <v>824</v>
      </c>
      <c r="K126" s="613" t="s">
        <v>825</v>
      </c>
      <c r="L126" s="615">
        <v>742.45982943163767</v>
      </c>
      <c r="M126" s="615">
        <v>2</v>
      </c>
      <c r="N126" s="616">
        <v>1484.9196588632753</v>
      </c>
    </row>
    <row r="127" spans="1:14" ht="14.4" customHeight="1" x14ac:dyDescent="0.3">
      <c r="A127" s="611" t="s">
        <v>527</v>
      </c>
      <c r="B127" s="612" t="s">
        <v>528</v>
      </c>
      <c r="C127" s="613" t="s">
        <v>541</v>
      </c>
      <c r="D127" s="614" t="s">
        <v>974</v>
      </c>
      <c r="E127" s="613" t="s">
        <v>547</v>
      </c>
      <c r="F127" s="614" t="s">
        <v>975</v>
      </c>
      <c r="G127" s="613" t="s">
        <v>548</v>
      </c>
      <c r="H127" s="613" t="s">
        <v>600</v>
      </c>
      <c r="I127" s="613" t="s">
        <v>189</v>
      </c>
      <c r="J127" s="613" t="s">
        <v>601</v>
      </c>
      <c r="K127" s="613"/>
      <c r="L127" s="615">
        <v>56.189108612028953</v>
      </c>
      <c r="M127" s="615">
        <v>46</v>
      </c>
      <c r="N127" s="616">
        <v>2584.6989961533318</v>
      </c>
    </row>
    <row r="128" spans="1:14" ht="14.4" customHeight="1" x14ac:dyDescent="0.3">
      <c r="A128" s="611" t="s">
        <v>527</v>
      </c>
      <c r="B128" s="612" t="s">
        <v>528</v>
      </c>
      <c r="C128" s="613" t="s">
        <v>541</v>
      </c>
      <c r="D128" s="614" t="s">
        <v>974</v>
      </c>
      <c r="E128" s="613" t="s">
        <v>547</v>
      </c>
      <c r="F128" s="614" t="s">
        <v>975</v>
      </c>
      <c r="G128" s="613" t="s">
        <v>548</v>
      </c>
      <c r="H128" s="613" t="s">
        <v>604</v>
      </c>
      <c r="I128" s="613" t="s">
        <v>189</v>
      </c>
      <c r="J128" s="613" t="s">
        <v>605</v>
      </c>
      <c r="K128" s="613"/>
      <c r="L128" s="615">
        <v>43.794640000000001</v>
      </c>
      <c r="M128" s="615">
        <v>10</v>
      </c>
      <c r="N128" s="616">
        <v>437.94640000000004</v>
      </c>
    </row>
    <row r="129" spans="1:14" ht="14.4" customHeight="1" x14ac:dyDescent="0.3">
      <c r="A129" s="611" t="s">
        <v>527</v>
      </c>
      <c r="B129" s="612" t="s">
        <v>528</v>
      </c>
      <c r="C129" s="613" t="s">
        <v>541</v>
      </c>
      <c r="D129" s="614" t="s">
        <v>974</v>
      </c>
      <c r="E129" s="613" t="s">
        <v>547</v>
      </c>
      <c r="F129" s="614" t="s">
        <v>975</v>
      </c>
      <c r="G129" s="613" t="s">
        <v>548</v>
      </c>
      <c r="H129" s="613" t="s">
        <v>608</v>
      </c>
      <c r="I129" s="613" t="s">
        <v>189</v>
      </c>
      <c r="J129" s="613" t="s">
        <v>609</v>
      </c>
      <c r="K129" s="613"/>
      <c r="L129" s="615">
        <v>104.14339219443902</v>
      </c>
      <c r="M129" s="615">
        <v>17</v>
      </c>
      <c r="N129" s="616">
        <v>1770.4376673054633</v>
      </c>
    </row>
    <row r="130" spans="1:14" ht="14.4" customHeight="1" x14ac:dyDescent="0.3">
      <c r="A130" s="611" t="s">
        <v>527</v>
      </c>
      <c r="B130" s="612" t="s">
        <v>528</v>
      </c>
      <c r="C130" s="613" t="s">
        <v>541</v>
      </c>
      <c r="D130" s="614" t="s">
        <v>974</v>
      </c>
      <c r="E130" s="613" t="s">
        <v>547</v>
      </c>
      <c r="F130" s="614" t="s">
        <v>975</v>
      </c>
      <c r="G130" s="613" t="s">
        <v>548</v>
      </c>
      <c r="H130" s="613" t="s">
        <v>676</v>
      </c>
      <c r="I130" s="613" t="s">
        <v>677</v>
      </c>
      <c r="J130" s="613" t="s">
        <v>678</v>
      </c>
      <c r="K130" s="613" t="s">
        <v>679</v>
      </c>
      <c r="L130" s="615">
        <v>78.024836480370851</v>
      </c>
      <c r="M130" s="615">
        <v>2</v>
      </c>
      <c r="N130" s="616">
        <v>156.0496729607417</v>
      </c>
    </row>
    <row r="131" spans="1:14" ht="14.4" customHeight="1" x14ac:dyDescent="0.3">
      <c r="A131" s="611" t="s">
        <v>527</v>
      </c>
      <c r="B131" s="612" t="s">
        <v>528</v>
      </c>
      <c r="C131" s="613" t="s">
        <v>541</v>
      </c>
      <c r="D131" s="614" t="s">
        <v>974</v>
      </c>
      <c r="E131" s="613" t="s">
        <v>547</v>
      </c>
      <c r="F131" s="614" t="s">
        <v>975</v>
      </c>
      <c r="G131" s="613" t="s">
        <v>548</v>
      </c>
      <c r="H131" s="613" t="s">
        <v>680</v>
      </c>
      <c r="I131" s="613" t="s">
        <v>189</v>
      </c>
      <c r="J131" s="613" t="s">
        <v>681</v>
      </c>
      <c r="K131" s="613"/>
      <c r="L131" s="615">
        <v>290.48288581697318</v>
      </c>
      <c r="M131" s="615">
        <v>10</v>
      </c>
      <c r="N131" s="616">
        <v>2904.8288581697316</v>
      </c>
    </row>
    <row r="132" spans="1:14" ht="14.4" customHeight="1" x14ac:dyDescent="0.3">
      <c r="A132" s="611" t="s">
        <v>527</v>
      </c>
      <c r="B132" s="612" t="s">
        <v>528</v>
      </c>
      <c r="C132" s="613" t="s">
        <v>541</v>
      </c>
      <c r="D132" s="614" t="s">
        <v>974</v>
      </c>
      <c r="E132" s="613" t="s">
        <v>547</v>
      </c>
      <c r="F132" s="614" t="s">
        <v>975</v>
      </c>
      <c r="G132" s="613" t="s">
        <v>548</v>
      </c>
      <c r="H132" s="613" t="s">
        <v>682</v>
      </c>
      <c r="I132" s="613" t="s">
        <v>189</v>
      </c>
      <c r="J132" s="613" t="s">
        <v>683</v>
      </c>
      <c r="K132" s="613"/>
      <c r="L132" s="615">
        <v>145.55305479318014</v>
      </c>
      <c r="M132" s="615">
        <v>14</v>
      </c>
      <c r="N132" s="616">
        <v>2037.742767104522</v>
      </c>
    </row>
    <row r="133" spans="1:14" ht="14.4" customHeight="1" x14ac:dyDescent="0.3">
      <c r="A133" s="611" t="s">
        <v>527</v>
      </c>
      <c r="B133" s="612" t="s">
        <v>528</v>
      </c>
      <c r="C133" s="613" t="s">
        <v>541</v>
      </c>
      <c r="D133" s="614" t="s">
        <v>974</v>
      </c>
      <c r="E133" s="613" t="s">
        <v>547</v>
      </c>
      <c r="F133" s="614" t="s">
        <v>975</v>
      </c>
      <c r="G133" s="613" t="s">
        <v>548</v>
      </c>
      <c r="H133" s="613" t="s">
        <v>684</v>
      </c>
      <c r="I133" s="613" t="s">
        <v>189</v>
      </c>
      <c r="J133" s="613" t="s">
        <v>685</v>
      </c>
      <c r="K133" s="613"/>
      <c r="L133" s="615">
        <v>219.49806987391736</v>
      </c>
      <c r="M133" s="615">
        <v>8</v>
      </c>
      <c r="N133" s="616">
        <v>1755.9845589913389</v>
      </c>
    </row>
    <row r="134" spans="1:14" ht="14.4" customHeight="1" x14ac:dyDescent="0.3">
      <c r="A134" s="611" t="s">
        <v>527</v>
      </c>
      <c r="B134" s="612" t="s">
        <v>528</v>
      </c>
      <c r="C134" s="613" t="s">
        <v>541</v>
      </c>
      <c r="D134" s="614" t="s">
        <v>974</v>
      </c>
      <c r="E134" s="613" t="s">
        <v>547</v>
      </c>
      <c r="F134" s="614" t="s">
        <v>975</v>
      </c>
      <c r="G134" s="613" t="s">
        <v>548</v>
      </c>
      <c r="H134" s="613" t="s">
        <v>688</v>
      </c>
      <c r="I134" s="613" t="s">
        <v>189</v>
      </c>
      <c r="J134" s="613" t="s">
        <v>689</v>
      </c>
      <c r="K134" s="613"/>
      <c r="L134" s="615">
        <v>93.067063574466545</v>
      </c>
      <c r="M134" s="615">
        <v>10</v>
      </c>
      <c r="N134" s="616">
        <v>930.67063574466545</v>
      </c>
    </row>
    <row r="135" spans="1:14" ht="14.4" customHeight="1" x14ac:dyDescent="0.3">
      <c r="A135" s="611" t="s">
        <v>527</v>
      </c>
      <c r="B135" s="612" t="s">
        <v>528</v>
      </c>
      <c r="C135" s="613" t="s">
        <v>541</v>
      </c>
      <c r="D135" s="614" t="s">
        <v>974</v>
      </c>
      <c r="E135" s="613" t="s">
        <v>547</v>
      </c>
      <c r="F135" s="614" t="s">
        <v>975</v>
      </c>
      <c r="G135" s="613" t="s">
        <v>548</v>
      </c>
      <c r="H135" s="613" t="s">
        <v>826</v>
      </c>
      <c r="I135" s="613" t="s">
        <v>189</v>
      </c>
      <c r="J135" s="613" t="s">
        <v>827</v>
      </c>
      <c r="K135" s="613"/>
      <c r="L135" s="615">
        <v>507.77966514438805</v>
      </c>
      <c r="M135" s="615">
        <v>1</v>
      </c>
      <c r="N135" s="616">
        <v>507.77966514438805</v>
      </c>
    </row>
    <row r="136" spans="1:14" ht="14.4" customHeight="1" x14ac:dyDescent="0.3">
      <c r="A136" s="611" t="s">
        <v>527</v>
      </c>
      <c r="B136" s="612" t="s">
        <v>528</v>
      </c>
      <c r="C136" s="613" t="s">
        <v>541</v>
      </c>
      <c r="D136" s="614" t="s">
        <v>974</v>
      </c>
      <c r="E136" s="613" t="s">
        <v>547</v>
      </c>
      <c r="F136" s="614" t="s">
        <v>975</v>
      </c>
      <c r="G136" s="613" t="s">
        <v>548</v>
      </c>
      <c r="H136" s="613" t="s">
        <v>828</v>
      </c>
      <c r="I136" s="613" t="s">
        <v>829</v>
      </c>
      <c r="J136" s="613" t="s">
        <v>830</v>
      </c>
      <c r="K136" s="613" t="s">
        <v>831</v>
      </c>
      <c r="L136" s="615">
        <v>410.89</v>
      </c>
      <c r="M136" s="615">
        <v>10</v>
      </c>
      <c r="N136" s="616">
        <v>4108.8999999999996</v>
      </c>
    </row>
    <row r="137" spans="1:14" ht="14.4" customHeight="1" x14ac:dyDescent="0.3">
      <c r="A137" s="611" t="s">
        <v>527</v>
      </c>
      <c r="B137" s="612" t="s">
        <v>528</v>
      </c>
      <c r="C137" s="613" t="s">
        <v>541</v>
      </c>
      <c r="D137" s="614" t="s">
        <v>974</v>
      </c>
      <c r="E137" s="613" t="s">
        <v>547</v>
      </c>
      <c r="F137" s="614" t="s">
        <v>975</v>
      </c>
      <c r="G137" s="613" t="s">
        <v>548</v>
      </c>
      <c r="H137" s="613" t="s">
        <v>832</v>
      </c>
      <c r="I137" s="613" t="s">
        <v>833</v>
      </c>
      <c r="J137" s="613" t="s">
        <v>834</v>
      </c>
      <c r="K137" s="613" t="s">
        <v>835</v>
      </c>
      <c r="L137" s="615">
        <v>901.19960507189762</v>
      </c>
      <c r="M137" s="615">
        <v>4</v>
      </c>
      <c r="N137" s="616">
        <v>3604.7984202875905</v>
      </c>
    </row>
    <row r="138" spans="1:14" ht="14.4" customHeight="1" x14ac:dyDescent="0.3">
      <c r="A138" s="611" t="s">
        <v>527</v>
      </c>
      <c r="B138" s="612" t="s">
        <v>528</v>
      </c>
      <c r="C138" s="613" t="s">
        <v>541</v>
      </c>
      <c r="D138" s="614" t="s">
        <v>974</v>
      </c>
      <c r="E138" s="613" t="s">
        <v>547</v>
      </c>
      <c r="F138" s="614" t="s">
        <v>975</v>
      </c>
      <c r="G138" s="613" t="s">
        <v>548</v>
      </c>
      <c r="H138" s="613" t="s">
        <v>836</v>
      </c>
      <c r="I138" s="613" t="s">
        <v>836</v>
      </c>
      <c r="J138" s="613" t="s">
        <v>837</v>
      </c>
      <c r="K138" s="613" t="s">
        <v>838</v>
      </c>
      <c r="L138" s="615">
        <v>7252.19805394794</v>
      </c>
      <c r="M138" s="615">
        <v>2</v>
      </c>
      <c r="N138" s="616">
        <v>14504.39610789588</v>
      </c>
    </row>
    <row r="139" spans="1:14" ht="14.4" customHeight="1" x14ac:dyDescent="0.3">
      <c r="A139" s="611" t="s">
        <v>527</v>
      </c>
      <c r="B139" s="612" t="s">
        <v>528</v>
      </c>
      <c r="C139" s="613" t="s">
        <v>541</v>
      </c>
      <c r="D139" s="614" t="s">
        <v>974</v>
      </c>
      <c r="E139" s="613" t="s">
        <v>547</v>
      </c>
      <c r="F139" s="614" t="s">
        <v>975</v>
      </c>
      <c r="G139" s="613" t="s">
        <v>548</v>
      </c>
      <c r="H139" s="613" t="s">
        <v>839</v>
      </c>
      <c r="I139" s="613" t="s">
        <v>840</v>
      </c>
      <c r="J139" s="613" t="s">
        <v>814</v>
      </c>
      <c r="K139" s="613" t="s">
        <v>841</v>
      </c>
      <c r="L139" s="615">
        <v>18.368333333333332</v>
      </c>
      <c r="M139" s="615">
        <v>120</v>
      </c>
      <c r="N139" s="616">
        <v>2204.1999999999998</v>
      </c>
    </row>
    <row r="140" spans="1:14" ht="14.4" customHeight="1" x14ac:dyDescent="0.3">
      <c r="A140" s="611" t="s">
        <v>527</v>
      </c>
      <c r="B140" s="612" t="s">
        <v>528</v>
      </c>
      <c r="C140" s="613" t="s">
        <v>541</v>
      </c>
      <c r="D140" s="614" t="s">
        <v>974</v>
      </c>
      <c r="E140" s="613" t="s">
        <v>547</v>
      </c>
      <c r="F140" s="614" t="s">
        <v>975</v>
      </c>
      <c r="G140" s="613" t="s">
        <v>548</v>
      </c>
      <c r="H140" s="613" t="s">
        <v>842</v>
      </c>
      <c r="I140" s="613" t="s">
        <v>843</v>
      </c>
      <c r="J140" s="613" t="s">
        <v>807</v>
      </c>
      <c r="K140" s="613" t="s">
        <v>844</v>
      </c>
      <c r="L140" s="615">
        <v>32.256330275229359</v>
      </c>
      <c r="M140" s="615">
        <v>109</v>
      </c>
      <c r="N140" s="616">
        <v>3515.94</v>
      </c>
    </row>
    <row r="141" spans="1:14" ht="14.4" customHeight="1" x14ac:dyDescent="0.3">
      <c r="A141" s="611" t="s">
        <v>527</v>
      </c>
      <c r="B141" s="612" t="s">
        <v>528</v>
      </c>
      <c r="C141" s="613" t="s">
        <v>541</v>
      </c>
      <c r="D141" s="614" t="s">
        <v>974</v>
      </c>
      <c r="E141" s="613" t="s">
        <v>547</v>
      </c>
      <c r="F141" s="614" t="s">
        <v>975</v>
      </c>
      <c r="G141" s="613" t="s">
        <v>548</v>
      </c>
      <c r="H141" s="613" t="s">
        <v>845</v>
      </c>
      <c r="I141" s="613" t="s">
        <v>846</v>
      </c>
      <c r="J141" s="613" t="s">
        <v>847</v>
      </c>
      <c r="K141" s="613" t="s">
        <v>848</v>
      </c>
      <c r="L141" s="615">
        <v>87.849663932845402</v>
      </c>
      <c r="M141" s="615">
        <v>5</v>
      </c>
      <c r="N141" s="616">
        <v>439.24831966422698</v>
      </c>
    </row>
    <row r="142" spans="1:14" ht="14.4" customHeight="1" x14ac:dyDescent="0.3">
      <c r="A142" s="611" t="s">
        <v>527</v>
      </c>
      <c r="B142" s="612" t="s">
        <v>528</v>
      </c>
      <c r="C142" s="613" t="s">
        <v>541</v>
      </c>
      <c r="D142" s="614" t="s">
        <v>974</v>
      </c>
      <c r="E142" s="613" t="s">
        <v>547</v>
      </c>
      <c r="F142" s="614" t="s">
        <v>975</v>
      </c>
      <c r="G142" s="613" t="s">
        <v>548</v>
      </c>
      <c r="H142" s="613" t="s">
        <v>849</v>
      </c>
      <c r="I142" s="613" t="s">
        <v>850</v>
      </c>
      <c r="J142" s="613" t="s">
        <v>851</v>
      </c>
      <c r="K142" s="613" t="s">
        <v>852</v>
      </c>
      <c r="L142" s="615">
        <v>17395.522575172788</v>
      </c>
      <c r="M142" s="615">
        <v>5</v>
      </c>
      <c r="N142" s="616">
        <v>86977.612875863939</v>
      </c>
    </row>
    <row r="143" spans="1:14" ht="14.4" customHeight="1" x14ac:dyDescent="0.3">
      <c r="A143" s="611" t="s">
        <v>527</v>
      </c>
      <c r="B143" s="612" t="s">
        <v>528</v>
      </c>
      <c r="C143" s="613" t="s">
        <v>541</v>
      </c>
      <c r="D143" s="614" t="s">
        <v>974</v>
      </c>
      <c r="E143" s="613" t="s">
        <v>547</v>
      </c>
      <c r="F143" s="614" t="s">
        <v>975</v>
      </c>
      <c r="G143" s="613" t="s">
        <v>548</v>
      </c>
      <c r="H143" s="613" t="s">
        <v>853</v>
      </c>
      <c r="I143" s="613" t="s">
        <v>854</v>
      </c>
      <c r="J143" s="613" t="s">
        <v>855</v>
      </c>
      <c r="K143" s="613" t="s">
        <v>856</v>
      </c>
      <c r="L143" s="615">
        <v>279.42748586210661</v>
      </c>
      <c r="M143" s="615">
        <v>5</v>
      </c>
      <c r="N143" s="616">
        <v>1397.137429310533</v>
      </c>
    </row>
    <row r="144" spans="1:14" ht="14.4" customHeight="1" x14ac:dyDescent="0.3">
      <c r="A144" s="611" t="s">
        <v>527</v>
      </c>
      <c r="B144" s="612" t="s">
        <v>528</v>
      </c>
      <c r="C144" s="613" t="s">
        <v>541</v>
      </c>
      <c r="D144" s="614" t="s">
        <v>974</v>
      </c>
      <c r="E144" s="613" t="s">
        <v>547</v>
      </c>
      <c r="F144" s="614" t="s">
        <v>975</v>
      </c>
      <c r="G144" s="613" t="s">
        <v>548</v>
      </c>
      <c r="H144" s="613" t="s">
        <v>857</v>
      </c>
      <c r="I144" s="613" t="s">
        <v>858</v>
      </c>
      <c r="J144" s="613" t="s">
        <v>859</v>
      </c>
      <c r="K144" s="613" t="s">
        <v>860</v>
      </c>
      <c r="L144" s="615">
        <v>2781.91</v>
      </c>
      <c r="M144" s="615">
        <v>3</v>
      </c>
      <c r="N144" s="616">
        <v>8345.73</v>
      </c>
    </row>
    <row r="145" spans="1:14" ht="14.4" customHeight="1" x14ac:dyDescent="0.3">
      <c r="A145" s="611" t="s">
        <v>527</v>
      </c>
      <c r="B145" s="612" t="s">
        <v>528</v>
      </c>
      <c r="C145" s="613" t="s">
        <v>541</v>
      </c>
      <c r="D145" s="614" t="s">
        <v>974</v>
      </c>
      <c r="E145" s="613" t="s">
        <v>547</v>
      </c>
      <c r="F145" s="614" t="s">
        <v>975</v>
      </c>
      <c r="G145" s="613" t="s">
        <v>548</v>
      </c>
      <c r="H145" s="613" t="s">
        <v>861</v>
      </c>
      <c r="I145" s="613" t="s">
        <v>189</v>
      </c>
      <c r="J145" s="613" t="s">
        <v>862</v>
      </c>
      <c r="K145" s="613"/>
      <c r="L145" s="615">
        <v>132.62614940567613</v>
      </c>
      <c r="M145" s="615">
        <v>5</v>
      </c>
      <c r="N145" s="616">
        <v>663.13074702838071</v>
      </c>
    </row>
    <row r="146" spans="1:14" ht="14.4" customHeight="1" x14ac:dyDescent="0.3">
      <c r="A146" s="611" t="s">
        <v>527</v>
      </c>
      <c r="B146" s="612" t="s">
        <v>528</v>
      </c>
      <c r="C146" s="613" t="s">
        <v>541</v>
      </c>
      <c r="D146" s="614" t="s">
        <v>974</v>
      </c>
      <c r="E146" s="613" t="s">
        <v>547</v>
      </c>
      <c r="F146" s="614" t="s">
        <v>975</v>
      </c>
      <c r="G146" s="613" t="s">
        <v>548</v>
      </c>
      <c r="H146" s="613" t="s">
        <v>863</v>
      </c>
      <c r="I146" s="613" t="s">
        <v>189</v>
      </c>
      <c r="J146" s="613" t="s">
        <v>864</v>
      </c>
      <c r="K146" s="613"/>
      <c r="L146" s="615">
        <v>373.02842862527882</v>
      </c>
      <c r="M146" s="615">
        <v>2</v>
      </c>
      <c r="N146" s="616">
        <v>746.05685725055764</v>
      </c>
    </row>
    <row r="147" spans="1:14" ht="14.4" customHeight="1" x14ac:dyDescent="0.3">
      <c r="A147" s="611" t="s">
        <v>527</v>
      </c>
      <c r="B147" s="612" t="s">
        <v>528</v>
      </c>
      <c r="C147" s="613" t="s">
        <v>541</v>
      </c>
      <c r="D147" s="614" t="s">
        <v>974</v>
      </c>
      <c r="E147" s="613" t="s">
        <v>547</v>
      </c>
      <c r="F147" s="614" t="s">
        <v>975</v>
      </c>
      <c r="G147" s="613" t="s">
        <v>548</v>
      </c>
      <c r="H147" s="613" t="s">
        <v>865</v>
      </c>
      <c r="I147" s="613" t="s">
        <v>189</v>
      </c>
      <c r="J147" s="613" t="s">
        <v>866</v>
      </c>
      <c r="K147" s="613"/>
      <c r="L147" s="615">
        <v>248.90317353891646</v>
      </c>
      <c r="M147" s="615">
        <v>2</v>
      </c>
      <c r="N147" s="616">
        <v>497.80634707783292</v>
      </c>
    </row>
    <row r="148" spans="1:14" ht="14.4" customHeight="1" x14ac:dyDescent="0.3">
      <c r="A148" s="611" t="s">
        <v>527</v>
      </c>
      <c r="B148" s="612" t="s">
        <v>528</v>
      </c>
      <c r="C148" s="613" t="s">
        <v>541</v>
      </c>
      <c r="D148" s="614" t="s">
        <v>974</v>
      </c>
      <c r="E148" s="613" t="s">
        <v>547</v>
      </c>
      <c r="F148" s="614" t="s">
        <v>975</v>
      </c>
      <c r="G148" s="613" t="s">
        <v>548</v>
      </c>
      <c r="H148" s="613" t="s">
        <v>867</v>
      </c>
      <c r="I148" s="613" t="s">
        <v>189</v>
      </c>
      <c r="J148" s="613" t="s">
        <v>868</v>
      </c>
      <c r="K148" s="613"/>
      <c r="L148" s="615">
        <v>274.8684351355958</v>
      </c>
      <c r="M148" s="615">
        <v>1</v>
      </c>
      <c r="N148" s="616">
        <v>274.8684351355958</v>
      </c>
    </row>
    <row r="149" spans="1:14" ht="14.4" customHeight="1" x14ac:dyDescent="0.3">
      <c r="A149" s="611" t="s">
        <v>527</v>
      </c>
      <c r="B149" s="612" t="s">
        <v>528</v>
      </c>
      <c r="C149" s="613" t="s">
        <v>541</v>
      </c>
      <c r="D149" s="614" t="s">
        <v>974</v>
      </c>
      <c r="E149" s="613" t="s">
        <v>547</v>
      </c>
      <c r="F149" s="614" t="s">
        <v>975</v>
      </c>
      <c r="G149" s="613" t="s">
        <v>548</v>
      </c>
      <c r="H149" s="613" t="s">
        <v>869</v>
      </c>
      <c r="I149" s="613" t="s">
        <v>189</v>
      </c>
      <c r="J149" s="613" t="s">
        <v>870</v>
      </c>
      <c r="K149" s="613"/>
      <c r="L149" s="615">
        <v>150.52784207544121</v>
      </c>
      <c r="M149" s="615">
        <v>8</v>
      </c>
      <c r="N149" s="616">
        <v>1204.2227366035297</v>
      </c>
    </row>
    <row r="150" spans="1:14" ht="14.4" customHeight="1" x14ac:dyDescent="0.3">
      <c r="A150" s="611" t="s">
        <v>527</v>
      </c>
      <c r="B150" s="612" t="s">
        <v>528</v>
      </c>
      <c r="C150" s="613" t="s">
        <v>541</v>
      </c>
      <c r="D150" s="614" t="s">
        <v>974</v>
      </c>
      <c r="E150" s="613" t="s">
        <v>547</v>
      </c>
      <c r="F150" s="614" t="s">
        <v>975</v>
      </c>
      <c r="G150" s="613" t="s">
        <v>548</v>
      </c>
      <c r="H150" s="613" t="s">
        <v>694</v>
      </c>
      <c r="I150" s="613" t="s">
        <v>189</v>
      </c>
      <c r="J150" s="613" t="s">
        <v>695</v>
      </c>
      <c r="K150" s="613"/>
      <c r="L150" s="615">
        <v>163.35000303331859</v>
      </c>
      <c r="M150" s="615">
        <v>1</v>
      </c>
      <c r="N150" s="616">
        <v>163.35000303331859</v>
      </c>
    </row>
    <row r="151" spans="1:14" ht="14.4" customHeight="1" x14ac:dyDescent="0.3">
      <c r="A151" s="611" t="s">
        <v>527</v>
      </c>
      <c r="B151" s="612" t="s">
        <v>528</v>
      </c>
      <c r="C151" s="613" t="s">
        <v>541</v>
      </c>
      <c r="D151" s="614" t="s">
        <v>974</v>
      </c>
      <c r="E151" s="613" t="s">
        <v>547</v>
      </c>
      <c r="F151" s="614" t="s">
        <v>975</v>
      </c>
      <c r="G151" s="613" t="s">
        <v>548</v>
      </c>
      <c r="H151" s="613" t="s">
        <v>871</v>
      </c>
      <c r="I151" s="613" t="s">
        <v>871</v>
      </c>
      <c r="J151" s="613" t="s">
        <v>872</v>
      </c>
      <c r="K151" s="613" t="s">
        <v>873</v>
      </c>
      <c r="L151" s="615">
        <v>247.50018807962979</v>
      </c>
      <c r="M151" s="615">
        <v>3</v>
      </c>
      <c r="N151" s="616">
        <v>742.50056423888941</v>
      </c>
    </row>
    <row r="152" spans="1:14" ht="14.4" customHeight="1" x14ac:dyDescent="0.3">
      <c r="A152" s="611" t="s">
        <v>527</v>
      </c>
      <c r="B152" s="612" t="s">
        <v>528</v>
      </c>
      <c r="C152" s="613" t="s">
        <v>541</v>
      </c>
      <c r="D152" s="614" t="s">
        <v>974</v>
      </c>
      <c r="E152" s="613" t="s">
        <v>547</v>
      </c>
      <c r="F152" s="614" t="s">
        <v>975</v>
      </c>
      <c r="G152" s="613" t="s">
        <v>548</v>
      </c>
      <c r="H152" s="613" t="s">
        <v>610</v>
      </c>
      <c r="I152" s="613" t="s">
        <v>610</v>
      </c>
      <c r="J152" s="613" t="s">
        <v>611</v>
      </c>
      <c r="K152" s="613" t="s">
        <v>612</v>
      </c>
      <c r="L152" s="615">
        <v>58.417801748180096</v>
      </c>
      <c r="M152" s="615">
        <v>17</v>
      </c>
      <c r="N152" s="616">
        <v>993.10262971906161</v>
      </c>
    </row>
    <row r="153" spans="1:14" ht="14.4" customHeight="1" x14ac:dyDescent="0.3">
      <c r="A153" s="611" t="s">
        <v>527</v>
      </c>
      <c r="B153" s="612" t="s">
        <v>528</v>
      </c>
      <c r="C153" s="613" t="s">
        <v>541</v>
      </c>
      <c r="D153" s="614" t="s">
        <v>974</v>
      </c>
      <c r="E153" s="613" t="s">
        <v>547</v>
      </c>
      <c r="F153" s="614" t="s">
        <v>975</v>
      </c>
      <c r="G153" s="613" t="s">
        <v>633</v>
      </c>
      <c r="H153" s="613" t="s">
        <v>874</v>
      </c>
      <c r="I153" s="613" t="s">
        <v>875</v>
      </c>
      <c r="J153" s="613" t="s">
        <v>876</v>
      </c>
      <c r="K153" s="613" t="s">
        <v>877</v>
      </c>
      <c r="L153" s="615">
        <v>138.25</v>
      </c>
      <c r="M153" s="615">
        <v>9</v>
      </c>
      <c r="N153" s="616">
        <v>1244.25</v>
      </c>
    </row>
    <row r="154" spans="1:14" ht="14.4" customHeight="1" x14ac:dyDescent="0.3">
      <c r="A154" s="611" t="s">
        <v>527</v>
      </c>
      <c r="B154" s="612" t="s">
        <v>528</v>
      </c>
      <c r="C154" s="613" t="s">
        <v>541</v>
      </c>
      <c r="D154" s="614" t="s">
        <v>974</v>
      </c>
      <c r="E154" s="613" t="s">
        <v>547</v>
      </c>
      <c r="F154" s="614" t="s">
        <v>975</v>
      </c>
      <c r="G154" s="613" t="s">
        <v>633</v>
      </c>
      <c r="H154" s="613" t="s">
        <v>878</v>
      </c>
      <c r="I154" s="613" t="s">
        <v>879</v>
      </c>
      <c r="J154" s="613" t="s">
        <v>880</v>
      </c>
      <c r="K154" s="613" t="s">
        <v>881</v>
      </c>
      <c r="L154" s="615">
        <v>56.209998042171236</v>
      </c>
      <c r="M154" s="615">
        <v>2</v>
      </c>
      <c r="N154" s="616">
        <v>112.41999608434247</v>
      </c>
    </row>
    <row r="155" spans="1:14" ht="14.4" customHeight="1" x14ac:dyDescent="0.3">
      <c r="A155" s="611" t="s">
        <v>527</v>
      </c>
      <c r="B155" s="612" t="s">
        <v>528</v>
      </c>
      <c r="C155" s="613" t="s">
        <v>541</v>
      </c>
      <c r="D155" s="614" t="s">
        <v>974</v>
      </c>
      <c r="E155" s="613" t="s">
        <v>547</v>
      </c>
      <c r="F155" s="614" t="s">
        <v>975</v>
      </c>
      <c r="G155" s="613" t="s">
        <v>633</v>
      </c>
      <c r="H155" s="613" t="s">
        <v>882</v>
      </c>
      <c r="I155" s="613" t="s">
        <v>883</v>
      </c>
      <c r="J155" s="613" t="s">
        <v>884</v>
      </c>
      <c r="K155" s="613" t="s">
        <v>885</v>
      </c>
      <c r="L155" s="615">
        <v>68.28</v>
      </c>
      <c r="M155" s="615">
        <v>1</v>
      </c>
      <c r="N155" s="616">
        <v>68.28</v>
      </c>
    </row>
    <row r="156" spans="1:14" ht="14.4" customHeight="1" x14ac:dyDescent="0.3">
      <c r="A156" s="611" t="s">
        <v>527</v>
      </c>
      <c r="B156" s="612" t="s">
        <v>528</v>
      </c>
      <c r="C156" s="613" t="s">
        <v>541</v>
      </c>
      <c r="D156" s="614" t="s">
        <v>974</v>
      </c>
      <c r="E156" s="613" t="s">
        <v>547</v>
      </c>
      <c r="F156" s="614" t="s">
        <v>975</v>
      </c>
      <c r="G156" s="613" t="s">
        <v>633</v>
      </c>
      <c r="H156" s="613" t="s">
        <v>886</v>
      </c>
      <c r="I156" s="613" t="s">
        <v>887</v>
      </c>
      <c r="J156" s="613" t="s">
        <v>888</v>
      </c>
      <c r="K156" s="613" t="s">
        <v>889</v>
      </c>
      <c r="L156" s="615">
        <v>131.35500000000002</v>
      </c>
      <c r="M156" s="615">
        <v>2</v>
      </c>
      <c r="N156" s="616">
        <v>262.71000000000004</v>
      </c>
    </row>
    <row r="157" spans="1:14" ht="14.4" customHeight="1" x14ac:dyDescent="0.3">
      <c r="A157" s="611" t="s">
        <v>527</v>
      </c>
      <c r="B157" s="612" t="s">
        <v>528</v>
      </c>
      <c r="C157" s="613" t="s">
        <v>541</v>
      </c>
      <c r="D157" s="614" t="s">
        <v>974</v>
      </c>
      <c r="E157" s="613" t="s">
        <v>890</v>
      </c>
      <c r="F157" s="614" t="s">
        <v>978</v>
      </c>
      <c r="G157" s="613"/>
      <c r="H157" s="613" t="s">
        <v>891</v>
      </c>
      <c r="I157" s="613" t="s">
        <v>189</v>
      </c>
      <c r="J157" s="613" t="s">
        <v>892</v>
      </c>
      <c r="K157" s="613"/>
      <c r="L157" s="615">
        <v>188.55000000000004</v>
      </c>
      <c r="M157" s="615">
        <v>3</v>
      </c>
      <c r="N157" s="616">
        <v>565.65000000000009</v>
      </c>
    </row>
    <row r="158" spans="1:14" ht="14.4" customHeight="1" x14ac:dyDescent="0.3">
      <c r="A158" s="611" t="s">
        <v>527</v>
      </c>
      <c r="B158" s="612" t="s">
        <v>528</v>
      </c>
      <c r="C158" s="613" t="s">
        <v>541</v>
      </c>
      <c r="D158" s="614" t="s">
        <v>974</v>
      </c>
      <c r="E158" s="613" t="s">
        <v>890</v>
      </c>
      <c r="F158" s="614" t="s">
        <v>978</v>
      </c>
      <c r="G158" s="613" t="s">
        <v>548</v>
      </c>
      <c r="H158" s="613" t="s">
        <v>893</v>
      </c>
      <c r="I158" s="613" t="s">
        <v>894</v>
      </c>
      <c r="J158" s="613" t="s">
        <v>895</v>
      </c>
      <c r="K158" s="613" t="s">
        <v>896</v>
      </c>
      <c r="L158" s="615">
        <v>1724.2942857142857</v>
      </c>
      <c r="M158" s="615">
        <v>7</v>
      </c>
      <c r="N158" s="616">
        <v>12070.06</v>
      </c>
    </row>
    <row r="159" spans="1:14" ht="14.4" customHeight="1" x14ac:dyDescent="0.3">
      <c r="A159" s="611" t="s">
        <v>527</v>
      </c>
      <c r="B159" s="612" t="s">
        <v>528</v>
      </c>
      <c r="C159" s="613" t="s">
        <v>541</v>
      </c>
      <c r="D159" s="614" t="s">
        <v>974</v>
      </c>
      <c r="E159" s="613" t="s">
        <v>890</v>
      </c>
      <c r="F159" s="614" t="s">
        <v>978</v>
      </c>
      <c r="G159" s="613" t="s">
        <v>548</v>
      </c>
      <c r="H159" s="613" t="s">
        <v>897</v>
      </c>
      <c r="I159" s="613" t="s">
        <v>189</v>
      </c>
      <c r="J159" s="613" t="s">
        <v>898</v>
      </c>
      <c r="K159" s="613"/>
      <c r="L159" s="615">
        <v>323.27428384557214</v>
      </c>
      <c r="M159" s="615">
        <v>9</v>
      </c>
      <c r="N159" s="616">
        <v>2909.4685546101491</v>
      </c>
    </row>
    <row r="160" spans="1:14" ht="14.4" customHeight="1" x14ac:dyDescent="0.3">
      <c r="A160" s="611" t="s">
        <v>527</v>
      </c>
      <c r="B160" s="612" t="s">
        <v>528</v>
      </c>
      <c r="C160" s="613" t="s">
        <v>541</v>
      </c>
      <c r="D160" s="614" t="s">
        <v>974</v>
      </c>
      <c r="E160" s="613" t="s">
        <v>890</v>
      </c>
      <c r="F160" s="614" t="s">
        <v>978</v>
      </c>
      <c r="G160" s="613" t="s">
        <v>548</v>
      </c>
      <c r="H160" s="613" t="s">
        <v>899</v>
      </c>
      <c r="I160" s="613" t="s">
        <v>189</v>
      </c>
      <c r="J160" s="613" t="s">
        <v>900</v>
      </c>
      <c r="K160" s="613"/>
      <c r="L160" s="615">
        <v>418.88339881156907</v>
      </c>
      <c r="M160" s="615">
        <v>9</v>
      </c>
      <c r="N160" s="616">
        <v>3769.9505893041214</v>
      </c>
    </row>
    <row r="161" spans="1:14" ht="14.4" customHeight="1" x14ac:dyDescent="0.3">
      <c r="A161" s="611" t="s">
        <v>527</v>
      </c>
      <c r="B161" s="612" t="s">
        <v>528</v>
      </c>
      <c r="C161" s="613" t="s">
        <v>541</v>
      </c>
      <c r="D161" s="614" t="s">
        <v>974</v>
      </c>
      <c r="E161" s="613" t="s">
        <v>890</v>
      </c>
      <c r="F161" s="614" t="s">
        <v>978</v>
      </c>
      <c r="G161" s="613" t="s">
        <v>548</v>
      </c>
      <c r="H161" s="613" t="s">
        <v>901</v>
      </c>
      <c r="I161" s="613" t="s">
        <v>189</v>
      </c>
      <c r="J161" s="613" t="s">
        <v>902</v>
      </c>
      <c r="K161" s="613" t="s">
        <v>903</v>
      </c>
      <c r="L161" s="615">
        <v>412.62945687798367</v>
      </c>
      <c r="M161" s="615">
        <v>4</v>
      </c>
      <c r="N161" s="616">
        <v>1650.5178275119347</v>
      </c>
    </row>
    <row r="162" spans="1:14" ht="14.4" customHeight="1" x14ac:dyDescent="0.3">
      <c r="A162" s="611" t="s">
        <v>527</v>
      </c>
      <c r="B162" s="612" t="s">
        <v>528</v>
      </c>
      <c r="C162" s="613" t="s">
        <v>541</v>
      </c>
      <c r="D162" s="614" t="s">
        <v>974</v>
      </c>
      <c r="E162" s="613" t="s">
        <v>890</v>
      </c>
      <c r="F162" s="614" t="s">
        <v>978</v>
      </c>
      <c r="G162" s="613" t="s">
        <v>548</v>
      </c>
      <c r="H162" s="613" t="s">
        <v>904</v>
      </c>
      <c r="I162" s="613" t="s">
        <v>189</v>
      </c>
      <c r="J162" s="613" t="s">
        <v>905</v>
      </c>
      <c r="K162" s="613"/>
      <c r="L162" s="615">
        <v>278.88984798450753</v>
      </c>
      <c r="M162" s="615">
        <v>34</v>
      </c>
      <c r="N162" s="616">
        <v>9482.2548314732558</v>
      </c>
    </row>
    <row r="163" spans="1:14" ht="14.4" customHeight="1" x14ac:dyDescent="0.3">
      <c r="A163" s="611" t="s">
        <v>527</v>
      </c>
      <c r="B163" s="612" t="s">
        <v>528</v>
      </c>
      <c r="C163" s="613" t="s">
        <v>541</v>
      </c>
      <c r="D163" s="614" t="s">
        <v>974</v>
      </c>
      <c r="E163" s="613" t="s">
        <v>890</v>
      </c>
      <c r="F163" s="614" t="s">
        <v>978</v>
      </c>
      <c r="G163" s="613" t="s">
        <v>548</v>
      </c>
      <c r="H163" s="613" t="s">
        <v>906</v>
      </c>
      <c r="I163" s="613" t="s">
        <v>189</v>
      </c>
      <c r="J163" s="613" t="s">
        <v>907</v>
      </c>
      <c r="K163" s="613"/>
      <c r="L163" s="615">
        <v>502.60012092644513</v>
      </c>
      <c r="M163" s="615">
        <v>10</v>
      </c>
      <c r="N163" s="616">
        <v>5026.0012092644511</v>
      </c>
    </row>
    <row r="164" spans="1:14" ht="14.4" customHeight="1" x14ac:dyDescent="0.3">
      <c r="A164" s="611" t="s">
        <v>527</v>
      </c>
      <c r="B164" s="612" t="s">
        <v>528</v>
      </c>
      <c r="C164" s="613" t="s">
        <v>541</v>
      </c>
      <c r="D164" s="614" t="s">
        <v>974</v>
      </c>
      <c r="E164" s="613" t="s">
        <v>890</v>
      </c>
      <c r="F164" s="614" t="s">
        <v>978</v>
      </c>
      <c r="G164" s="613" t="s">
        <v>548</v>
      </c>
      <c r="H164" s="613" t="s">
        <v>908</v>
      </c>
      <c r="I164" s="613" t="s">
        <v>909</v>
      </c>
      <c r="J164" s="613" t="s">
        <v>859</v>
      </c>
      <c r="K164" s="613" t="s">
        <v>910</v>
      </c>
      <c r="L164" s="615">
        <v>2739.92</v>
      </c>
      <c r="M164" s="615">
        <v>3</v>
      </c>
      <c r="N164" s="616">
        <v>8219.76</v>
      </c>
    </row>
    <row r="165" spans="1:14" ht="14.4" customHeight="1" x14ac:dyDescent="0.3">
      <c r="A165" s="611" t="s">
        <v>527</v>
      </c>
      <c r="B165" s="612" t="s">
        <v>528</v>
      </c>
      <c r="C165" s="613" t="s">
        <v>541</v>
      </c>
      <c r="D165" s="614" t="s">
        <v>974</v>
      </c>
      <c r="E165" s="613" t="s">
        <v>890</v>
      </c>
      <c r="F165" s="614" t="s">
        <v>978</v>
      </c>
      <c r="G165" s="613" t="s">
        <v>548</v>
      </c>
      <c r="H165" s="613" t="s">
        <v>911</v>
      </c>
      <c r="I165" s="613" t="s">
        <v>189</v>
      </c>
      <c r="J165" s="613" t="s">
        <v>912</v>
      </c>
      <c r="K165" s="613"/>
      <c r="L165" s="615">
        <v>431.00467685552928</v>
      </c>
      <c r="M165" s="615">
        <v>4</v>
      </c>
      <c r="N165" s="616">
        <v>1724.0187074221171</v>
      </c>
    </row>
    <row r="166" spans="1:14" ht="14.4" customHeight="1" x14ac:dyDescent="0.3">
      <c r="A166" s="611" t="s">
        <v>527</v>
      </c>
      <c r="B166" s="612" t="s">
        <v>528</v>
      </c>
      <c r="C166" s="613" t="s">
        <v>541</v>
      </c>
      <c r="D166" s="614" t="s">
        <v>974</v>
      </c>
      <c r="E166" s="613" t="s">
        <v>890</v>
      </c>
      <c r="F166" s="614" t="s">
        <v>978</v>
      </c>
      <c r="G166" s="613" t="s">
        <v>548</v>
      </c>
      <c r="H166" s="613" t="s">
        <v>913</v>
      </c>
      <c r="I166" s="613" t="s">
        <v>189</v>
      </c>
      <c r="J166" s="613" t="s">
        <v>914</v>
      </c>
      <c r="K166" s="613"/>
      <c r="L166" s="615">
        <v>453.89036402244443</v>
      </c>
      <c r="M166" s="615">
        <v>3</v>
      </c>
      <c r="N166" s="616">
        <v>1361.6710920673333</v>
      </c>
    </row>
    <row r="167" spans="1:14" ht="14.4" customHeight="1" x14ac:dyDescent="0.3">
      <c r="A167" s="611" t="s">
        <v>527</v>
      </c>
      <c r="B167" s="612" t="s">
        <v>528</v>
      </c>
      <c r="C167" s="613" t="s">
        <v>541</v>
      </c>
      <c r="D167" s="614" t="s">
        <v>974</v>
      </c>
      <c r="E167" s="613" t="s">
        <v>890</v>
      </c>
      <c r="F167" s="614" t="s">
        <v>978</v>
      </c>
      <c r="G167" s="613" t="s">
        <v>548</v>
      </c>
      <c r="H167" s="613" t="s">
        <v>915</v>
      </c>
      <c r="I167" s="613" t="s">
        <v>189</v>
      </c>
      <c r="J167" s="613" t="s">
        <v>916</v>
      </c>
      <c r="K167" s="613"/>
      <c r="L167" s="615">
        <v>700.37959017923436</v>
      </c>
      <c r="M167" s="615">
        <v>2</v>
      </c>
      <c r="N167" s="616">
        <v>1400.7591803584687</v>
      </c>
    </row>
    <row r="168" spans="1:14" ht="14.4" customHeight="1" x14ac:dyDescent="0.3">
      <c r="A168" s="611" t="s">
        <v>527</v>
      </c>
      <c r="B168" s="612" t="s">
        <v>528</v>
      </c>
      <c r="C168" s="613" t="s">
        <v>541</v>
      </c>
      <c r="D168" s="614" t="s">
        <v>974</v>
      </c>
      <c r="E168" s="613" t="s">
        <v>890</v>
      </c>
      <c r="F168" s="614" t="s">
        <v>978</v>
      </c>
      <c r="G168" s="613" t="s">
        <v>633</v>
      </c>
      <c r="H168" s="613" t="s">
        <v>917</v>
      </c>
      <c r="I168" s="613" t="s">
        <v>918</v>
      </c>
      <c r="J168" s="613" t="s">
        <v>919</v>
      </c>
      <c r="K168" s="613" t="s">
        <v>920</v>
      </c>
      <c r="L168" s="615">
        <v>200.24</v>
      </c>
      <c r="M168" s="615">
        <v>1</v>
      </c>
      <c r="N168" s="616">
        <v>200.24</v>
      </c>
    </row>
    <row r="169" spans="1:14" ht="14.4" customHeight="1" x14ac:dyDescent="0.3">
      <c r="A169" s="611" t="s">
        <v>527</v>
      </c>
      <c r="B169" s="612" t="s">
        <v>528</v>
      </c>
      <c r="C169" s="613" t="s">
        <v>541</v>
      </c>
      <c r="D169" s="614" t="s">
        <v>974</v>
      </c>
      <c r="E169" s="613" t="s">
        <v>890</v>
      </c>
      <c r="F169" s="614" t="s">
        <v>978</v>
      </c>
      <c r="G169" s="613" t="s">
        <v>633</v>
      </c>
      <c r="H169" s="613" t="s">
        <v>921</v>
      </c>
      <c r="I169" s="613" t="s">
        <v>921</v>
      </c>
      <c r="J169" s="613" t="s">
        <v>922</v>
      </c>
      <c r="K169" s="613" t="s">
        <v>923</v>
      </c>
      <c r="L169" s="615">
        <v>1302.1980890073814</v>
      </c>
      <c r="M169" s="615">
        <v>2</v>
      </c>
      <c r="N169" s="616">
        <v>2604.3961780147629</v>
      </c>
    </row>
    <row r="170" spans="1:14" ht="14.4" customHeight="1" x14ac:dyDescent="0.3">
      <c r="A170" s="611" t="s">
        <v>527</v>
      </c>
      <c r="B170" s="612" t="s">
        <v>528</v>
      </c>
      <c r="C170" s="613" t="s">
        <v>541</v>
      </c>
      <c r="D170" s="614" t="s">
        <v>974</v>
      </c>
      <c r="E170" s="613" t="s">
        <v>620</v>
      </c>
      <c r="F170" s="614" t="s">
        <v>976</v>
      </c>
      <c r="G170" s="613"/>
      <c r="H170" s="613" t="s">
        <v>924</v>
      </c>
      <c r="I170" s="613" t="s">
        <v>925</v>
      </c>
      <c r="J170" s="613" t="s">
        <v>926</v>
      </c>
      <c r="K170" s="613" t="s">
        <v>927</v>
      </c>
      <c r="L170" s="615">
        <v>71.459999999999994</v>
      </c>
      <c r="M170" s="615">
        <v>10</v>
      </c>
      <c r="N170" s="616">
        <v>714.59999999999991</v>
      </c>
    </row>
    <row r="171" spans="1:14" ht="14.4" customHeight="1" x14ac:dyDescent="0.3">
      <c r="A171" s="611" t="s">
        <v>527</v>
      </c>
      <c r="B171" s="612" t="s">
        <v>528</v>
      </c>
      <c r="C171" s="613" t="s">
        <v>541</v>
      </c>
      <c r="D171" s="614" t="s">
        <v>974</v>
      </c>
      <c r="E171" s="613" t="s">
        <v>620</v>
      </c>
      <c r="F171" s="614" t="s">
        <v>976</v>
      </c>
      <c r="G171" s="613"/>
      <c r="H171" s="613" t="s">
        <v>928</v>
      </c>
      <c r="I171" s="613" t="s">
        <v>929</v>
      </c>
      <c r="J171" s="613" t="s">
        <v>930</v>
      </c>
      <c r="K171" s="613" t="s">
        <v>931</v>
      </c>
      <c r="L171" s="615">
        <v>1528.07</v>
      </c>
      <c r="M171" s="615">
        <v>1</v>
      </c>
      <c r="N171" s="616">
        <v>1528.07</v>
      </c>
    </row>
    <row r="172" spans="1:14" ht="14.4" customHeight="1" x14ac:dyDescent="0.3">
      <c r="A172" s="611" t="s">
        <v>527</v>
      </c>
      <c r="B172" s="612" t="s">
        <v>528</v>
      </c>
      <c r="C172" s="613" t="s">
        <v>541</v>
      </c>
      <c r="D172" s="614" t="s">
        <v>974</v>
      </c>
      <c r="E172" s="613" t="s">
        <v>620</v>
      </c>
      <c r="F172" s="614" t="s">
        <v>976</v>
      </c>
      <c r="G172" s="613"/>
      <c r="H172" s="613" t="s">
        <v>932</v>
      </c>
      <c r="I172" s="613" t="s">
        <v>933</v>
      </c>
      <c r="J172" s="613" t="s">
        <v>934</v>
      </c>
      <c r="K172" s="613" t="s">
        <v>935</v>
      </c>
      <c r="L172" s="615">
        <v>494.5</v>
      </c>
      <c r="M172" s="615">
        <v>1</v>
      </c>
      <c r="N172" s="616">
        <v>494.5</v>
      </c>
    </row>
    <row r="173" spans="1:14" ht="14.4" customHeight="1" x14ac:dyDescent="0.3">
      <c r="A173" s="611" t="s">
        <v>527</v>
      </c>
      <c r="B173" s="612" t="s">
        <v>528</v>
      </c>
      <c r="C173" s="613" t="s">
        <v>541</v>
      </c>
      <c r="D173" s="614" t="s">
        <v>974</v>
      </c>
      <c r="E173" s="613" t="s">
        <v>620</v>
      </c>
      <c r="F173" s="614" t="s">
        <v>976</v>
      </c>
      <c r="G173" s="613" t="s">
        <v>548</v>
      </c>
      <c r="H173" s="613" t="s">
        <v>936</v>
      </c>
      <c r="I173" s="613" t="s">
        <v>937</v>
      </c>
      <c r="J173" s="613" t="s">
        <v>938</v>
      </c>
      <c r="K173" s="613" t="s">
        <v>721</v>
      </c>
      <c r="L173" s="615">
        <v>68.019833457051178</v>
      </c>
      <c r="M173" s="615">
        <v>1</v>
      </c>
      <c r="N173" s="616">
        <v>68.019833457051178</v>
      </c>
    </row>
    <row r="174" spans="1:14" ht="14.4" customHeight="1" x14ac:dyDescent="0.3">
      <c r="A174" s="611" t="s">
        <v>527</v>
      </c>
      <c r="B174" s="612" t="s">
        <v>528</v>
      </c>
      <c r="C174" s="613" t="s">
        <v>541</v>
      </c>
      <c r="D174" s="614" t="s">
        <v>974</v>
      </c>
      <c r="E174" s="613" t="s">
        <v>620</v>
      </c>
      <c r="F174" s="614" t="s">
        <v>976</v>
      </c>
      <c r="G174" s="613" t="s">
        <v>548</v>
      </c>
      <c r="H174" s="613" t="s">
        <v>625</v>
      </c>
      <c r="I174" s="613" t="s">
        <v>626</v>
      </c>
      <c r="J174" s="613" t="s">
        <v>627</v>
      </c>
      <c r="K174" s="613" t="s">
        <v>628</v>
      </c>
      <c r="L174" s="615">
        <v>82.969796852859972</v>
      </c>
      <c r="M174" s="615">
        <v>2</v>
      </c>
      <c r="N174" s="616">
        <v>165.93959370571994</v>
      </c>
    </row>
    <row r="175" spans="1:14" ht="14.4" customHeight="1" x14ac:dyDescent="0.3">
      <c r="A175" s="611" t="s">
        <v>527</v>
      </c>
      <c r="B175" s="612" t="s">
        <v>528</v>
      </c>
      <c r="C175" s="613" t="s">
        <v>541</v>
      </c>
      <c r="D175" s="614" t="s">
        <v>974</v>
      </c>
      <c r="E175" s="613" t="s">
        <v>620</v>
      </c>
      <c r="F175" s="614" t="s">
        <v>976</v>
      </c>
      <c r="G175" s="613" t="s">
        <v>548</v>
      </c>
      <c r="H175" s="613" t="s">
        <v>939</v>
      </c>
      <c r="I175" s="613" t="s">
        <v>940</v>
      </c>
      <c r="J175" s="613" t="s">
        <v>941</v>
      </c>
      <c r="K175" s="613" t="s">
        <v>764</v>
      </c>
      <c r="L175" s="615">
        <v>235.77000000000004</v>
      </c>
      <c r="M175" s="615">
        <v>1</v>
      </c>
      <c r="N175" s="616">
        <v>235.77000000000004</v>
      </c>
    </row>
    <row r="176" spans="1:14" ht="14.4" customHeight="1" x14ac:dyDescent="0.3">
      <c r="A176" s="611" t="s">
        <v>527</v>
      </c>
      <c r="B176" s="612" t="s">
        <v>528</v>
      </c>
      <c r="C176" s="613" t="s">
        <v>541</v>
      </c>
      <c r="D176" s="614" t="s">
        <v>974</v>
      </c>
      <c r="E176" s="613" t="s">
        <v>620</v>
      </c>
      <c r="F176" s="614" t="s">
        <v>976</v>
      </c>
      <c r="G176" s="613" t="s">
        <v>548</v>
      </c>
      <c r="H176" s="613" t="s">
        <v>696</v>
      </c>
      <c r="I176" s="613" t="s">
        <v>697</v>
      </c>
      <c r="J176" s="613" t="s">
        <v>698</v>
      </c>
      <c r="K176" s="613" t="s">
        <v>699</v>
      </c>
      <c r="L176" s="615">
        <v>23.560000000000002</v>
      </c>
      <c r="M176" s="615">
        <v>1</v>
      </c>
      <c r="N176" s="616">
        <v>23.560000000000002</v>
      </c>
    </row>
    <row r="177" spans="1:14" ht="14.4" customHeight="1" x14ac:dyDescent="0.3">
      <c r="A177" s="611" t="s">
        <v>527</v>
      </c>
      <c r="B177" s="612" t="s">
        <v>528</v>
      </c>
      <c r="C177" s="613" t="s">
        <v>541</v>
      </c>
      <c r="D177" s="614" t="s">
        <v>974</v>
      </c>
      <c r="E177" s="613" t="s">
        <v>620</v>
      </c>
      <c r="F177" s="614" t="s">
        <v>976</v>
      </c>
      <c r="G177" s="613" t="s">
        <v>548</v>
      </c>
      <c r="H177" s="613" t="s">
        <v>629</v>
      </c>
      <c r="I177" s="613" t="s">
        <v>630</v>
      </c>
      <c r="J177" s="613" t="s">
        <v>631</v>
      </c>
      <c r="K177" s="613" t="s">
        <v>632</v>
      </c>
      <c r="L177" s="615">
        <v>49.189999572105918</v>
      </c>
      <c r="M177" s="615">
        <v>8</v>
      </c>
      <c r="N177" s="616">
        <v>393.51999657684735</v>
      </c>
    </row>
    <row r="178" spans="1:14" ht="14.4" customHeight="1" x14ac:dyDescent="0.3">
      <c r="A178" s="611" t="s">
        <v>527</v>
      </c>
      <c r="B178" s="612" t="s">
        <v>528</v>
      </c>
      <c r="C178" s="613" t="s">
        <v>541</v>
      </c>
      <c r="D178" s="614" t="s">
        <v>974</v>
      </c>
      <c r="E178" s="613" t="s">
        <v>620</v>
      </c>
      <c r="F178" s="614" t="s">
        <v>976</v>
      </c>
      <c r="G178" s="613" t="s">
        <v>548</v>
      </c>
      <c r="H178" s="613" t="s">
        <v>942</v>
      </c>
      <c r="I178" s="613" t="s">
        <v>943</v>
      </c>
      <c r="J178" s="613" t="s">
        <v>944</v>
      </c>
      <c r="K178" s="613" t="s">
        <v>945</v>
      </c>
      <c r="L178" s="615">
        <v>449.10037929589981</v>
      </c>
      <c r="M178" s="615">
        <v>20</v>
      </c>
      <c r="N178" s="616">
        <v>8982.007585917996</v>
      </c>
    </row>
    <row r="179" spans="1:14" ht="14.4" customHeight="1" x14ac:dyDescent="0.3">
      <c r="A179" s="611" t="s">
        <v>527</v>
      </c>
      <c r="B179" s="612" t="s">
        <v>528</v>
      </c>
      <c r="C179" s="613" t="s">
        <v>541</v>
      </c>
      <c r="D179" s="614" t="s">
        <v>974</v>
      </c>
      <c r="E179" s="613" t="s">
        <v>620</v>
      </c>
      <c r="F179" s="614" t="s">
        <v>976</v>
      </c>
      <c r="G179" s="613" t="s">
        <v>548</v>
      </c>
      <c r="H179" s="613" t="s">
        <v>946</v>
      </c>
      <c r="I179" s="613" t="s">
        <v>947</v>
      </c>
      <c r="J179" s="613" t="s">
        <v>631</v>
      </c>
      <c r="K179" s="613" t="s">
        <v>948</v>
      </c>
      <c r="L179" s="615">
        <v>46.45</v>
      </c>
      <c r="M179" s="615">
        <v>1</v>
      </c>
      <c r="N179" s="616">
        <v>46.45</v>
      </c>
    </row>
    <row r="180" spans="1:14" ht="14.4" customHeight="1" x14ac:dyDescent="0.3">
      <c r="A180" s="611" t="s">
        <v>527</v>
      </c>
      <c r="B180" s="612" t="s">
        <v>528</v>
      </c>
      <c r="C180" s="613" t="s">
        <v>541</v>
      </c>
      <c r="D180" s="614" t="s">
        <v>974</v>
      </c>
      <c r="E180" s="613" t="s">
        <v>620</v>
      </c>
      <c r="F180" s="614" t="s">
        <v>976</v>
      </c>
      <c r="G180" s="613" t="s">
        <v>633</v>
      </c>
      <c r="H180" s="613" t="s">
        <v>949</v>
      </c>
      <c r="I180" s="613" t="s">
        <v>949</v>
      </c>
      <c r="J180" s="613" t="s">
        <v>950</v>
      </c>
      <c r="K180" s="613" t="s">
        <v>951</v>
      </c>
      <c r="L180" s="615">
        <v>84.270653018904753</v>
      </c>
      <c r="M180" s="615">
        <v>3.2</v>
      </c>
      <c r="N180" s="616">
        <v>269.66608966049523</v>
      </c>
    </row>
    <row r="181" spans="1:14" ht="14.4" customHeight="1" x14ac:dyDescent="0.3">
      <c r="A181" s="611" t="s">
        <v>527</v>
      </c>
      <c r="B181" s="612" t="s">
        <v>528</v>
      </c>
      <c r="C181" s="613" t="s">
        <v>541</v>
      </c>
      <c r="D181" s="614" t="s">
        <v>974</v>
      </c>
      <c r="E181" s="613" t="s">
        <v>620</v>
      </c>
      <c r="F181" s="614" t="s">
        <v>976</v>
      </c>
      <c r="G181" s="613" t="s">
        <v>633</v>
      </c>
      <c r="H181" s="613" t="s">
        <v>634</v>
      </c>
      <c r="I181" s="613" t="s">
        <v>635</v>
      </c>
      <c r="J181" s="613" t="s">
        <v>636</v>
      </c>
      <c r="K181" s="613" t="s">
        <v>637</v>
      </c>
      <c r="L181" s="615">
        <v>139.26694103037488</v>
      </c>
      <c r="M181" s="615">
        <v>13</v>
      </c>
      <c r="N181" s="616">
        <v>1810.4702333948735</v>
      </c>
    </row>
    <row r="182" spans="1:14" ht="14.4" customHeight="1" x14ac:dyDescent="0.3">
      <c r="A182" s="611" t="s">
        <v>527</v>
      </c>
      <c r="B182" s="612" t="s">
        <v>528</v>
      </c>
      <c r="C182" s="613" t="s">
        <v>541</v>
      </c>
      <c r="D182" s="614" t="s">
        <v>974</v>
      </c>
      <c r="E182" s="613" t="s">
        <v>620</v>
      </c>
      <c r="F182" s="614" t="s">
        <v>976</v>
      </c>
      <c r="G182" s="613" t="s">
        <v>633</v>
      </c>
      <c r="H182" s="613" t="s">
        <v>638</v>
      </c>
      <c r="I182" s="613" t="s">
        <v>639</v>
      </c>
      <c r="J182" s="613" t="s">
        <v>640</v>
      </c>
      <c r="K182" s="613" t="s">
        <v>641</v>
      </c>
      <c r="L182" s="615">
        <v>60.640270113003197</v>
      </c>
      <c r="M182" s="615">
        <v>12</v>
      </c>
      <c r="N182" s="616">
        <v>727.68324135603837</v>
      </c>
    </row>
    <row r="183" spans="1:14" ht="14.4" customHeight="1" x14ac:dyDescent="0.3">
      <c r="A183" s="611" t="s">
        <v>527</v>
      </c>
      <c r="B183" s="612" t="s">
        <v>528</v>
      </c>
      <c r="C183" s="613" t="s">
        <v>541</v>
      </c>
      <c r="D183" s="614" t="s">
        <v>974</v>
      </c>
      <c r="E183" s="613" t="s">
        <v>620</v>
      </c>
      <c r="F183" s="614" t="s">
        <v>976</v>
      </c>
      <c r="G183" s="613" t="s">
        <v>633</v>
      </c>
      <c r="H183" s="613" t="s">
        <v>952</v>
      </c>
      <c r="I183" s="613" t="s">
        <v>953</v>
      </c>
      <c r="J183" s="613" t="s">
        <v>954</v>
      </c>
      <c r="K183" s="613" t="s">
        <v>955</v>
      </c>
      <c r="L183" s="615">
        <v>799.61333333333334</v>
      </c>
      <c r="M183" s="615">
        <v>3</v>
      </c>
      <c r="N183" s="616">
        <v>2398.84</v>
      </c>
    </row>
    <row r="184" spans="1:14" ht="14.4" customHeight="1" x14ac:dyDescent="0.3">
      <c r="A184" s="611" t="s">
        <v>527</v>
      </c>
      <c r="B184" s="612" t="s">
        <v>528</v>
      </c>
      <c r="C184" s="613" t="s">
        <v>541</v>
      </c>
      <c r="D184" s="614" t="s">
        <v>974</v>
      </c>
      <c r="E184" s="613" t="s">
        <v>620</v>
      </c>
      <c r="F184" s="614" t="s">
        <v>976</v>
      </c>
      <c r="G184" s="613" t="s">
        <v>633</v>
      </c>
      <c r="H184" s="613" t="s">
        <v>956</v>
      </c>
      <c r="I184" s="613" t="s">
        <v>956</v>
      </c>
      <c r="J184" s="613" t="s">
        <v>957</v>
      </c>
      <c r="K184" s="613" t="s">
        <v>958</v>
      </c>
      <c r="L184" s="615">
        <v>462</v>
      </c>
      <c r="M184" s="615">
        <v>1</v>
      </c>
      <c r="N184" s="616">
        <v>462</v>
      </c>
    </row>
    <row r="185" spans="1:14" ht="14.4" customHeight="1" x14ac:dyDescent="0.3">
      <c r="A185" s="611" t="s">
        <v>527</v>
      </c>
      <c r="B185" s="612" t="s">
        <v>528</v>
      </c>
      <c r="C185" s="613" t="s">
        <v>541</v>
      </c>
      <c r="D185" s="614" t="s">
        <v>974</v>
      </c>
      <c r="E185" s="613" t="s">
        <v>620</v>
      </c>
      <c r="F185" s="614" t="s">
        <v>976</v>
      </c>
      <c r="G185" s="613" t="s">
        <v>633</v>
      </c>
      <c r="H185" s="613" t="s">
        <v>700</v>
      </c>
      <c r="I185" s="613" t="s">
        <v>700</v>
      </c>
      <c r="J185" s="613" t="s">
        <v>701</v>
      </c>
      <c r="K185" s="613" t="s">
        <v>702</v>
      </c>
      <c r="L185" s="615">
        <v>178.77326666666667</v>
      </c>
      <c r="M185" s="615">
        <v>30</v>
      </c>
      <c r="N185" s="616">
        <v>5363.1980000000003</v>
      </c>
    </row>
    <row r="186" spans="1:14" ht="14.4" customHeight="1" x14ac:dyDescent="0.3">
      <c r="A186" s="611" t="s">
        <v>527</v>
      </c>
      <c r="B186" s="612" t="s">
        <v>528</v>
      </c>
      <c r="C186" s="613" t="s">
        <v>541</v>
      </c>
      <c r="D186" s="614" t="s">
        <v>974</v>
      </c>
      <c r="E186" s="613" t="s">
        <v>642</v>
      </c>
      <c r="F186" s="614" t="s">
        <v>977</v>
      </c>
      <c r="G186" s="613"/>
      <c r="H186" s="613" t="s">
        <v>959</v>
      </c>
      <c r="I186" s="613" t="s">
        <v>960</v>
      </c>
      <c r="J186" s="613" t="s">
        <v>961</v>
      </c>
      <c r="K186" s="613"/>
      <c r="L186" s="615">
        <v>30.160000000000004</v>
      </c>
      <c r="M186" s="615">
        <v>10</v>
      </c>
      <c r="N186" s="616">
        <v>301.60000000000002</v>
      </c>
    </row>
    <row r="187" spans="1:14" ht="14.4" customHeight="1" x14ac:dyDescent="0.3">
      <c r="A187" s="611" t="s">
        <v>527</v>
      </c>
      <c r="B187" s="612" t="s">
        <v>528</v>
      </c>
      <c r="C187" s="613" t="s">
        <v>541</v>
      </c>
      <c r="D187" s="614" t="s">
        <v>974</v>
      </c>
      <c r="E187" s="613" t="s">
        <v>642</v>
      </c>
      <c r="F187" s="614" t="s">
        <v>977</v>
      </c>
      <c r="G187" s="613" t="s">
        <v>548</v>
      </c>
      <c r="H187" s="613" t="s">
        <v>962</v>
      </c>
      <c r="I187" s="613" t="s">
        <v>963</v>
      </c>
      <c r="J187" s="613" t="s">
        <v>964</v>
      </c>
      <c r="K187" s="613" t="s">
        <v>965</v>
      </c>
      <c r="L187" s="615">
        <v>96.89</v>
      </c>
      <c r="M187" s="615">
        <v>1</v>
      </c>
      <c r="N187" s="616">
        <v>96.89</v>
      </c>
    </row>
    <row r="188" spans="1:14" ht="14.4" customHeight="1" x14ac:dyDescent="0.3">
      <c r="A188" s="611" t="s">
        <v>527</v>
      </c>
      <c r="B188" s="612" t="s">
        <v>528</v>
      </c>
      <c r="C188" s="613" t="s">
        <v>541</v>
      </c>
      <c r="D188" s="614" t="s">
        <v>974</v>
      </c>
      <c r="E188" s="613" t="s">
        <v>642</v>
      </c>
      <c r="F188" s="614" t="s">
        <v>977</v>
      </c>
      <c r="G188" s="613" t="s">
        <v>633</v>
      </c>
      <c r="H188" s="613" t="s">
        <v>966</v>
      </c>
      <c r="I188" s="613" t="s">
        <v>966</v>
      </c>
      <c r="J188" s="613" t="s">
        <v>967</v>
      </c>
      <c r="K188" s="613" t="s">
        <v>968</v>
      </c>
      <c r="L188" s="615">
        <v>159.5</v>
      </c>
      <c r="M188" s="615">
        <v>1</v>
      </c>
      <c r="N188" s="616">
        <v>159.5</v>
      </c>
    </row>
    <row r="189" spans="1:14" ht="14.4" customHeight="1" thickBot="1" x14ac:dyDescent="0.35">
      <c r="A189" s="617" t="s">
        <v>527</v>
      </c>
      <c r="B189" s="618" t="s">
        <v>528</v>
      </c>
      <c r="C189" s="619" t="s">
        <v>541</v>
      </c>
      <c r="D189" s="620" t="s">
        <v>974</v>
      </c>
      <c r="E189" s="619" t="s">
        <v>969</v>
      </c>
      <c r="F189" s="620" t="s">
        <v>979</v>
      </c>
      <c r="G189" s="619"/>
      <c r="H189" s="619"/>
      <c r="I189" s="619" t="s">
        <v>970</v>
      </c>
      <c r="J189" s="619" t="s">
        <v>971</v>
      </c>
      <c r="K189" s="619"/>
      <c r="L189" s="621">
        <v>143.64000000000001</v>
      </c>
      <c r="M189" s="621">
        <v>6</v>
      </c>
      <c r="N189" s="622">
        <v>861.84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305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3" t="s">
        <v>166</v>
      </c>
      <c r="B4" s="624" t="s">
        <v>14</v>
      </c>
      <c r="C4" s="625" t="s">
        <v>2</v>
      </c>
      <c r="D4" s="624" t="s">
        <v>14</v>
      </c>
      <c r="E4" s="625" t="s">
        <v>2</v>
      </c>
      <c r="F4" s="626" t="s">
        <v>14</v>
      </c>
    </row>
    <row r="5" spans="1:6" ht="14.4" customHeight="1" x14ac:dyDescent="0.3">
      <c r="A5" s="637" t="s">
        <v>980</v>
      </c>
      <c r="B5" s="609">
        <v>1175.6999999999998</v>
      </c>
      <c r="C5" s="627">
        <v>5.2016328792182334E-2</v>
      </c>
      <c r="D5" s="609">
        <v>21426.817849677594</v>
      </c>
      <c r="E5" s="627">
        <v>0.94798367120781768</v>
      </c>
      <c r="F5" s="610">
        <v>22602.517849677595</v>
      </c>
    </row>
    <row r="6" spans="1:6" ht="14.4" customHeight="1" thickBot="1" x14ac:dyDescent="0.35">
      <c r="A6" s="638" t="s">
        <v>981</v>
      </c>
      <c r="B6" s="630"/>
      <c r="C6" s="631">
        <v>0</v>
      </c>
      <c r="D6" s="630">
        <v>1267.57</v>
      </c>
      <c r="E6" s="631">
        <v>1</v>
      </c>
      <c r="F6" s="632">
        <v>1267.57</v>
      </c>
    </row>
    <row r="7" spans="1:6" ht="14.4" customHeight="1" thickBot="1" x14ac:dyDescent="0.35">
      <c r="A7" s="633" t="s">
        <v>3</v>
      </c>
      <c r="B7" s="634">
        <v>1175.6999999999998</v>
      </c>
      <c r="C7" s="635">
        <v>4.9254112821201013E-2</v>
      </c>
      <c r="D7" s="634">
        <v>22694.387849677594</v>
      </c>
      <c r="E7" s="635">
        <v>0.95074588717879893</v>
      </c>
      <c r="F7" s="636">
        <v>23870.087849677595</v>
      </c>
    </row>
    <row r="8" spans="1:6" ht="14.4" customHeight="1" thickBot="1" x14ac:dyDescent="0.35"/>
    <row r="9" spans="1:6" ht="14.4" customHeight="1" x14ac:dyDescent="0.3">
      <c r="A9" s="637" t="s">
        <v>982</v>
      </c>
      <c r="B9" s="609">
        <v>714.59999999999991</v>
      </c>
      <c r="C9" s="627">
        <v>1</v>
      </c>
      <c r="D9" s="609"/>
      <c r="E9" s="627">
        <v>0</v>
      </c>
      <c r="F9" s="610">
        <v>714.59999999999991</v>
      </c>
    </row>
    <row r="10" spans="1:6" ht="14.4" customHeight="1" x14ac:dyDescent="0.3">
      <c r="A10" s="640" t="s">
        <v>983</v>
      </c>
      <c r="B10" s="615">
        <v>461.1</v>
      </c>
      <c r="C10" s="628">
        <v>1</v>
      </c>
      <c r="D10" s="615"/>
      <c r="E10" s="628">
        <v>0</v>
      </c>
      <c r="F10" s="616">
        <v>461.1</v>
      </c>
    </row>
    <row r="11" spans="1:6" ht="14.4" customHeight="1" x14ac:dyDescent="0.3">
      <c r="A11" s="640" t="s">
        <v>984</v>
      </c>
      <c r="B11" s="615"/>
      <c r="C11" s="628">
        <v>0</v>
      </c>
      <c r="D11" s="615">
        <v>112.41999608434247</v>
      </c>
      <c r="E11" s="628">
        <v>1</v>
      </c>
      <c r="F11" s="616">
        <v>112.41999608434247</v>
      </c>
    </row>
    <row r="12" spans="1:6" ht="14.4" customHeight="1" x14ac:dyDescent="0.3">
      <c r="A12" s="640" t="s">
        <v>985</v>
      </c>
      <c r="B12" s="615"/>
      <c r="C12" s="628">
        <v>0</v>
      </c>
      <c r="D12" s="615">
        <v>1226.3499999999999</v>
      </c>
      <c r="E12" s="628">
        <v>1</v>
      </c>
      <c r="F12" s="616">
        <v>1226.3499999999999</v>
      </c>
    </row>
    <row r="13" spans="1:6" ht="14.4" customHeight="1" x14ac:dyDescent="0.3">
      <c r="A13" s="640" t="s">
        <v>986</v>
      </c>
      <c r="B13" s="615"/>
      <c r="C13" s="628">
        <v>0</v>
      </c>
      <c r="D13" s="615">
        <v>2804.6361780147627</v>
      </c>
      <c r="E13" s="628">
        <v>1</v>
      </c>
      <c r="F13" s="616">
        <v>2804.6361780147627</v>
      </c>
    </row>
    <row r="14" spans="1:6" ht="14.4" customHeight="1" x14ac:dyDescent="0.3">
      <c r="A14" s="640" t="s">
        <v>987</v>
      </c>
      <c r="B14" s="615"/>
      <c r="C14" s="628">
        <v>0</v>
      </c>
      <c r="D14" s="615">
        <v>269.66608966049523</v>
      </c>
      <c r="E14" s="628">
        <v>1</v>
      </c>
      <c r="F14" s="616">
        <v>269.66608966049523</v>
      </c>
    </row>
    <row r="15" spans="1:6" ht="14.4" customHeight="1" x14ac:dyDescent="0.3">
      <c r="A15" s="640" t="s">
        <v>988</v>
      </c>
      <c r="B15" s="615"/>
      <c r="C15" s="628">
        <v>0</v>
      </c>
      <c r="D15" s="615">
        <v>8982.007585917996</v>
      </c>
      <c r="E15" s="628">
        <v>1</v>
      </c>
      <c r="F15" s="616">
        <v>8982.007585917996</v>
      </c>
    </row>
    <row r="16" spans="1:6" ht="14.4" customHeight="1" x14ac:dyDescent="0.3">
      <c r="A16" s="640" t="s">
        <v>989</v>
      </c>
      <c r="B16" s="615"/>
      <c r="C16" s="628">
        <v>0</v>
      </c>
      <c r="D16" s="615">
        <v>231</v>
      </c>
      <c r="E16" s="628">
        <v>1</v>
      </c>
      <c r="F16" s="616">
        <v>231</v>
      </c>
    </row>
    <row r="17" spans="1:6" ht="14.4" customHeight="1" x14ac:dyDescent="0.3">
      <c r="A17" s="640" t="s">
        <v>990</v>
      </c>
      <c r="B17" s="615"/>
      <c r="C17" s="628">
        <v>0</v>
      </c>
      <c r="D17" s="615">
        <v>262.71000000000004</v>
      </c>
      <c r="E17" s="628">
        <v>1</v>
      </c>
      <c r="F17" s="616">
        <v>262.71000000000004</v>
      </c>
    </row>
    <row r="18" spans="1:6" ht="14.4" customHeight="1" x14ac:dyDescent="0.3">
      <c r="A18" s="640" t="s">
        <v>991</v>
      </c>
      <c r="B18" s="615"/>
      <c r="C18" s="628">
        <v>0</v>
      </c>
      <c r="D18" s="615">
        <v>772.08</v>
      </c>
      <c r="E18" s="628">
        <v>1</v>
      </c>
      <c r="F18" s="616">
        <v>772.08</v>
      </c>
    </row>
    <row r="19" spans="1:6" ht="14.4" customHeight="1" x14ac:dyDescent="0.3">
      <c r="A19" s="640" t="s">
        <v>992</v>
      </c>
      <c r="B19" s="615"/>
      <c r="C19" s="628">
        <v>0</v>
      </c>
      <c r="D19" s="615">
        <v>1244.25</v>
      </c>
      <c r="E19" s="628">
        <v>1</v>
      </c>
      <c r="F19" s="616">
        <v>1244.25</v>
      </c>
    </row>
    <row r="20" spans="1:6" ht="14.4" customHeight="1" x14ac:dyDescent="0.3">
      <c r="A20" s="640" t="s">
        <v>993</v>
      </c>
      <c r="B20" s="615"/>
      <c r="C20" s="628">
        <v>0</v>
      </c>
      <c r="D20" s="615">
        <v>6359.5079999999998</v>
      </c>
      <c r="E20" s="628">
        <v>1</v>
      </c>
      <c r="F20" s="616">
        <v>6359.5079999999998</v>
      </c>
    </row>
    <row r="21" spans="1:6" ht="14.4" customHeight="1" x14ac:dyDescent="0.3">
      <c r="A21" s="640" t="s">
        <v>994</v>
      </c>
      <c r="B21" s="615"/>
      <c r="C21" s="628">
        <v>0</v>
      </c>
      <c r="D21" s="615">
        <v>68.28</v>
      </c>
      <c r="E21" s="628">
        <v>1</v>
      </c>
      <c r="F21" s="616">
        <v>68.28</v>
      </c>
    </row>
    <row r="22" spans="1:6" ht="14.4" customHeight="1" thickBot="1" x14ac:dyDescent="0.35">
      <c r="A22" s="638" t="s">
        <v>995</v>
      </c>
      <c r="B22" s="630"/>
      <c r="C22" s="631">
        <v>0</v>
      </c>
      <c r="D22" s="630">
        <v>361.48000000000008</v>
      </c>
      <c r="E22" s="631">
        <v>1</v>
      </c>
      <c r="F22" s="632">
        <v>361.48000000000008</v>
      </c>
    </row>
    <row r="23" spans="1:6" ht="14.4" customHeight="1" thickBot="1" x14ac:dyDescent="0.35">
      <c r="A23" s="633" t="s">
        <v>3</v>
      </c>
      <c r="B23" s="634">
        <v>1175.6999999999998</v>
      </c>
      <c r="C23" s="635">
        <v>4.9254112821201013E-2</v>
      </c>
      <c r="D23" s="634">
        <v>22694.387849677598</v>
      </c>
      <c r="E23" s="635">
        <v>0.95074588717879904</v>
      </c>
      <c r="F23" s="636">
        <v>23870.087849677595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2015-03-21T00:06:54Z</dcterms:modified>
</cp:coreProperties>
</file>