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Total!$A$4:$W$4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_xlnm.Print_Area" localSheetId="18">ALOS!$A$1:$M$45</definedName>
    <definedName name="_xlnm.Print_Area" localSheetId="17">CaseMix!$A$1:$M$39</definedName>
  </definedNames>
  <calcPr calcId="152511"/>
</workbook>
</file>

<file path=xl/calcChain.xml><?xml version="1.0" encoding="utf-8"?>
<calcChain xmlns="http://schemas.openxmlformats.org/spreadsheetml/2006/main">
  <c r="V39" i="371" l="1"/>
  <c r="U39" i="371"/>
  <c r="T39" i="371"/>
  <c r="S39" i="371"/>
  <c r="R39" i="371"/>
  <c r="Q39" i="371"/>
  <c r="V38" i="371"/>
  <c r="U38" i="371"/>
  <c r="T38" i="371"/>
  <c r="S38" i="371"/>
  <c r="R38" i="371"/>
  <c r="Q38" i="371"/>
  <c r="T37" i="371"/>
  <c r="U37" i="371" s="1"/>
  <c r="S37" i="371"/>
  <c r="R37" i="371"/>
  <c r="Q37" i="371"/>
  <c r="T36" i="371"/>
  <c r="U36" i="371" s="1"/>
  <c r="S36" i="371"/>
  <c r="V36" i="371" s="1"/>
  <c r="R36" i="371"/>
  <c r="Q36" i="371"/>
  <c r="T35" i="371"/>
  <c r="U35" i="371" s="1"/>
  <c r="S35" i="371"/>
  <c r="R35" i="371"/>
  <c r="Q35" i="371"/>
  <c r="T34" i="371"/>
  <c r="U34" i="371" s="1"/>
  <c r="S34" i="371"/>
  <c r="V34" i="371" s="1"/>
  <c r="R34" i="371"/>
  <c r="Q34" i="371"/>
  <c r="T33" i="371"/>
  <c r="U33" i="371" s="1"/>
  <c r="S33" i="371"/>
  <c r="R33" i="371"/>
  <c r="Q33" i="371"/>
  <c r="V32" i="371"/>
  <c r="T32" i="371"/>
  <c r="U32" i="371" s="1"/>
  <c r="S32" i="371"/>
  <c r="R32" i="371"/>
  <c r="Q32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U15" i="371" s="1"/>
  <c r="S15" i="371"/>
  <c r="R15" i="371"/>
  <c r="Q15" i="371"/>
  <c r="V14" i="371"/>
  <c r="T14" i="371"/>
  <c r="U14" i="371" s="1"/>
  <c r="S14" i="371"/>
  <c r="R14" i="371"/>
  <c r="Q14" i="371"/>
  <c r="T13" i="371"/>
  <c r="V13" i="371" s="1"/>
  <c r="S13" i="371"/>
  <c r="R13" i="371"/>
  <c r="Q13" i="371"/>
  <c r="V12" i="371"/>
  <c r="T12" i="371"/>
  <c r="U12" i="371" s="1"/>
  <c r="S12" i="371"/>
  <c r="R12" i="371"/>
  <c r="Q12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T7" i="371"/>
  <c r="U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17" i="371" l="1"/>
  <c r="U19" i="371"/>
  <c r="U21" i="371"/>
  <c r="U25" i="371"/>
  <c r="V7" i="371"/>
  <c r="V11" i="371"/>
  <c r="V15" i="371"/>
  <c r="V31" i="371"/>
  <c r="V33" i="371"/>
  <c r="V35" i="371"/>
  <c r="V37" i="371"/>
  <c r="U13" i="371"/>
  <c r="AH21" i="419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D23" i="419" s="1"/>
  <c r="AC20" i="419"/>
  <c r="AB20" i="419"/>
  <c r="AA20" i="419"/>
  <c r="Z20" i="419"/>
  <c r="Y20" i="419"/>
  <c r="X20" i="419"/>
  <c r="W20" i="419"/>
  <c r="V20" i="419"/>
  <c r="V23" i="419" s="1"/>
  <c r="U20" i="419"/>
  <c r="T20" i="419"/>
  <c r="S20" i="419"/>
  <c r="R20" i="419"/>
  <c r="Q20" i="419"/>
  <c r="P20" i="419"/>
  <c r="O20" i="419"/>
  <c r="N20" i="419"/>
  <c r="N23" i="419" s="1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K18" i="419"/>
  <c r="W18" i="419"/>
  <c r="AH18" i="419"/>
  <c r="J23" i="419"/>
  <c r="R23" i="419"/>
  <c r="S23" i="419"/>
  <c r="AA23" i="419"/>
  <c r="AE23" i="419"/>
  <c r="S18" i="419"/>
  <c r="AE18" i="419"/>
  <c r="R22" i="419"/>
  <c r="O18" i="419"/>
  <c r="AA18" i="419"/>
  <c r="Z23" i="419"/>
  <c r="J18" i="419"/>
  <c r="N18" i="419"/>
  <c r="R18" i="419"/>
  <c r="Z18" i="419"/>
  <c r="AD18" i="419"/>
  <c r="M23" i="419"/>
  <c r="U23" i="419"/>
  <c r="AC23" i="419"/>
  <c r="I18" i="419"/>
  <c r="M18" i="419"/>
  <c r="Q18" i="419"/>
  <c r="U18" i="419"/>
  <c r="Y18" i="419"/>
  <c r="AC18" i="419"/>
  <c r="AG18" i="419"/>
  <c r="K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28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Z6" i="419"/>
  <c r="N6" i="419"/>
  <c r="AF6" i="419"/>
  <c r="AB6" i="419"/>
  <c r="X6" i="419"/>
  <c r="T6" i="419"/>
  <c r="P6" i="419"/>
  <c r="L6" i="419"/>
  <c r="H6" i="419"/>
  <c r="AH6" i="419"/>
  <c r="AA6" i="419"/>
  <c r="W6" i="419"/>
  <c r="O6" i="419"/>
  <c r="AD6" i="419"/>
  <c r="R6" i="419"/>
  <c r="AE6" i="419"/>
  <c r="S6" i="419"/>
  <c r="K6" i="419"/>
  <c r="V6" i="419"/>
  <c r="J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J24" i="370" l="1"/>
  <c r="J23" i="370"/>
  <c r="J22" i="370"/>
  <c r="J21" i="370"/>
  <c r="J20" i="370"/>
  <c r="J19" i="370"/>
  <c r="J18" i="370"/>
  <c r="A25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22" i="414"/>
  <c r="A21" i="414"/>
  <c r="A20" i="414" l="1"/>
  <c r="A19" i="414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5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E11" i="339" l="1"/>
  <c r="B11" i="339"/>
  <c r="F11" i="339" l="1"/>
  <c r="C11" i="339"/>
  <c r="H11" i="339" l="1"/>
  <c r="G11" i="339"/>
  <c r="A24" i="414"/>
  <c r="A18" i="414"/>
  <c r="A13" i="414"/>
  <c r="A8" i="414"/>
  <c r="A7" i="414"/>
  <c r="A14" i="414"/>
  <c r="A4" i="414"/>
  <c r="A6" i="339" l="1"/>
  <c r="A5" i="339"/>
  <c r="C14" i="414"/>
  <c r="D4" i="414"/>
  <c r="C17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2" i="414" s="1"/>
  <c r="E22" i="414" s="1"/>
  <c r="I39" i="370"/>
  <c r="I26" i="370"/>
  <c r="E12" i="339"/>
  <c r="M39" i="370"/>
  <c r="E26" i="370"/>
  <c r="D21" i="414" s="1"/>
  <c r="E21" i="414" s="1"/>
  <c r="L39" i="370"/>
  <c r="C12" i="339"/>
  <c r="E13" i="370"/>
  <c r="D20" i="414" s="1"/>
  <c r="E20" i="414" s="1"/>
  <c r="L13" i="370"/>
  <c r="B12" i="339"/>
  <c r="F12" i="339" s="1"/>
  <c r="I13" i="370"/>
  <c r="D23" i="414" s="1"/>
  <c r="E23" i="414" s="1"/>
  <c r="M3" i="372"/>
  <c r="N3" i="372" s="1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M3" i="387"/>
  <c r="K3" i="387" s="1"/>
  <c r="L3" i="387"/>
  <c r="J3" i="387"/>
  <c r="I3" i="387"/>
  <c r="G3" i="387"/>
  <c r="F3" i="387"/>
  <c r="N3" i="220"/>
  <c r="L3" i="220" s="1"/>
  <c r="D19" i="414"/>
  <c r="C19" i="414"/>
  <c r="Q3" i="377" l="1"/>
  <c r="H3" i="387"/>
  <c r="F3" i="372"/>
  <c r="C25" i="414"/>
  <c r="E25" i="414" s="1"/>
  <c r="F13" i="339"/>
  <c r="E13" i="339"/>
  <c r="E15" i="339" s="1"/>
  <c r="J3" i="372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6" i="414"/>
  <c r="H13" i="339" l="1"/>
  <c r="F15" i="339"/>
  <c r="D24" i="414"/>
  <c r="E24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<sst xmlns="http://schemas.openxmlformats.org/spreadsheetml/2006/main" count="8629" uniqueCount="2364">
  <si>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</si>
  <si>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</si>
  <si>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</si>
  <si>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</si>
  <si>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</si>
  <si>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</si>
  <si>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</si>
  <si>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</si>
  <si>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</si>
  <si>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</si>
  <si>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</si>
  <si>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</si>
  <si>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</si>
  <si>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</si>
  <si>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</si>
  <si>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</si>
  <si>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</si>
  <si>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</si>
  <si>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</si>
  <si>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</si>
  <si>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</si>
  <si>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</si>
  <si>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</si>
  <si>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</si>
  <si>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</si>
  <si>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</si>
  <si>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</si>
  <si>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</si>
  <si>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</si>
  <si>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</si>
  <si>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</si>
  <si>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</si>
  <si>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</si>
  <si>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</si>
  <si>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</si>
  <si>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</si>
  <si>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</si>
  <si>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</si>
  <si>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</si>
  <si>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</si>
  <si>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</si>
  <si>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</si>
  <si>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</si>
  <si>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</si>
  <si>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</si>
  <si>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</si>
  <si>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</si>
  <si>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</si>
  <si>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</si>
  <si>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</si>
  <si>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</si>
  <si>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</si>
  <si>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</si>
  <si>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</si>
  <si>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</si>
  <si>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</si>
  <si>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</si>
  <si>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</si>
  <si>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</si>
  <si>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</si>
  <si>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</si>
  <si>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</si>
  <si>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</si>
  <si>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</si>
  <si>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</si>
  <si>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</si>
  <si>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</si>
  <si>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</si>
  <si>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</si>
  <si>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</si>
  <si>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</si>
  <si>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</si>
  <si>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</si>
  <si>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</si>
  <si>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</si>
  <si>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</si>
  <si>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</si>
  <si>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</si>
  <si>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</si>
  <si>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</si>
  <si>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</si>
  <si>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</si>
  <si>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</si>
  <si>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</si>
  <si>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</si>
  <si>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</si>
  <si>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</si>
  <si>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</si>
  <si>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</si>
  <si>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</si>
  <si>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</si>
  <si>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</si>
  <si>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</si>
  <si>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</si>
  <si>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</si>
  <si>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</si>
  <si>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</si>
  <si>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</si>
  <si>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</si>
  <si>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</si>
  <si>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</si>
  <si>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</si>
  <si>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</si>
  <si>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</si>
  <si>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</si>
  <si>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</si>
  <si>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</si>
  <si>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</si>
  <si>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</si>
  <si>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</si>
  <si>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</si>
  <si>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</si>
  <si>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</si>
  <si>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</si>
  <si>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</si>
  <si>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</si>
  <si>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</si>
  <si>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</si>
  <si>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</si>
  <si>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</si>
  <si>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</si>
  <si>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</si>
  <si>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</si>
  <si>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</si>
  <si>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</si>
  <si>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</si>
  <si>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</si>
  <si>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</si>
  <si>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</si>
  <si>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</si>
  <si>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</si>
  <si>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</si>
  <si>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</si>
  <si>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</si>
  <si>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</si>
  <si>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</si>
  <si>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</si>
  <si>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</si>
  <si>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</si>
  <si>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</si>
  <si>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</si>
  <si>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</si>
  <si>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</si>
  <si>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</si>
  <si>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</si>
  <si>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</si>
  <si>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</si>
  <si>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</si>
  <si>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</si>
  <si>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</si>
  <si>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</si>
  <si>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</si>
  <si>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</si>
  <si>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</si>
  <si>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</si>
  <si>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</si>
  <si>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</si>
  <si>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</si>
  <si>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</si>
  <si>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</si>
  <si>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</si>
  <si>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</si>
  <si>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</si>
  <si>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</si>
  <si>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</si>
  <si>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</si>
  <si>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</si>
  <si>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</si>
  <si>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</si>
  <si>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</si>
  <si>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</si>
  <si>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</si>
  <si>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</si>
  <si>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</si>
  <si>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</si>
  <si>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</si>
  <si>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</si>
  <si>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</si>
  <si>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</si>
  <si>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</si>
  <si>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</si>
  <si>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</si>
  <si>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</si>
  <si>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</si>
  <si>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</si>
  <si>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</si>
  <si>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</si>
  <si>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</si>
  <si>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</si>
  <si>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</si>
  <si>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</si>
  <si>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</si>
  <si>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</si>
  <si>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</si>
  <si>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</si>
  <si>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</si>
  <si>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</si>
  <si>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</si>
  <si>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</si>
  <si>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</si>
  <si>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</si>
  <si>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</si>
  <si>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</si>
  <si>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</si>
  <si>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</si>
  <si>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</si>
  <si>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</si>
  <si>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</si>
  <si>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</si>
  <si>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</si>
  <si>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</si>
  <si>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</si>
  <si>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</si>
  <si>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</si>
  <si>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</si>
  <si>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</si>
  <si>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</si>
  <si>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</si>
  <si>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</si>
  <si>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</si>
  <si>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</si>
  <si>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</si>
  <si>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</si>
  <si>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</si>
  <si>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</si>
  <si>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</si>
  <si>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</si>
  <si>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</si>
  <si>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</si>
  <si>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</si>
  <si>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</si>
  <si>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</si>
  <si>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</si>
  <si>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</si>
  <si>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</si>
  <si>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</si>
  <si>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</si>
  <si>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</si>
  <si>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</si>
  <si>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</si>
  <si>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</si>
  <si>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</si>
  <si>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</si>
  <si>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</si>
  <si>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</si>
  <si>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</si>
  <si>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</si>
  <si>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</si>
  <si>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</si>
  <si>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</si>
  <si>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</si>
  <si>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</si>
  <si>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</si>
  <si>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</si>
  <si>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</si>
  <si>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</si>
  <si>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</si>
  <si>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</si>
  <si>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</si>
  <si>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</si>
  <si>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</si>
  <si>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</si>
  <si>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</si>
  <si>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</si>
  <si>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</si>
  <si>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</si>
  <si>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</si>
  <si>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</si>
  <si>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</si>
  <si>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</si>
  <si>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</si>
  <si>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</si>
  <si>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</si>
  <si>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</si>
  <si>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</si>
  <si>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</si>
  <si>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</si>
  <si>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</si>
  <si>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</si>
  <si>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</si>
  <si>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</si>
  <si>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</si>
  <si>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</si>
  <si>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</si>
  <si>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</si>
  <si>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</si>
  <si>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</si>
  <si>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</si>
  <si>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</si>
  <si>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</si>
  <si>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</si>
  <si>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</si>
  <si>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</si>
  <si>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</si>
  <si>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</si>
  <si>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</si>
  <si>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</si>
  <si>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</si>
  <si>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</si>
  <si>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</si>
  <si>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</si>
  <si>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</si>
  <si>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</si>
  <si>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</si>
  <si>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</si>
  <si>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</si>
  <si>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</si>
  <si>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</si>
  <si>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</si>
  <si>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</si>
  <si>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</si>
  <si>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</si>
  <si>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</si>
  <si>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</si>
  <si>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</si>
  <si>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</si>
  <si>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</si>
  <si>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</si>
  <si>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</si>
  <si>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</si>
  <si>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</si>
  <si>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</si>
  <si>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</si>
  <si>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</si>
  <si>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</si>
  <si>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</si>
  <si>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--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</si>
  <si>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</si>
  <si>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</si>
  <si>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</si>
  <si>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</si>
  <si>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</si>
  <si>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</si>
  <si>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</si>
  <si>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</si>
  <si>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</si>
  <si>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</si>
  <si>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</si>
  <si>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</si>
  <si>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</si>
  <si>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</si>
  <si>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50116004     výživa kojenců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</si>
  <si>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</si>
  <si>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</si>
  <si>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</si>
  <si>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</si>
  <si>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</si>
  <si>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</si>
  <si>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</si>
  <si>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</si>
  <si>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</si>
  <si>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</si>
  <si>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</si>
  <si>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</si>
  <si>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</si>
  <si>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50117201     obaly ostatní - LEK (sk.Z519)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</si>
  <si>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</si>
  <si>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</si>
  <si>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</si>
  <si>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</si>
  <si>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</si>
  <si>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</si>
  <si>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</si>
  <si>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</si>
  <si>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</si>
  <si>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</si>
  <si>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</si>
  <si>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</si>
  <si>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</si>
  <si>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</si>
  <si>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</si>
  <si>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</si>
  <si>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</si>
  <si>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</si>
  <si>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</si>
  <si>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</si>
  <si>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</si>
  <si>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</si>
  <si>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</si>
  <si>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</si>
  <si>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</si>
  <si>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</si>
  <si>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</si>
  <si>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</si>
  <si>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</si>
  <si>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</si>
  <si>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</si>
  <si>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</si>
  <si>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</si>
  <si>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</si>
  <si>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</si>
  <si>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</si>
  <si>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</si>
  <si>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</si>
  <si>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</si>
  <si>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</si>
  <si>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</si>
  <si>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</si>
  <si>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</si>
  <si>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</si>
  <si>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</si>
  <si>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</si>
  <si>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</si>
  <si>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</si>
  <si>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</si>
  <si>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</si>
  <si>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</si>
  <si>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</si>
  <si>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</si>
  <si>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</si>
  <si>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</si>
  <si>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</si>
  <si>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</si>
  <si>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</si>
  <si>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</si>
  <si>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</si>
  <si>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</si>
  <si>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</si>
  <si>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</si>
  <si>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</si>
  <si>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</si>
  <si>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</si>
  <si>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</si>
  <si>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</si>
  <si>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</si>
  <si>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</si>
  <si>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</si>
  <si>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</si>
  <si>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</si>
  <si>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</si>
  <si>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</si>
  <si>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</si>
  <si>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</si>
  <si>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</si>
  <si>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</si>
  <si>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</si>
  <si>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</si>
  <si>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</si>
  <si>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</si>
  <si>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</si>
  <si>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</si>
  <si>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</si>
  <si>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</si>
  <si>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</si>
  <si>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</si>
  <si>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</si>
  <si>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</si>
  <si>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</si>
  <si>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</si>
  <si>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</si>
  <si>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</si>
  <si>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</si>
  <si>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55801081     DDHM - zdravotnický a laboratorní (finanční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</si>
  <si>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</si>
  <si>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</si>
  <si>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</si>
  <si>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</si>
  <si>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55805080     DDHM - inventář (věcné dary)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</si>
  <si>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</si>
  <si>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</si>
  <si>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</si>
  <si>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</si>
  <si>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</si>
  <si>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</si>
  <si>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</si>
  <si>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</si>
  <si>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</si>
  <si>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</si>
  <si>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</si>
  <si>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</si>
  <si>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</si>
  <si>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</si>
  <si>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</si>
  <si>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</si>
  <si>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</si>
  <si>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</si>
  <si>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</si>
  <si>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</si>
  <si>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</si>
  <si>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</si>
  <si>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</si>
  <si>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</si>
  <si>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</si>
  <si>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</si>
  <si>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</si>
  <si>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</si>
  <si>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</si>
  <si>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</si>
  <si>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</si>
  <si>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</si>
  <si>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</si>
  <si>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</si>
  <si>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</si>
  <si>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</si>
  <si>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</si>
  <si>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</si>
  <si>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</si>
  <si>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</si>
  <si>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</si>
  <si>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</si>
  <si>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</si>
  <si>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</si>
  <si>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</si>
  <si>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</si>
  <si>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</si>
  <si>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</si>
  <si>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</si>
  <si>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</si>
  <si>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</si>
  <si>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</si>
  <si>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</si>
  <si>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</si>
  <si>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</si>
  <si>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</si>
  <si>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</si>
  <si>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</si>
  <si>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</si>
  <si>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</si>
  <si>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</si>
  <si>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</si>
  <si>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</si>
  <si>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</si>
  <si>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</si>
  <si>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</si>
  <si>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</si>
  <si>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</si>
  <si>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</si>
  <si>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</si>
  <si>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</si>
  <si>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</si>
  <si>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</si>
  <si>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09</t>
  </si>
  <si>
    <t>Novorozenecké oddělení</t>
  </si>
  <si>
    <t/>
  </si>
  <si>
    <t>50113016     léky - spotřeba v centrech (LEK)</t>
  </si>
  <si>
    <t>Novorozenecké oddělení Celkem</t>
  </si>
  <si>
    <t>SumaKL</t>
  </si>
  <si>
    <t>0911</t>
  </si>
  <si>
    <t xml:space="preserve">lůžkové oddělení 16C </t>
  </si>
  <si>
    <t>lůžkové oddělení 16C  Celkem</t>
  </si>
  <si>
    <t>SumaNS</t>
  </si>
  <si>
    <t>mezeraNS</t>
  </si>
  <si>
    <t>0912</t>
  </si>
  <si>
    <t>lůžkové oddělení 16B + 16D</t>
  </si>
  <si>
    <t>lůžkové oddělení 16B + 16D Celkem</t>
  </si>
  <si>
    <t>0931</t>
  </si>
  <si>
    <t>JIP 16A</t>
  </si>
  <si>
    <t>JIP 16A Celkem</t>
  </si>
  <si>
    <t>0994</t>
  </si>
  <si>
    <t>centrum - novorozenecké</t>
  </si>
  <si>
    <t>centrum - novorozenecké Celkem</t>
  </si>
  <si>
    <t>50113001</t>
  </si>
  <si>
    <t>O</t>
  </si>
  <si>
    <t>51366</t>
  </si>
  <si>
    <t>CHLORID SODNÝ 0,9% BRAUN</t>
  </si>
  <si>
    <t>INF SOL 20X100MLPELAH</t>
  </si>
  <si>
    <t>47256</t>
  </si>
  <si>
    <t>GLUKÓZA 5 BRAUN</t>
  </si>
  <si>
    <t>INF SOL 20X100ML-PE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</si>
  <si>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</si>
  <si>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</si>
  <si>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</si>
  <si>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</si>
  <si>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</si>
  <si>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</si>
  <si>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</si>
  <si>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</si>
  <si>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100720</t>
  </si>
  <si>
    <t>720</t>
  </si>
  <si>
    <t>KANAVIT</t>
  </si>
  <si>
    <t>GTT 1X5ML 20MG/ML</t>
  </si>
  <si>
    <t>152266</t>
  </si>
  <si>
    <t>52266</t>
  </si>
  <si>
    <t>INFADOLAN</t>
  </si>
  <si>
    <t>DRM UNG 1X30GM</t>
  </si>
  <si>
    <t>395997</t>
  </si>
  <si>
    <t>DZ SOFTASEPT N BEZBARVÝ 250 ml</t>
  </si>
  <si>
    <t>840220</t>
  </si>
  <si>
    <t>Lactobacillus acidophil.cps.75 bez laktózy</t>
  </si>
  <si>
    <t>847974</t>
  </si>
  <si>
    <t>125525</t>
  </si>
  <si>
    <t>APO-IBUPROFEN 400 MG</t>
  </si>
  <si>
    <t>POR TBL FLM 30X400MG</t>
  </si>
  <si>
    <t>905097</t>
  </si>
  <si>
    <t>158767</t>
  </si>
  <si>
    <t>DZ OCTENISEPT 250 ml</t>
  </si>
  <si>
    <t>sprej</t>
  </si>
  <si>
    <t>930444</t>
  </si>
  <si>
    <t>KL AQUA PURIF. KUL., FAG. 1 kg</t>
  </si>
  <si>
    <t>102684</t>
  </si>
  <si>
    <t>2684</t>
  </si>
  <si>
    <t>MESOCAIN</t>
  </si>
  <si>
    <t>GEL 1X20GM</t>
  </si>
  <si>
    <t>100392</t>
  </si>
  <si>
    <t>392</t>
  </si>
  <si>
    <t>ATROPIN BIOTIKA 0.5MG</t>
  </si>
  <si>
    <t>INJ 10X1ML/0.5MG</t>
  </si>
  <si>
    <t>900321</t>
  </si>
  <si>
    <t>KL PRIPRAVEK</t>
  </si>
  <si>
    <t>122629</t>
  </si>
  <si>
    <t>SAB SIMPLEX</t>
  </si>
  <si>
    <t>POR SUS 1X30ML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</si>
  <si>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</si>
  <si>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</si>
  <si>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</si>
  <si>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</si>
  <si>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</si>
  <si>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</si>
  <si>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</si>
  <si>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</si>
  <si>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</si>
  <si>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</si>
  <si>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394072</t>
  </si>
  <si>
    <t>1000</t>
  </si>
  <si>
    <t>KL KAPSLE</t>
  </si>
  <si>
    <t>900071</t>
  </si>
  <si>
    <t>KL TBL MAGN.LACT 0,5G+B6 0,02G, 100TBL</t>
  </si>
  <si>
    <t>921017</t>
  </si>
  <si>
    <t>KL KAL.PERMANGANAS 2G</t>
  </si>
  <si>
    <t>100584</t>
  </si>
  <si>
    <t>584</t>
  </si>
  <si>
    <t>PYRIDOXIN LECIVA</t>
  </si>
  <si>
    <t>INJ 5X1ML 50MG</t>
  </si>
  <si>
    <t>194763</t>
  </si>
  <si>
    <t>94763</t>
  </si>
  <si>
    <t>NALOXONE POLFA</t>
  </si>
  <si>
    <t>INJ 10X1ML/0.4MG</t>
  </si>
  <si>
    <t>156171</t>
  </si>
  <si>
    <t>56171</t>
  </si>
  <si>
    <t>ENGERIX-B 20RG(VE STRIKACCE)</t>
  </si>
  <si>
    <t>INJ 1X1ML/20RG</t>
  </si>
  <si>
    <t>394627</t>
  </si>
  <si>
    <t>KL BARVA NA  DETI 20 g</t>
  </si>
  <si>
    <t>844879</t>
  </si>
  <si>
    <t>KL HELIANTHI OLEUM 45g</t>
  </si>
  <si>
    <t>848241</t>
  </si>
  <si>
    <t>107854</t>
  </si>
  <si>
    <t>NEOHEPATECT</t>
  </si>
  <si>
    <t>INF SOL 1X2ML/100UT</t>
  </si>
  <si>
    <t>920352</t>
  </si>
  <si>
    <t>KL HELIANTHI OLEUM 180G</t>
  </si>
  <si>
    <t>921326</t>
  </si>
  <si>
    <t>KL SOL.NOVIKOV SINE V.N. 20G</t>
  </si>
  <si>
    <t>921412</t>
  </si>
  <si>
    <t>KL UNG.LENIENS, 30G</t>
  </si>
  <si>
    <t>930332</t>
  </si>
  <si>
    <t>KL BENZINUM 20g</t>
  </si>
  <si>
    <t>930676</t>
  </si>
  <si>
    <t>KL SACCHAROSUM  24 %  65 g</t>
  </si>
  <si>
    <t>846941</t>
  </si>
  <si>
    <t>Swiss Laktobacilky baby 30 cps</t>
  </si>
  <si>
    <t>930224</t>
  </si>
  <si>
    <t>KL BENZINUM 900ml/ 600g</t>
  </si>
  <si>
    <t>UN 3295</t>
  </si>
  <si>
    <t>845031</t>
  </si>
  <si>
    <t>101113</t>
  </si>
  <si>
    <t>NUROFEN PRO DĚTI JAHODA (od 3 měsíců)</t>
  </si>
  <si>
    <t>POR SUS 2000MG/100ML TRUB</t>
  </si>
  <si>
    <t>395180</t>
  </si>
  <si>
    <t>Arfen 400mg/3ml inj. 6 amp.</t>
  </si>
  <si>
    <t>200863</t>
  </si>
  <si>
    <t>OPHTHALMO-SEPTONEX</t>
  </si>
  <si>
    <t>OPH GTT SOL 1X10ML PLAST</t>
  </si>
  <si>
    <t>395712</t>
  </si>
  <si>
    <t>HBF Calcium panthotenát mast 30g</t>
  </si>
  <si>
    <t>500968</t>
  </si>
  <si>
    <t>KL SACCHAROSUM 24%  120g</t>
  </si>
  <si>
    <t>119686</t>
  </si>
  <si>
    <t>NASIVIN 0,01%</t>
  </si>
  <si>
    <t>NAS GTT SOL 1X5ML</t>
  </si>
  <si>
    <t>50113013</t>
  </si>
  <si>
    <t>101066</t>
  </si>
  <si>
    <t>1066</t>
  </si>
  <si>
    <t>FRAMYKOIN</t>
  </si>
  <si>
    <t>UNG 1X10GM</t>
  </si>
  <si>
    <t>190778</t>
  </si>
  <si>
    <t>90778</t>
  </si>
  <si>
    <t>BACTROBAN</t>
  </si>
  <si>
    <t>DRM UNG 1X15GM</t>
  </si>
  <si>
    <t>166366</t>
  </si>
  <si>
    <t>66366</t>
  </si>
  <si>
    <t>OSPAMOX 250MG/5ML</t>
  </si>
  <si>
    <t>GRA SUS 1X60ML</t>
  </si>
  <si>
    <t>186264</t>
  </si>
  <si>
    <t>86264</t>
  </si>
  <si>
    <t>TOBREX</t>
  </si>
  <si>
    <t>GTT OPH 5ML 3MG/1ML</t>
  </si>
  <si>
    <t>P</t>
  </si>
  <si>
    <t>168999</t>
  </si>
  <si>
    <t>68999</t>
  </si>
  <si>
    <t>AMPICILIN BIOTIKA</t>
  </si>
  <si>
    <t>INJ 10X500MG</t>
  </si>
  <si>
    <t>196413</t>
  </si>
  <si>
    <t>96413</t>
  </si>
  <si>
    <t>GENTAMICIN 40MG LEK</t>
  </si>
  <si>
    <t>INJ 10X2ML/40MG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</si>
  <si>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</si>
  <si>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</si>
  <si>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</si>
  <si>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</si>
  <si>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</si>
  <si>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</si>
  <si>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</si>
  <si>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</si>
  <si>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</si>
  <si>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159074</t>
  </si>
  <si>
    <t>59074</t>
  </si>
  <si>
    <t>PEVARYL</t>
  </si>
  <si>
    <t>DRM CRM 1X30GM 1%</t>
  </si>
  <si>
    <t>50113008</t>
  </si>
  <si>
    <t>26039</t>
  </si>
  <si>
    <t>KIOVIG 1 g CZ Baxter</t>
  </si>
  <si>
    <t>103575</t>
  </si>
  <si>
    <t>3575</t>
  </si>
  <si>
    <t>HEPAROID LECIVA</t>
  </si>
  <si>
    <t>UNG 1X30GM</t>
  </si>
  <si>
    <t>395294</t>
  </si>
  <si>
    <t>180306</t>
  </si>
  <si>
    <t>TANTUM VERDE</t>
  </si>
  <si>
    <t>LIQ 1X240ML-PET TR</t>
  </si>
  <si>
    <t>846599</t>
  </si>
  <si>
    <t>107754</t>
  </si>
  <si>
    <t>Dobutamin Admeda 250 inf.sol50ml</t>
  </si>
  <si>
    <t>900503</t>
  </si>
  <si>
    <t>KL AQUA PURIF. 1000G</t>
  </si>
  <si>
    <t>169724</t>
  </si>
  <si>
    <t>69724</t>
  </si>
  <si>
    <t>ARDEAELYTOSOL NA.HYDR.CARB.4.2%</t>
  </si>
  <si>
    <t>INF 1X80ML</t>
  </si>
  <si>
    <t>199138</t>
  </si>
  <si>
    <t>99138</t>
  </si>
  <si>
    <t>AKTIFERRIN</t>
  </si>
  <si>
    <t>GTT 1X30ML</t>
  </si>
  <si>
    <t>112023</t>
  </si>
  <si>
    <t>12023</t>
  </si>
  <si>
    <t>VIGANTOL</t>
  </si>
  <si>
    <t>POR GTT SOL 1x10ML</t>
  </si>
  <si>
    <t>920064</t>
  </si>
  <si>
    <t>KL SOL.METHYLROS.CHL.1% 10G</t>
  </si>
  <si>
    <t>120053</t>
  </si>
  <si>
    <t>20053</t>
  </si>
  <si>
    <t>BENOXI 0.4 % UNIMED PHARMA</t>
  </si>
  <si>
    <t>OPH GTT SOL 1X10ML</t>
  </si>
  <si>
    <t>845628</t>
  </si>
  <si>
    <t>IR OG. COLL.PHENYLEPHRINI 10g 2%</t>
  </si>
  <si>
    <t>COLL  2%</t>
  </si>
  <si>
    <t>920020</t>
  </si>
  <si>
    <t>IR OG. COLL.HOMAT.HYDROBROM.1%10G</t>
  </si>
  <si>
    <t>COLL</t>
  </si>
  <si>
    <t>920367</t>
  </si>
  <si>
    <t>KL EREVIT GTT. 18G</t>
  </si>
  <si>
    <t>921342</t>
  </si>
  <si>
    <t>KL SOL.COFFEINI 1% 50G</t>
  </si>
  <si>
    <t>142495</t>
  </si>
  <si>
    <t>42495</t>
  </si>
  <si>
    <t>GLUCOSE-1-PHOSPH.FRESENIUS 1MO</t>
  </si>
  <si>
    <t>INF CNC SOL 5X10ML</t>
  </si>
  <si>
    <t>921296</t>
  </si>
  <si>
    <t>KL SUPP.GLYCEROLI  30KS, pro novorozence</t>
  </si>
  <si>
    <t>168578</t>
  </si>
  <si>
    <t>68578</t>
  </si>
  <si>
    <t>PHENAEMALETTEN</t>
  </si>
  <si>
    <t>TBL 50X15MG</t>
  </si>
  <si>
    <t>849449</t>
  </si>
  <si>
    <t>GASTROTUSS Baby sirup 200ml</t>
  </si>
  <si>
    <t>920254</t>
  </si>
  <si>
    <t>Kulíšek sáčky 10x6,6g</t>
  </si>
  <si>
    <t>988271</t>
  </si>
  <si>
    <t>BioLac Baby drops Generica 6 ml</t>
  </si>
  <si>
    <t>195604</t>
  </si>
  <si>
    <t>95604</t>
  </si>
  <si>
    <t>FLIXOTIDE 50 INHALER N</t>
  </si>
  <si>
    <t>INH SUS PSS120X50RG</t>
  </si>
  <si>
    <t>105114</t>
  </si>
  <si>
    <t>5114</t>
  </si>
  <si>
    <t>TARGOCID 200MG</t>
  </si>
  <si>
    <t>INJ SIC 1X200MG+SOL</t>
  </si>
  <si>
    <t>72973</t>
  </si>
  <si>
    <t>AMOKSIKLAV 600 MG</t>
  </si>
  <si>
    <t>INJ PLV SOL 5X600MG</t>
  </si>
  <si>
    <t>847759</t>
  </si>
  <si>
    <t>142077</t>
  </si>
  <si>
    <t>TIENAM 500 MG/500 MG I.V.</t>
  </si>
  <si>
    <t>INF PLV SOL 1X10LAH/20ML</t>
  </si>
  <si>
    <t>94176</t>
  </si>
  <si>
    <t>CEFOTAXIME LEK 1 G PRÁŠEK PRO INJEKČNÍ ROZTOK</t>
  </si>
  <si>
    <t>INJ PLV SOL 1X1GM</t>
  </si>
  <si>
    <t>137499</t>
  </si>
  <si>
    <t>KLACID I.V.</t>
  </si>
  <si>
    <t>INF PLV SOL 1X500MG</t>
  </si>
  <si>
    <t>166265</t>
  </si>
  <si>
    <t>VANCOMYCIN MYLAN 500 MG</t>
  </si>
  <si>
    <t>131739</t>
  </si>
  <si>
    <t>31739</t>
  </si>
  <si>
    <t>HELICID « 40 INF. LYOF.1X40MG</t>
  </si>
  <si>
    <t>130187</t>
  </si>
  <si>
    <t>30187</t>
  </si>
  <si>
    <t>MIDAZOLAM TORREX 5MG/ML</t>
  </si>
  <si>
    <t>INJ 10X1ML/5MG</t>
  </si>
  <si>
    <t>31915</t>
  </si>
  <si>
    <t>GLUKÓZA 10 BRAUN</t>
  </si>
  <si>
    <t>INF SOL 10X500ML-PE</t>
  </si>
  <si>
    <t>51367</t>
  </si>
  <si>
    <t>INF SOL 10X250MLPELAH</t>
  </si>
  <si>
    <t>100843</t>
  </si>
  <si>
    <t>843</t>
  </si>
  <si>
    <t>DERMAZULEN</t>
  </si>
  <si>
    <t>100876</t>
  </si>
  <si>
    <t>876</t>
  </si>
  <si>
    <t>UNG OPH 1X5GM</t>
  </si>
  <si>
    <t>100889</t>
  </si>
  <si>
    <t>889</t>
  </si>
  <si>
    <t>PITYOL</t>
  </si>
  <si>
    <t>102133</t>
  </si>
  <si>
    <t>2133</t>
  </si>
  <si>
    <t>FUROSEMID BIOTIKA</t>
  </si>
  <si>
    <t>INJ 5X2ML/20MG</t>
  </si>
  <si>
    <t>102486</t>
  </si>
  <si>
    <t>2486</t>
  </si>
  <si>
    <t>KALIUM CHLORATUM LECIVA 7.5%</t>
  </si>
  <si>
    <t>INJ 5X10ML 7.5%</t>
  </si>
  <si>
    <t>124067</t>
  </si>
  <si>
    <t>HYDROCORTISON VUAB 100 MG</t>
  </si>
  <si>
    <t>INJ PLV SOL 1X100MG</t>
  </si>
  <si>
    <t>132992</t>
  </si>
  <si>
    <t>32992</t>
  </si>
  <si>
    <t>ATROVENT N</t>
  </si>
  <si>
    <t>INH SOL PSS200X20RG</t>
  </si>
  <si>
    <t>147193</t>
  </si>
  <si>
    <t>47193</t>
  </si>
  <si>
    <t>HUMULIN R 100 M.J./ML</t>
  </si>
  <si>
    <t>INJ 1X10ML/1KU</t>
  </si>
  <si>
    <t>149317</t>
  </si>
  <si>
    <t>49317</t>
  </si>
  <si>
    <t>CALCIUM GLUCONICUM 10% B.BRAUN</t>
  </si>
  <si>
    <t>INJ SOL 20X10ML</t>
  </si>
  <si>
    <t>162316</t>
  </si>
  <si>
    <t>62316</t>
  </si>
  <si>
    <t>BETADINE - zelená</t>
  </si>
  <si>
    <t>LIQ 1X120ML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</si>
  <si>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</si>
  <si>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</si>
  <si>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</si>
  <si>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</si>
  <si>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</si>
  <si>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</si>
  <si>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</si>
  <si>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</si>
  <si>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184090</t>
  </si>
  <si>
    <t>84090</t>
  </si>
  <si>
    <t>DEXAMED</t>
  </si>
  <si>
    <t>INJ 10X2ML/8MG</t>
  </si>
  <si>
    <t>193746</t>
  </si>
  <si>
    <t>93746</t>
  </si>
  <si>
    <t>HEPARIN LECIVA</t>
  </si>
  <si>
    <t>INJ 1X10ML/50KU</t>
  </si>
  <si>
    <t>847713</t>
  </si>
  <si>
    <t>125526</t>
  </si>
  <si>
    <t>POR TBL FLM 100X400MG</t>
  </si>
  <si>
    <t>100489</t>
  </si>
  <si>
    <t>489</t>
  </si>
  <si>
    <t>INJ 5X1ML/10MG</t>
  </si>
  <si>
    <t>100536</t>
  </si>
  <si>
    <t>536</t>
  </si>
  <si>
    <t>NORADRENALIN LECIVA</t>
  </si>
  <si>
    <t>104380</t>
  </si>
  <si>
    <t>4380</t>
  </si>
  <si>
    <t>TENSAMIN</t>
  </si>
  <si>
    <t>INJ 10X5ML</t>
  </si>
  <si>
    <t>162315</t>
  </si>
  <si>
    <t>62315</t>
  </si>
  <si>
    <t>LIQ 1X30ML</t>
  </si>
  <si>
    <t>196610</t>
  </si>
  <si>
    <t>96610</t>
  </si>
  <si>
    <t>APAURIN</t>
  </si>
  <si>
    <t>INJ 10X2ML/10MG</t>
  </si>
  <si>
    <t>47706</t>
  </si>
  <si>
    <t>GLUKÓZA 20 BRAUN</t>
  </si>
  <si>
    <t>100874</t>
  </si>
  <si>
    <t>874</t>
  </si>
  <si>
    <t>OPHTHALMO-AZULEN</t>
  </si>
  <si>
    <t>159398</t>
  </si>
  <si>
    <t>59398</t>
  </si>
  <si>
    <t>TRACUTIL</t>
  </si>
  <si>
    <t>INF 5X10ML</t>
  </si>
  <si>
    <t>194852</t>
  </si>
  <si>
    <t>94852</t>
  </si>
  <si>
    <t>SOLUVIT N PRO INFUS.</t>
  </si>
  <si>
    <t>INJ SIC 10</t>
  </si>
  <si>
    <t>100512</t>
  </si>
  <si>
    <t>512</t>
  </si>
  <si>
    <t>NATRIUM CHLORATUM BIOTIKA 10%</t>
  </si>
  <si>
    <t>INJ 10X5ML 10%</t>
  </si>
  <si>
    <t>176205</t>
  </si>
  <si>
    <t>180825</t>
  </si>
  <si>
    <t>HYDROCORTISON 10MG</t>
  </si>
  <si>
    <t>TBL 20X10MG</t>
  </si>
  <si>
    <t>102668</t>
  </si>
  <si>
    <t>2668</t>
  </si>
  <si>
    <t>OPHTHALMO-HYDROCORTISON LECIVA</t>
  </si>
  <si>
    <t>UNG OPH 1X5GM 0.5%</t>
  </si>
  <si>
    <t>169755</t>
  </si>
  <si>
    <t>69755</t>
  </si>
  <si>
    <t>ARDEANUTRISOL G 40</t>
  </si>
  <si>
    <t>117996</t>
  </si>
  <si>
    <t>17996</t>
  </si>
  <si>
    <t>KINEDRYL</t>
  </si>
  <si>
    <t>TBL 10</t>
  </si>
  <si>
    <t>147300</t>
  </si>
  <si>
    <t>47300</t>
  </si>
  <si>
    <t>ELOCOM</t>
  </si>
  <si>
    <t>DRM CRM 1X30GM 0.1%</t>
  </si>
  <si>
    <t>840155</t>
  </si>
  <si>
    <t>Vincentka nosní sprej  25ml (30ml)</t>
  </si>
  <si>
    <t>185812</t>
  </si>
  <si>
    <t>85812</t>
  </si>
  <si>
    <t>LIDOCAIN</t>
  </si>
  <si>
    <t>INJ 10X2ML 2%</t>
  </si>
  <si>
    <t>101681</t>
  </si>
  <si>
    <t>1681</t>
  </si>
  <si>
    <t>EMLA KREM 5%</t>
  </si>
  <si>
    <t>CRM 1X30GM</t>
  </si>
  <si>
    <t>186970</t>
  </si>
  <si>
    <t>86970</t>
  </si>
  <si>
    <t>ARDEANUTRISOL G 20</t>
  </si>
  <si>
    <t>INF SOL 1X250ML</t>
  </si>
  <si>
    <t>185256</t>
  </si>
  <si>
    <t>85256</t>
  </si>
  <si>
    <t>RIVOTRIL 2.5MG/ML</t>
  </si>
  <si>
    <t>186968</t>
  </si>
  <si>
    <t>86968</t>
  </si>
  <si>
    <t>ARDEANUTRISOL G 10</t>
  </si>
  <si>
    <t>INF 1X250ML</t>
  </si>
  <si>
    <t>118656</t>
  </si>
  <si>
    <t>NALBUPHIN ORPHA</t>
  </si>
  <si>
    <t>INJ SOL 10X2ML</t>
  </si>
  <si>
    <t>846113</t>
  </si>
  <si>
    <t>107712</t>
  </si>
  <si>
    <t>EPANUTIN PARENTERAL</t>
  </si>
  <si>
    <t>INJ SOL 5X5ML/250MG</t>
  </si>
  <si>
    <t>155939</t>
  </si>
  <si>
    <t>HERPESIN 250</t>
  </si>
  <si>
    <t>INF PLV SOL 10X250MG</t>
  </si>
  <si>
    <t>921416</t>
  </si>
  <si>
    <t>KL CPS CALC.GLUC.+KAL.DIH. 100CPS</t>
  </si>
  <si>
    <t>142594</t>
  </si>
  <si>
    <t>42594</t>
  </si>
  <si>
    <t>VITALIPID N INFANT</t>
  </si>
  <si>
    <t>INF CNC SOL 10X10ML</t>
  </si>
  <si>
    <t>167679</t>
  </si>
  <si>
    <t>PEYONA 20 MG/ML</t>
  </si>
  <si>
    <t>IVN+POR SOL 10X1ML</t>
  </si>
  <si>
    <t>169747</t>
  </si>
  <si>
    <t>69747</t>
  </si>
  <si>
    <t>169751</t>
  </si>
  <si>
    <t>69751</t>
  </si>
  <si>
    <t>INF SOL 1X80ML</t>
  </si>
  <si>
    <t>184449</t>
  </si>
  <si>
    <t>84449</t>
  </si>
  <si>
    <t>LUMINAL</t>
  </si>
  <si>
    <t>INJ 5X1ML/219MG</t>
  </si>
  <si>
    <t>187226</t>
  </si>
  <si>
    <t>87226</t>
  </si>
  <si>
    <t>CUROSURF</t>
  </si>
  <si>
    <t>SUS 2X1.5ML/120MG</t>
  </si>
  <si>
    <t>199814</t>
  </si>
  <si>
    <t>99814</t>
  </si>
  <si>
    <t>VODA NA INJEKCI VIAFLO</t>
  </si>
  <si>
    <t>PAR LQF 20X500ML</t>
  </si>
  <si>
    <t>501062</t>
  </si>
  <si>
    <t>KL MORPHINI HYDROCHL. 0,008 AQ.P. AD 20G</t>
  </si>
  <si>
    <t>Novoroz. odd.</t>
  </si>
  <si>
    <t>844978</t>
  </si>
  <si>
    <t>107475</t>
  </si>
  <si>
    <t>PRIMENE 10%</t>
  </si>
  <si>
    <t>INF SOL 10X250ML 10%</t>
  </si>
  <si>
    <t>900892</t>
  </si>
  <si>
    <t>KL SUPP.DIAZEPAMI 0,0005G  10KS</t>
  </si>
  <si>
    <t>920368</t>
  </si>
  <si>
    <t>KL EREVIT GTT. 30G</t>
  </si>
  <si>
    <t>921404</t>
  </si>
  <si>
    <t>KL SUPP.IBUPROFENI 0,05G  20KS</t>
  </si>
  <si>
    <t>921573</t>
  </si>
  <si>
    <t>KL SUPP.PARACETAMOLI 0,02G  30KS</t>
  </si>
  <si>
    <t>930608</t>
  </si>
  <si>
    <t>KL CHLORAL.HYDRATUM 50 g</t>
  </si>
  <si>
    <t>157871</t>
  </si>
  <si>
    <t>PARACETAMOL KABI 10 MG/ML</t>
  </si>
  <si>
    <t>INF SOL 10X50ML/500MG</t>
  </si>
  <si>
    <t>125034</t>
  </si>
  <si>
    <t>25034</t>
  </si>
  <si>
    <t>DORMICUM</t>
  </si>
  <si>
    <t>INJ SOL 10X1ML/5MG</t>
  </si>
  <si>
    <t>132090</t>
  </si>
  <si>
    <t>32090</t>
  </si>
  <si>
    <t>TRALGIT 50 INJ</t>
  </si>
  <si>
    <t>INJ SOL 5X1ML/50MG</t>
  </si>
  <si>
    <t>193969</t>
  </si>
  <si>
    <t>93969</t>
  </si>
  <si>
    <t>RANITAL</t>
  </si>
  <si>
    <t>INJ 5X2ML/50MG</t>
  </si>
  <si>
    <t>131934</t>
  </si>
  <si>
    <t>31934</t>
  </si>
  <si>
    <t>VENTOLIN INHALER N</t>
  </si>
  <si>
    <t>INHSUSPSS200X100RG</t>
  </si>
  <si>
    <t>849266</t>
  </si>
  <si>
    <t>162444</t>
  </si>
  <si>
    <t xml:space="preserve">SUFENTANIL TORREX 5 MCG/ML </t>
  </si>
  <si>
    <t>INJ SOL 5X2ML/10RG</t>
  </si>
  <si>
    <t>140361</t>
  </si>
  <si>
    <t>40361</t>
  </si>
  <si>
    <t>NIMBEX</t>
  </si>
  <si>
    <t>INJ SOL 5X2.5ML/5MG</t>
  </si>
  <si>
    <t>50113006</t>
  </si>
  <si>
    <t>841583</t>
  </si>
  <si>
    <t>33218</t>
  </si>
  <si>
    <t>Nutrilon Nutriton 135g</t>
  </si>
  <si>
    <t>133401</t>
  </si>
  <si>
    <t>33401</t>
  </si>
  <si>
    <t>NUTRILON 1 ALLERGY DIGESTIVE CARE</t>
  </si>
  <si>
    <t>POR SOL 1X450GM</t>
  </si>
  <si>
    <t>840010</t>
  </si>
  <si>
    <t>Nutrilon 1 A.R. plv.1x400g</t>
  </si>
  <si>
    <t>116336</t>
  </si>
  <si>
    <t>16336</t>
  </si>
  <si>
    <t>LIPOPLUS 20%</t>
  </si>
  <si>
    <t>INFEML10X100ML-SKLO</t>
  </si>
  <si>
    <t>116337</t>
  </si>
  <si>
    <t>16337</t>
  </si>
  <si>
    <t>INFEML10X250ML-SKLO</t>
  </si>
  <si>
    <t>161451</t>
  </si>
  <si>
    <t>NUTRILON 1 800g</t>
  </si>
  <si>
    <t>500708</t>
  </si>
  <si>
    <t>Nutrilon 0 Nenatal 24 x 70ml</t>
  </si>
  <si>
    <t>845564</t>
  </si>
  <si>
    <t>Nutrilon 1  24x90ml RTF</t>
  </si>
  <si>
    <t>24 x 90 ml</t>
  </si>
  <si>
    <t>850713</t>
  </si>
  <si>
    <t>Nutrilon 0 Nenatal (Premature) 400g</t>
  </si>
  <si>
    <t>987826</t>
  </si>
  <si>
    <t>NESTLÉ PreBEBA FM85 200g</t>
  </si>
  <si>
    <t>845045</t>
  </si>
  <si>
    <t>107472</t>
  </si>
  <si>
    <t>INF SOL 20X100ML 10%</t>
  </si>
  <si>
    <t>988073</t>
  </si>
  <si>
    <t>NESTLÉ Beba H.A.1 800g NEW</t>
  </si>
  <si>
    <t>989641</t>
  </si>
  <si>
    <t>Nutrilon 1 hypoalergenní 24x90ml</t>
  </si>
  <si>
    <t>990209</t>
  </si>
  <si>
    <t>NESTLE Beba H.A.1 Premium tekutá 32x90ml</t>
  </si>
  <si>
    <t>133220</t>
  </si>
  <si>
    <t>33220</t>
  </si>
  <si>
    <t>PROTIFAR</t>
  </si>
  <si>
    <t>POR PLV SOL 1X225GM</t>
  </si>
  <si>
    <t>33811</t>
  </si>
  <si>
    <t>NEOCATE INFANT</t>
  </si>
  <si>
    <t>POR PLV SOL 1X400GM</t>
  </si>
  <si>
    <t>153922</t>
  </si>
  <si>
    <t>53922</t>
  </si>
  <si>
    <t>CIPHIN PRO INFUSION.200MG/100ML</t>
  </si>
  <si>
    <t>INF 1X100ML/200MG</t>
  </si>
  <si>
    <t>989957</t>
  </si>
  <si>
    <t>185481</t>
  </si>
  <si>
    <t>EDICIN 0,5 G</t>
  </si>
  <si>
    <t>INF PLV SOL 10X500MG</t>
  </si>
  <si>
    <t>101076</t>
  </si>
  <si>
    <t>1076</t>
  </si>
  <si>
    <t>OPHTHALMO-FRAMYKOIN</t>
  </si>
  <si>
    <t>183487</t>
  </si>
  <si>
    <t>83487</t>
  </si>
  <si>
    <t>MERONEM 500MG I.V.</t>
  </si>
  <si>
    <t>INJ SIC 10X500MG</t>
  </si>
  <si>
    <t>111706</t>
  </si>
  <si>
    <t>11706</t>
  </si>
  <si>
    <t>BISEPTOL 480</t>
  </si>
  <si>
    <t>155759</t>
  </si>
  <si>
    <t>55759</t>
  </si>
  <si>
    <t>PAMYCON NA PRIPRAVU KAPEK</t>
  </si>
  <si>
    <t>PLV 1X1LAHV</t>
  </si>
  <si>
    <t>193207</t>
  </si>
  <si>
    <t>93207</t>
  </si>
  <si>
    <t>UNG OPH 3.5GM 0.3%</t>
  </si>
  <si>
    <t>147976</t>
  </si>
  <si>
    <t>MEROPENEM HOSPIRA 500 MG</t>
  </si>
  <si>
    <t>INJ+INF PLV SOL 10X500MG</t>
  </si>
  <si>
    <t>131654</t>
  </si>
  <si>
    <t>CEFTAZIDIM KABI 1 GM</t>
  </si>
  <si>
    <t>INJ PLV SOL 10X1GM</t>
  </si>
  <si>
    <t>113453</t>
  </si>
  <si>
    <t>PIPERACILLIN/TAZOBACTAM KABI 4 G/0,5 G</t>
  </si>
  <si>
    <t>INF PLV SOL 10X4.5GM</t>
  </si>
  <si>
    <t>165989</t>
  </si>
  <si>
    <t>65989</t>
  </si>
  <si>
    <t>MYCOMAX « INF. INFUZ</t>
  </si>
  <si>
    <t>116896</t>
  </si>
  <si>
    <t>16896</t>
  </si>
  <si>
    <t>IMAZOL PLUS</t>
  </si>
  <si>
    <t>DRM CRM 1X30GM</t>
  </si>
  <si>
    <t>164401</t>
  </si>
  <si>
    <t>FLUCONAZOL KABI 2 MG/ML</t>
  </si>
  <si>
    <t>INF SOL 10X100ML/200MG</t>
  </si>
  <si>
    <t>42144</t>
  </si>
  <si>
    <t>Human Albumin 20% 10 ml GRIFOLS</t>
  </si>
  <si>
    <t>NOVO, lůžkové oddělení 16C</t>
  </si>
  <si>
    <t>NOVO, lůžkové oddělení 16B + 16D</t>
  </si>
  <si>
    <t>NOVO, JIP 16A</t>
  </si>
  <si>
    <t>Lékárna - léčiva</t>
  </si>
  <si>
    <t>Lékárna - antibiotika</t>
  </si>
  <si>
    <t>Lékárna - antimykotika</t>
  </si>
  <si>
    <t>393 TO krevní deriváty IVLP (112 01 003)</t>
  </si>
  <si>
    <t>Lékárna - enterární výživa</t>
  </si>
  <si>
    <t>0931 - NOVO, JIP 16A</t>
  </si>
  <si>
    <t>0912 - NOVO, lůžkové oddělení 16B + 16D</t>
  </si>
  <si>
    <t>0911 - NOVO, lůžkové oddělení 16C</t>
  </si>
  <si>
    <t>V06XX - Potraviny pro zvláštní lékařské účely (PZLÚ)</t>
  </si>
  <si>
    <t>A02BC01 - Omeprazol</t>
  </si>
  <si>
    <t>J02AC01 - Flukonazol</t>
  </si>
  <si>
    <t>J01MA02 - Ciprofloxacin</t>
  </si>
  <si>
    <t>N05CD08 - Midazolam</t>
  </si>
  <si>
    <t>J01XA01 - Vankomycin</t>
  </si>
  <si>
    <t>N01AH03 - Sufentanyl</t>
  </si>
  <si>
    <t>J01CR05 - Piperacilin a enzymový inhibitor</t>
  </si>
  <si>
    <t>J01DD02 - Ceftazidim</t>
  </si>
  <si>
    <t>J01CR02 - Amoxicilin a enzymový inhibitor</t>
  </si>
  <si>
    <t>J01DH02 - Meropenem</t>
  </si>
  <si>
    <t>J01XA02 - Teikoplanin</t>
  </si>
  <si>
    <t>N02AX02 - Tramadol</t>
  </si>
  <si>
    <t>M03AC11 - Cisatrakurium</t>
  </si>
  <si>
    <t>R03AC02 - Salbutamol</t>
  </si>
  <si>
    <t>J01DD01 - Cefotaxim</t>
  </si>
  <si>
    <t>J01CA01 - Ampicilin</t>
  </si>
  <si>
    <t>J01DH51 - Imipenem a enzymový inhibitor</t>
  </si>
  <si>
    <t>R03BA05 - Flutikason</t>
  </si>
  <si>
    <t>J01FA09 - Klarithromycin</t>
  </si>
  <si>
    <t>A02BA02 - Ranitidin</t>
  </si>
  <si>
    <t>J01GB03 - Gentamicin</t>
  </si>
  <si>
    <t>J01CA01</t>
  </si>
  <si>
    <t>AMPICILIN 0,5 BIOTIKA</t>
  </si>
  <si>
    <t>INJ PLV SOL 10X500MG</t>
  </si>
  <si>
    <t>J01GB03</t>
  </si>
  <si>
    <t>GENTAMICIN LEK 40 MG/2 ML</t>
  </si>
  <si>
    <t>INJ+INF SOL 10X2ML/40MG</t>
  </si>
  <si>
    <t>J01CR02</t>
  </si>
  <si>
    <t>INJ PLV SOL 5</t>
  </si>
  <si>
    <t>J01DD01</t>
  </si>
  <si>
    <t>J01DH51</t>
  </si>
  <si>
    <t>INF PLV SOL 1X10</t>
  </si>
  <si>
    <t>J01FA09</t>
  </si>
  <si>
    <t>J01XA01</t>
  </si>
  <si>
    <t>R03BA05</t>
  </si>
  <si>
    <t>INH SUS PSS 120X50RG</t>
  </si>
  <si>
    <t>A02BA02</t>
  </si>
  <si>
    <t>RANITAL 50 MG/2 ML</t>
  </si>
  <si>
    <t>INJ SOL 5X2ML/50MG</t>
  </si>
  <si>
    <t>A02BC01</t>
  </si>
  <si>
    <t>HELICID 40 INF</t>
  </si>
  <si>
    <t>INF PLV SOL 1X40MG</t>
  </si>
  <si>
    <t>J01CR05</t>
  </si>
  <si>
    <t>J01DD02</t>
  </si>
  <si>
    <t>CEFTAZIDIM KABI 1 G</t>
  </si>
  <si>
    <t>INF PLV SOL 10X1GM</t>
  </si>
  <si>
    <t>J01DH02</t>
  </si>
  <si>
    <t>J01MA02</t>
  </si>
  <si>
    <t>CIPHIN PRO INFUSIONE 200 MG/100 ML</t>
  </si>
  <si>
    <t>INF SOL 1X100ML/200MG</t>
  </si>
  <si>
    <t>J01XA02</t>
  </si>
  <si>
    <t>TARGOCID 200 MG</t>
  </si>
  <si>
    <t>INJ+POR PSO LQF 1X200MG</t>
  </si>
  <si>
    <t>J02AC01</t>
  </si>
  <si>
    <t>MYCOMAX INF</t>
  </si>
  <si>
    <t>INF SOL 1X100ML</t>
  </si>
  <si>
    <t>M03AC11</t>
  </si>
  <si>
    <t>N01AH03</t>
  </si>
  <si>
    <t>SUFENTANIL TORREX 5 MCG/ML</t>
  </si>
  <si>
    <t>N02AX02</t>
  </si>
  <si>
    <t>N05CD08</t>
  </si>
  <si>
    <t>MIDAZOLAM TORREX 5 MG/ML</t>
  </si>
  <si>
    <t>R03AC02</t>
  </si>
  <si>
    <t>INH SUS PSS 200X100RG</t>
  </si>
  <si>
    <t>V06XX</t>
  </si>
  <si>
    <t>NUTRITON</t>
  </si>
  <si>
    <t>POR SOL 1X135GM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</si>
  <si>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</si>
  <si>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</si>
  <si>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</si>
  <si>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</si>
  <si>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</si>
  <si>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ZA318</t>
  </si>
  <si>
    <t>Náplast transpore 1,25 cm x 9,14 m 1527-0</t>
  </si>
  <si>
    <t>ZA429</t>
  </si>
  <si>
    <t>Obinadlo elastické idealtex   8 cm x 5 m 931061</t>
  </si>
  <si>
    <t>ZA444</t>
  </si>
  <si>
    <t>Tampon nesterilní stáčený 20 x 19 cm bez RTG nití bal. á 100 ks 1320300404</t>
  </si>
  <si>
    <t>ZA446</t>
  </si>
  <si>
    <t>Vata buničitá přířezy 20 x 30 cm 1230200129</t>
  </si>
  <si>
    <t>ZA466</t>
  </si>
  <si>
    <t>Tyčinka vatová sterilní 14 cm bal. á 200 ks 9679501</t>
  </si>
  <si>
    <t>ZA467</t>
  </si>
  <si>
    <t>Tyčinka vatová nesterilní 15 cm bal. á 100 ks 9679369</t>
  </si>
  <si>
    <t>ZA570</t>
  </si>
  <si>
    <t>Náplast tegaderm 4,4 cm x 4,4 cm bal. á 100 ks 1622W</t>
  </si>
  <si>
    <t>ZF225</t>
  </si>
  <si>
    <t>Náplast hypoalergenní á 250 ks 5353811</t>
  </si>
  <si>
    <t>ZK522</t>
  </si>
  <si>
    <t>Tampon sterilní z buničité vaty / 20 ks karton á 2400 ks 1230213120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</si>
  <si>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</si>
  <si>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</si>
  <si>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</si>
  <si>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</si>
  <si>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</si>
  <si>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</si>
  <si>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ZA737</t>
  </si>
  <si>
    <t>Filtr mini spike modrý 4550234</t>
  </si>
  <si>
    <t>ZA743</t>
  </si>
  <si>
    <t>Zkumavka odběrová 0,5 ml tapval fialová 11170</t>
  </si>
  <si>
    <t>ZA744</t>
  </si>
  <si>
    <t>Kanyla neoflon 24G žlutá BDC391350</t>
  </si>
  <si>
    <t>ZA775</t>
  </si>
  <si>
    <t>Sáček močový 80x220 mm 744988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</si>
  <si>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</si>
  <si>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</si>
  <si>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</si>
  <si>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</si>
  <si>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</si>
  <si>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</si>
  <si>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</si>
  <si>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</si>
  <si>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ZA888</t>
  </si>
  <si>
    <t>Zkumavka odběrová s gelem tapval bílá 19860</t>
  </si>
  <si>
    <t>ZB117</t>
  </si>
  <si>
    <t>Lanceta haemolance modrá bal. á 100 ks DIS7575</t>
  </si>
  <si>
    <t>ZB299</t>
  </si>
  <si>
    <t>Konektor bezjehlový s prodl.hadičkou, bal.á 50 ks, 4097154</t>
  </si>
  <si>
    <t>ZB338</t>
  </si>
  <si>
    <t>Hadička spojovací tlaková unicath pr. 1,0 mm x 200 cm PB 3120 M</t>
  </si>
  <si>
    <t>ZB439</t>
  </si>
  <si>
    <t>Odstraňovač náplastí Convacare á 100 ks 0011279 37443</t>
  </si>
  <si>
    <t>ZB452</t>
  </si>
  <si>
    <t>Víko kompletní kompaktní podtl. odsáv. P00341</t>
  </si>
  <si>
    <t>ZC722</t>
  </si>
  <si>
    <t>Páska fixační bal. á 12 ks LNOP 1053</t>
  </si>
  <si>
    <t>ZC768</t>
  </si>
  <si>
    <t>Zkumavka 10 ml sterilní bal. á 1250 ks 1009/TE/SG</t>
  </si>
  <si>
    <t>ZD350</t>
  </si>
  <si>
    <t>Lanceta haemolance zelená 21 G á 100 ks DIS7372</t>
  </si>
  <si>
    <t>ZD662</t>
  </si>
  <si>
    <t>Cévka odsávací CH8 s přerušovačem sání  bal. á 60 ks ZAR-CO-A08-60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</si>
  <si>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</si>
  <si>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</si>
  <si>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</si>
  <si>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</si>
  <si>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</si>
  <si>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</si>
  <si>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</si>
  <si>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</si>
  <si>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ZI681</t>
  </si>
  <si>
    <t>Kapilára s heparinovou úpravou UH á 100 ks 140ul 102090</t>
  </si>
  <si>
    <t>ZL688</t>
  </si>
  <si>
    <t>Proužky Accu-Check Inform IIStrip 50 EU1 á 50 ks 05942861</t>
  </si>
  <si>
    <t>ZL689</t>
  </si>
  <si>
    <t>Roztok Accu-Check Performa Int´l Controls 1+2 level 04861736</t>
  </si>
  <si>
    <t>ZC793</t>
  </si>
  <si>
    <t>Čidlo saturační neonatální LNOP Neo-L děti 1 - 10 kg adhesivní sens. bal. á 20 ks 1798</t>
  </si>
  <si>
    <t>ZD030</t>
  </si>
  <si>
    <t>Skalpel jednorázový cutfix sterilní bal. á 10 ks 5518040</t>
  </si>
  <si>
    <t>ZI035</t>
  </si>
  <si>
    <t>Savička náhradní kulatá k šidítkům Flora kytička 100N</t>
  </si>
  <si>
    <t>ZD892</t>
  </si>
  <si>
    <t>Filtr akustický echo screen bal. á 5 ks 1770</t>
  </si>
  <si>
    <t>ZH286</t>
  </si>
  <si>
    <t>Teploměr digitální s ohebným hrotem Flexo 91925</t>
  </si>
  <si>
    <t>ZC837</t>
  </si>
  <si>
    <t>Fonendoskop neonatální dvoustranný modrý P00202</t>
  </si>
  <si>
    <t>ZA400</t>
  </si>
  <si>
    <t>Sáček jímací dětský sterilní bal. á 10 ks 4425030</t>
  </si>
  <si>
    <t>ZM517</t>
  </si>
  <si>
    <t>Ventil včetně 6 bílých membrán K800.0727</t>
  </si>
  <si>
    <t>ZB843</t>
  </si>
  <si>
    <t>Zavaděč trach. rourek bal. á 10 ks 100/120/100</t>
  </si>
  <si>
    <t>ZM625</t>
  </si>
  <si>
    <t>Lopatka lékařská sterilizovaná dřevěná ústní bal. á 100 ks 922600</t>
  </si>
  <si>
    <t>ZD784</t>
  </si>
  <si>
    <t>Nástavec ušní echoscreen 4 mm modrý bal. á 10 ks 1908</t>
  </si>
  <si>
    <t>ZN020</t>
  </si>
  <si>
    <t>Konektor k prsním nástavcům PersonalFit Medela K800.0710</t>
  </si>
  <si>
    <t>ZB428</t>
  </si>
  <si>
    <t>Kanyla ET 2,5 bez manžety bal. á 10 ks 9325E</t>
  </si>
  <si>
    <t>ZC864</t>
  </si>
  <si>
    <t>Hadička spojovací HS 1,8 x 1800UNIV 606307</t>
  </si>
  <si>
    <t>ZN021</t>
  </si>
  <si>
    <t>Nástavec prsní personal fit M K800.0668</t>
  </si>
  <si>
    <t>ZF672</t>
  </si>
  <si>
    <t>Set resuscitační neonatální 1,2 m s variabilním PEEP 6431</t>
  </si>
  <si>
    <t>ZN206</t>
  </si>
  <si>
    <t>Lopatka lékařská sterilní dřevěná ústní 150 x 17 mm bal. á 500 ks 4002/SG/CS/L</t>
  </si>
  <si>
    <t>ZA360</t>
  </si>
  <si>
    <t>Jehla sterican 0,5 x 25 mm oranžová 9186158</t>
  </si>
  <si>
    <t>ZA832</t>
  </si>
  <si>
    <t>Jehla injekční 0,9 x 40 mm žlutá 4657519</t>
  </si>
  <si>
    <t>ZB556</t>
  </si>
  <si>
    <t>Jehla injekční 1,2 x 40 mm růžová 4665120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</si>
  <si>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</si>
  <si>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</si>
  <si>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</si>
  <si>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</si>
  <si>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</si>
  <si>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</si>
  <si>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ZN041</t>
  </si>
  <si>
    <t>Rukavice operační  gamex ansell PF bez pudru 6,5 A351143</t>
  </si>
  <si>
    <t>ZN126</t>
  </si>
  <si>
    <t>Rukavice operační  gamex ansell PF bez pudru 7,0 A351144</t>
  </si>
  <si>
    <t>ZA516</t>
  </si>
  <si>
    <t>Kompresa NT 7,5 x 7,5 cm / 10 sterilní karton á 900 ks 1230119526</t>
  </si>
  <si>
    <t>ZA593</t>
  </si>
  <si>
    <t>Tampon stáčený sterilní 20 x 20 cm / 5 ks 28003</t>
  </si>
  <si>
    <t>ZC845</t>
  </si>
  <si>
    <t>Kompresa NT 10 x 20 cm / 5 ks sterilní 26621</t>
  </si>
  <si>
    <t>ZF351</t>
  </si>
  <si>
    <t>Náplast transpore bílá 1,25 cm x 9,14 m bal. á 24 ks 1534-0</t>
  </si>
  <si>
    <t>ZA674</t>
  </si>
  <si>
    <t>Cévka CN-01 646959</t>
  </si>
  <si>
    <t>ZA729</t>
  </si>
  <si>
    <t>Tyčinka vatová sterilní velká 1 bal/200 ks 9679520</t>
  </si>
  <si>
    <t>ZA746</t>
  </si>
  <si>
    <t>Stříkačka injekční 3-dílná 1 ml L Omnifix Solo tuberculin 9161406V</t>
  </si>
  <si>
    <t>ZB199</t>
  </si>
  <si>
    <t>Kanyla neoflon 26G fialová BDC391349</t>
  </si>
  <si>
    <t>ZB360</t>
  </si>
  <si>
    <t>Rourka rektální CH12 délka 12 cm sterilní bal. á 20 ks 646699</t>
  </si>
  <si>
    <t>ZB384</t>
  </si>
  <si>
    <t>Stříkačka injekční 3-dílná 20 ml LL Omnifix Solo závit bal. á 100 ks 4617207V</t>
  </si>
  <si>
    <t>ZI682</t>
  </si>
  <si>
    <t>Zátka ke kapiláře á 500 ks 110235</t>
  </si>
  <si>
    <t>ZK798</t>
  </si>
  <si>
    <t>Zátka combi modrá 4495152</t>
  </si>
  <si>
    <t>ZI026</t>
  </si>
  <si>
    <t>Šidítko dětské Flora 03 kytička bal. á 30 ks 1001</t>
  </si>
  <si>
    <t>ZB985</t>
  </si>
  <si>
    <t>Urin-Monovette s pístem 10 ml sterilní bal. á 100 ks 10.252.020</t>
  </si>
  <si>
    <t>ZJ485</t>
  </si>
  <si>
    <t>Rozvěrač oční dětský barraquer E4107P</t>
  </si>
  <si>
    <t>ZM352</t>
  </si>
  <si>
    <t>Láhev kojenecká jednorázová 130 ml + dudlík s otvorem multipack bal. á 16 ks NCB2130V</t>
  </si>
  <si>
    <t>ZM337</t>
  </si>
  <si>
    <t>Láhev kojenecká jednorázová 240 ml + krytka multipack bal. á 16 ks NCB1240V</t>
  </si>
  <si>
    <t>ZM338</t>
  </si>
  <si>
    <t>Láhev kojenecká jednorázová 130 ml + krytka multipack bal. á 25 ks NCB1130V</t>
  </si>
  <si>
    <t>ZM362</t>
  </si>
  <si>
    <t>Láhev kojenecká jednorázová 60 ml + dudlík s otvorem multipack bal. á 30 ks NCB2060V</t>
  </si>
  <si>
    <t>ZM407</t>
  </si>
  <si>
    <t>Láhev kojenecká jednorázová 60 ml + krytka multipack bal. á 35 ks NCB1060V</t>
  </si>
  <si>
    <t>ZE079</t>
  </si>
  <si>
    <t>Set transfúzní non PVC s odvzdušněním a bakteriálním filtrem ZAR-I-TS</t>
  </si>
  <si>
    <t>ZF925</t>
  </si>
  <si>
    <t>Jehla injekční 0,9 x 25 mm žlutá á 100 ks 4657500</t>
  </si>
  <si>
    <t>ZN125</t>
  </si>
  <si>
    <t>Rukavice operační  gamex ansell PF bez pudru 7,5 A351145</t>
  </si>
  <si>
    <t>ZN183</t>
  </si>
  <si>
    <t>Držák injekčních stříkaček do inkubátoru 5905</t>
  </si>
  <si>
    <t>ZA542</t>
  </si>
  <si>
    <t>Náplast wet pruf voduvzd. 1,25 cm x 9,14 m bal. á 24 ks K00-3063C</t>
  </si>
  <si>
    <t>ZA627</t>
  </si>
  <si>
    <t>Krytí granuflex extra thin 5 x 10 cm á 10 ks 0021661 187959</t>
  </si>
  <si>
    <t>ZB084</t>
  </si>
  <si>
    <t>Náplast transpore 2,50 cm x 9,14 m 1527-1</t>
  </si>
  <si>
    <t>ZC550</t>
  </si>
  <si>
    <t>Krytí mepilex silikonový Ag 10 x 10 cm bal. á 5 ks 287110-00</t>
  </si>
  <si>
    <t>ZE108</t>
  </si>
  <si>
    <t>Krytí mepilex lite 10 x 10 cm bal. á 10 ks 284100-01</t>
  </si>
  <si>
    <t>ZF108</t>
  </si>
  <si>
    <t>Krytí mepilex lite 6 x  8,5 cm bal. á 5 ks 284000-01</t>
  </si>
  <si>
    <t>ZG613</t>
  </si>
  <si>
    <t>Krytí mepitel one 8 x 10 cm  bal. á 5 ks 289200-00</t>
  </si>
  <si>
    <t>ZI558</t>
  </si>
  <si>
    <t>Náplast curapor   7 x   5 cm 22120 ( náhrada za cosmopor )</t>
  </si>
  <si>
    <t>ZA326</t>
  </si>
  <si>
    <t>Krytí hypro-sorb R 20 x 25 mm bal. á 6 ks 003</t>
  </si>
  <si>
    <t>ZA602</t>
  </si>
  <si>
    <t>Kompresa gáza 5 x 5 cm / 2 ks sterilní karton á 1000 ks 26001</t>
  </si>
  <si>
    <t>ZA525</t>
  </si>
  <si>
    <t>Normlgel   5 g 370500</t>
  </si>
  <si>
    <t>ZN100</t>
  </si>
  <si>
    <t>Náplast reflexní k měření teploty v inkubátoru GIRAFFE á 50 ks 0203-1980-300</t>
  </si>
  <si>
    <t>ZN101</t>
  </si>
  <si>
    <t>Náplast Neo Smile k měření teploty v inkubátoru GIRAFFE bal. á 150 ks N731</t>
  </si>
  <si>
    <t>ZA210</t>
  </si>
  <si>
    <t>Cévka vyživovací CV-01 GAM646957</t>
  </si>
  <si>
    <t>ZA687</t>
  </si>
  <si>
    <t>Sáček močový curity s hod.diurézou 200 ml hadička 150 cm 6502</t>
  </si>
  <si>
    <t>ZA705</t>
  </si>
  <si>
    <t>Hadička spojovací HS 1,8 x 450UNIV</t>
  </si>
  <si>
    <t>ZA728</t>
  </si>
  <si>
    <t>Lopatka lékařská nesterilní dřevěná ústní bal. á 100 ks 1320100655</t>
  </si>
  <si>
    <t>ZA749</t>
  </si>
  <si>
    <t>Stříkačka injekční 3-dílná 50 ml LL Omnifix Solo 4617509F</t>
  </si>
  <si>
    <t>ZA754</t>
  </si>
  <si>
    <t>Stříkačka injekční 3-dílná 10 ml LL Omnifix Solo 4617100V</t>
  </si>
  <si>
    <t>ZB102</t>
  </si>
  <si>
    <t>Láhev k odsávačce flovac 1l hadice 1,8 m á 45 ks 000-036-020</t>
  </si>
  <si>
    <t>ZB103</t>
  </si>
  <si>
    <t>Láhev k odsávačce flovac 2l hadice 1,8 m 000-036-021</t>
  </si>
  <si>
    <t>ZB301</t>
  </si>
  <si>
    <t>Rampa 5 kohoutů bal. á 20 ks RP 5000 M</t>
  </si>
  <si>
    <t>ZB336</t>
  </si>
  <si>
    <t>Zkumavka odběrová 1 ml tapval modrá bal. á 50 ks 13060</t>
  </si>
  <si>
    <t>ZB543</t>
  </si>
  <si>
    <t>Souprava odběrová tracheální G05206</t>
  </si>
  <si>
    <t>ZB668</t>
  </si>
  <si>
    <t>Hadička tlaková spojovací unicath pr. 1,0 mm x   50 cm PB 3105 M</t>
  </si>
  <si>
    <t>ZB755</t>
  </si>
  <si>
    <t>Zkumavka 1,0 ml K3 edta fialová 454034</t>
  </si>
  <si>
    <t>ZB949</t>
  </si>
  <si>
    <t>Pinzeta UH sterilní HAR999565</t>
  </si>
  <si>
    <t>ZD492</t>
  </si>
  <si>
    <t>Svěrka držáku flovac-plast 100 11-5122 (230-500)</t>
  </si>
  <si>
    <t>ZE308</t>
  </si>
  <si>
    <t>Stříkačka injekční 3-dílná 5 ml LL Omnifix Solo 4617053V</t>
  </si>
  <si>
    <t>ZI182</t>
  </si>
  <si>
    <t>Zkumavka + aplikátor s chem.stabilizátorem UriSwab žlutá 802CE.A</t>
  </si>
  <si>
    <t>ZJ659</t>
  </si>
  <si>
    <t>Kohout trojcestný s bezjehlovým konektorem Discofix C bal. á 100 ks 16494CSF</t>
  </si>
  <si>
    <t>ZK799</t>
  </si>
  <si>
    <t>Zátka combi červená 4495101</t>
  </si>
  <si>
    <t>ZK884</t>
  </si>
  <si>
    <t>Kohout trojcestný discofix modrý 4095111</t>
  </si>
  <si>
    <t>ZA718</t>
  </si>
  <si>
    <t>Patrona nízkoprůtoková vapotherm á 2 ks VT01-B</t>
  </si>
  <si>
    <t>ZD992</t>
  </si>
  <si>
    <t>Čidlo saturační jednorázové pro novorozence masimo k monitoru Mindray bal. á 20 ks 2329LHL</t>
  </si>
  <si>
    <t>ZK424</t>
  </si>
  <si>
    <t>Teploměr digitální s ohebným hrotem flexi P02605</t>
  </si>
  <si>
    <t>ZK083</t>
  </si>
  <si>
    <t>Elektroda EKG bal. á 12 ks 100 BRS-50-K/12</t>
  </si>
  <si>
    <t>ZL952</t>
  </si>
  <si>
    <t>Stříkačka injekční 3-dílná 50 ml LL light protected bal.á 60 ks 2022920A</t>
  </si>
  <si>
    <t>ZL951</t>
  </si>
  <si>
    <t>Hadička prodlužovací PVC 150 cm pro světlocitlivé léky NO DOP bal. á 20  ks V686423</t>
  </si>
  <si>
    <t>ZI120</t>
  </si>
  <si>
    <t>Manžeta TK novorozenecká č. 4 M1872B + konektory</t>
  </si>
  <si>
    <t>ZB701</t>
  </si>
  <si>
    <t>Šidítko pro nezralé novorozence do 30.týdne čiré Wee Thumbie P03373</t>
  </si>
  <si>
    <t>ZD293</t>
  </si>
  <si>
    <t>Spojka heimlich na napoj. pediatr. drénů 800,01</t>
  </si>
  <si>
    <t>ZE784</t>
  </si>
  <si>
    <t>Konektor bezjehlový smartsite modrý 2000E7D</t>
  </si>
  <si>
    <t>ZB095</t>
  </si>
  <si>
    <t>Systém odsávací uzavřený TC CH6 neo / pedi 30,5 cm 196-5</t>
  </si>
  <si>
    <t>ZG229</t>
  </si>
  <si>
    <t>Stojan na zkumavky s alfanumerickým popisem 17, 50 pozic bílá BSP 217</t>
  </si>
  <si>
    <t>ZB898</t>
  </si>
  <si>
    <t>Klobouček kojící kontaktní vel. S 16 mm K200.1628</t>
  </si>
  <si>
    <t>ZE623</t>
  </si>
  <si>
    <t>Cévka odsávací CH6 s přerušovačem sání bal. á 80 ks GCR1021-6</t>
  </si>
  <si>
    <t>ZE783</t>
  </si>
  <si>
    <t>Trn na vak jednosměrný bal. á 100 ks 2309E</t>
  </si>
  <si>
    <t>ZI119</t>
  </si>
  <si>
    <t>Manžeta TK novorozenecká č. 2 M1868B  (dřív.kč.M1868A se již nevyrábí)</t>
  </si>
  <si>
    <t>ZB088</t>
  </si>
  <si>
    <t>Kanyla ET 3,0 bez manžety 9336E</t>
  </si>
  <si>
    <t>ZL887</t>
  </si>
  <si>
    <t>Kanyla nasální CPAP extra malá bal. á 10 ks 8888162024</t>
  </si>
  <si>
    <t>ZC134</t>
  </si>
  <si>
    <t>Manžeta TK novorozenecká č. 3 M1870B + konektor (M1870A se již nevyrábí)</t>
  </si>
  <si>
    <t>ZL537</t>
  </si>
  <si>
    <t>Čidlo teplotní jednorázové bal. á 10 ks 2074816-001</t>
  </si>
  <si>
    <t>ZD271</t>
  </si>
  <si>
    <t>Držák láhve flovac-plast 100 11-5121 (300 970-010-210)</t>
  </si>
  <si>
    <t>ZM753</t>
  </si>
  <si>
    <t>Sada Infant Flow LP nCPAP aolikátor. okruh, komora zvlhčovače s automatickým plněním bal. á 10 ks 7772011AK</t>
  </si>
  <si>
    <t>ZM756</t>
  </si>
  <si>
    <t>Čelenka fixační Infant Flow nCPAP S/M 24 - 28 cm bal. á 10 ks 777040SM</t>
  </si>
  <si>
    <t>ZM757</t>
  </si>
  <si>
    <t>Čelenka fixační Infant Flow nCPAP M 26 - 32 cm bal. á 10 ks 777040M</t>
  </si>
  <si>
    <t>ZM758</t>
  </si>
  <si>
    <t>Čelenka fixační Infant Flow nCPAP L 32 - 37 cm bal. á 10 ks 777040L</t>
  </si>
  <si>
    <t>ZA980</t>
  </si>
  <si>
    <t>Elektroda EEG subdermalní needle PRO-E3 bal. á 30 ks 62056</t>
  </si>
  <si>
    <t>ZM945</t>
  </si>
  <si>
    <t>Senzor fore-sight neadhezivní malý 01-07-2000</t>
  </si>
  <si>
    <t>ZM759</t>
  </si>
  <si>
    <t>Čelenka fixační Infant Flow nCPAP XL 37 - 42 cm bal. á 10 ks 777040XL</t>
  </si>
  <si>
    <t>ZD283</t>
  </si>
  <si>
    <t>Aplikátor nasální neonatal bal. á 25 ks MN1100B</t>
  </si>
  <si>
    <t>ZG230</t>
  </si>
  <si>
    <t>Stojan na zkumavky s alfanumerickým popisem 13, 50 pozic bílá BSP 213</t>
  </si>
  <si>
    <t>ZB708</t>
  </si>
  <si>
    <t>Katetr močový foley silikon CH6 23.000.14.206</t>
  </si>
  <si>
    <t>ZN051</t>
  </si>
  <si>
    <t>Konektor k novorozenecké manžetě M1870A BP05-P</t>
  </si>
  <si>
    <t>ZN156</t>
  </si>
  <si>
    <t>Kanyla ET 2,0 mm bez manžety bal. á 10 ks 100/111/020</t>
  </si>
  <si>
    <t>ZD147</t>
  </si>
  <si>
    <t>Trokar hrudní 8F 8 cm á 15 ks 625,08</t>
  </si>
  <si>
    <t>ZB332</t>
  </si>
  <si>
    <t>Láhev ke kompakt.odsávač. 0,5 l P00340</t>
  </si>
  <si>
    <t>ZC222</t>
  </si>
  <si>
    <t>Kanyla TS 3,0 s manžetou 67P030</t>
  </si>
  <si>
    <t>ZD284</t>
  </si>
  <si>
    <t>Aplikátor nasální premature bal. á 25 MN1100A</t>
  </si>
  <si>
    <t>ZM618</t>
  </si>
  <si>
    <t>Čidlo saturační neonatální iMEC 8 AL-110204M</t>
  </si>
  <si>
    <t>ZC058</t>
  </si>
  <si>
    <t>Kapilára hep. litný 200 ul+drátek 125/200</t>
  </si>
  <si>
    <t>ZC040</t>
  </si>
  <si>
    <t>Kádinka 25 ml nízká sklo 632411010025</t>
  </si>
  <si>
    <t>ZE276</t>
  </si>
  <si>
    <t>Kádinka 25 ml vysoká sklo 632411012025</t>
  </si>
  <si>
    <t>ZC619</t>
  </si>
  <si>
    <t>Katetr pupeční žilní  F5/38 cm dvoucestný bal. á 5 ks 8888160556</t>
  </si>
  <si>
    <t>ZC649</t>
  </si>
  <si>
    <t>Katetr broviak 1 lumen 4,2Fr x 71 cm 0600520CE</t>
  </si>
  <si>
    <t>ZL818</t>
  </si>
  <si>
    <t>Katetr pupeční dvoucestný 1272.14</t>
  </si>
  <si>
    <t>ZC628</t>
  </si>
  <si>
    <t>Katetr pupeční žilní  F3,5/38 cm jednocestný bal. á 10 ks 8888160333</t>
  </si>
  <si>
    <t>ZA716</t>
  </si>
  <si>
    <t>Set infuzní intrafix air bez PVC 180 cm 4063002</t>
  </si>
  <si>
    <t>ZA878</t>
  </si>
  <si>
    <t>Šití ethilon bl 4-0 bal. á 12 ks W319</t>
  </si>
  <si>
    <t>ZA834</t>
  </si>
  <si>
    <t>Jehla injekční 0,7 x 40 mm černá 4660021</t>
  </si>
  <si>
    <t>ZA999</t>
  </si>
  <si>
    <t>Jehla injekční 0,5 x 16 mm oranžová 4657853</t>
  </si>
  <si>
    <t>ZA925</t>
  </si>
  <si>
    <t>Jehla spinální spinocan G22 40 mm černá 4507401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</si>
  <si>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</si>
  <si>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</si>
  <si>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</si>
  <si>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</si>
  <si>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</si>
  <si>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</si>
  <si>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</si>
  <si>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</si>
  <si>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</si>
  <si>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</si>
  <si>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ZN108</t>
  </si>
  <si>
    <t>Rukavice operační  gamex ansell PF bez pudru 8,0 A351146</t>
  </si>
  <si>
    <t>ZN040</t>
  </si>
  <si>
    <t>Rukavice operační  gamex ansell PF bez pudru 8,5 A351147</t>
  </si>
  <si>
    <t>DG383</t>
  </si>
  <si>
    <t>Bactec PEDS</t>
  </si>
  <si>
    <t>DG388</t>
  </si>
  <si>
    <t>Játrový bujon (10ml)</t>
  </si>
  <si>
    <t>DG395</t>
  </si>
  <si>
    <t>Diagnostická souprava AB0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</si>
  <si>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</si>
  <si>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</si>
  <si>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</si>
  <si>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</si>
  <si>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</si>
  <si>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</si>
  <si>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</si>
  <si>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</si>
  <si>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DD305</t>
  </si>
  <si>
    <t>KARTICKY TEST.SCREENING 45X70 á 100 ks</t>
  </si>
  <si>
    <t>DG427</t>
  </si>
  <si>
    <t>Printer paper OMNI/OMNI S, 6 Pcs</t>
  </si>
  <si>
    <t>DG424</t>
  </si>
  <si>
    <t>Autotrol plus B, level 2, 40 pcs</t>
  </si>
  <si>
    <t>DG419</t>
  </si>
  <si>
    <t>W Waste container, 2 Pcs</t>
  </si>
  <si>
    <t>DG191</t>
  </si>
  <si>
    <t>UNIV.INDIK.PAPIRKY pH 0-12</t>
  </si>
  <si>
    <t>ZD478</t>
  </si>
  <si>
    <t>Převodník tlakový arteriální 90 cm jednokom. pediatrický 1 linka bal. á 20 ks T432105A</t>
  </si>
  <si>
    <t>ZK806</t>
  </si>
  <si>
    <t>Okruh dýchací ventilační jednorázový k ventilátoru babylog 8000IC 5068810</t>
  </si>
  <si>
    <t>ZD406</t>
  </si>
  <si>
    <t>Okruh dýchací pro novorozence jednorázový 150 cm á 10 ks 305/8173</t>
  </si>
  <si>
    <t>ZM762</t>
  </si>
  <si>
    <t>Maska Infant Flow LP nCPAP M bal. á 10 ks 777002M</t>
  </si>
  <si>
    <t>ZM761</t>
  </si>
  <si>
    <t>Maska Infant Flow LP nCPAP S bal. á 10 ks 777002S</t>
  </si>
  <si>
    <t>ZM953</t>
  </si>
  <si>
    <t>Hadice silikon 5 / 9 mm á 25 m 34.000.00.108</t>
  </si>
  <si>
    <t>ZM996</t>
  </si>
  <si>
    <t>Membrána výdechová autoklávovatelná k ventilátoru Fabian 7007</t>
  </si>
  <si>
    <t>ZI235</t>
  </si>
  <si>
    <t>Komora pro zvlhčovače jednorázová k ventilátoru Fabian bal. á 10 ks 500380</t>
  </si>
  <si>
    <t>ZK464</t>
  </si>
  <si>
    <t>Okruh dýchací jednorázový BTS118W k ventilátoru Fabian bal. á 10 ks 270.471</t>
  </si>
  <si>
    <t>ZM998</t>
  </si>
  <si>
    <t>Adaptér pro průtokový/teplotní senzor FP aitoklávovatelný k ventilátoru Fabian 900MR830</t>
  </si>
  <si>
    <t>ZM993</t>
  </si>
  <si>
    <t>Senzor průtokový novorozenecký autoklávovatelný k ventilátoru Fabian 1031</t>
  </si>
  <si>
    <t>ZK465</t>
  </si>
  <si>
    <t>Hadička propojovací ventilátor/zvlhčovač jednorázová k ventilátoru Fabian bal. á 10 ks 270.520</t>
  </si>
  <si>
    <t>ZM999</t>
  </si>
  <si>
    <t>Adaptér HFO autoklávovatelný k ventilátoru Fabian 7209</t>
  </si>
  <si>
    <t>ZM997</t>
  </si>
  <si>
    <t>Blok výdechový autoklávovatelný k ventilátoru Fabian 7360</t>
  </si>
  <si>
    <t>ZN107</t>
  </si>
  <si>
    <t>Okruh dýchací ventilační F&amp;P vysokofrekvenční ventilaci k ventilátoru Babylog 8000 resterilizovatelný 8411153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</si>
  <si>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</si>
  <si>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</si>
  <si>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</si>
  <si>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</si>
  <si>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</si>
  <si>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</si>
  <si>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</si>
  <si>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</si>
  <si>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50115063</t>
  </si>
  <si>
    <t>528 SZM sety (112 02 105)</t>
  </si>
  <si>
    <t>50115079</t>
  </si>
  <si>
    <t>542 SZM Intenzivní péče (112 02 100)</t>
  </si>
  <si>
    <t>50115040</t>
  </si>
  <si>
    <t>505 SZM laboratorní sklo a materiál (112 02 140)</t>
  </si>
  <si>
    <t>50115070</t>
  </si>
  <si>
    <t>513 SZM katetry (112 02 101)</t>
  </si>
  <si>
    <t>50115064</t>
  </si>
  <si>
    <t>529 SZM šicí materiál (112 02 106)</t>
  </si>
  <si>
    <t>50115020</t>
  </si>
  <si>
    <t>Diagnostika (112 04 004, 132 01 004)</t>
  </si>
  <si>
    <t>Spotřeba zdravotnického materiálu - orientační přehled</t>
  </si>
  <si>
    <t>ON Data</t>
  </si>
  <si>
    <t>3F4</t>
  </si>
  <si>
    <t>1</t>
  </si>
  <si>
    <t>0005114</t>
  </si>
  <si>
    <t>0014583</t>
  </si>
  <si>
    <t>0015273</t>
  </si>
  <si>
    <t>SULPERAZON 2 G IM/IV</t>
  </si>
  <si>
    <t>0053922</t>
  </si>
  <si>
    <t>0065989</t>
  </si>
  <si>
    <t>0068998</t>
  </si>
  <si>
    <t>AMPICILIN 1,0 BIOTIKA</t>
  </si>
  <si>
    <t>0068999</t>
  </si>
  <si>
    <t>0072973</t>
  </si>
  <si>
    <t>0077044</t>
  </si>
  <si>
    <t>ZINACEF 750 MG</t>
  </si>
  <si>
    <t>0092206</t>
  </si>
  <si>
    <t>AUGMENTIN 600 MG</t>
  </si>
  <si>
    <t>0092289</t>
  </si>
  <si>
    <t>0094176</t>
  </si>
  <si>
    <t>0096413</t>
  </si>
  <si>
    <t>0096414</t>
  </si>
  <si>
    <t>GENTAMICIN LEK 80 MG/2 ML</t>
  </si>
  <si>
    <t>0137499</t>
  </si>
  <si>
    <t>0142077</t>
  </si>
  <si>
    <t>0164350</t>
  </si>
  <si>
    <t>TAZOCIN 4 G/0,5 G</t>
  </si>
  <si>
    <t>0107854</t>
  </si>
  <si>
    <t>2</t>
  </si>
  <si>
    <t>0007957</t>
  </si>
  <si>
    <t>Erytrocyty deleukotizované</t>
  </si>
  <si>
    <t>0407942</t>
  </si>
  <si>
    <t>Příplatek za ozáření</t>
  </si>
  <si>
    <t>V</t>
  </si>
  <si>
    <t>00631</t>
  </si>
  <si>
    <t>OD TYPU 31 - PRO NEMOCNICE TYPU 3, (KATEGORIE 6)</t>
  </si>
  <si>
    <t>09227</t>
  </si>
  <si>
    <t>I. V. APLIKACE KRVE NEBO KREVNÍCH DERIVÁTŮ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</si>
  <si>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</si>
  <si>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</si>
  <si>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</si>
  <si>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</si>
  <si>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</si>
  <si>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</si>
  <si>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</si>
  <si>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</si>
  <si>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</si>
  <si>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</si>
  <si>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09544</t>
  </si>
  <si>
    <t>SIGNÁLNÍ VÝKON POBYTU V ZAŘÍZENÍ LŮŽKOVÉ PÉČE / DO</t>
  </si>
  <si>
    <t>31022</t>
  </si>
  <si>
    <t>CÍLENÉ VYŠETŘENÍ DĚTSKÝM LÉKAŘEM</t>
  </si>
  <si>
    <t>31021</t>
  </si>
  <si>
    <t>KOMPLEXNÍ VYŠETŘENÍ DĚTSKÝM LÉKAŘEM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</si>
  <si>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</si>
  <si>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</si>
  <si>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</si>
  <si>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</si>
  <si>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</si>
  <si>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</si>
  <si>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34452</t>
  </si>
  <si>
    <t>(VZP) PORODNÍ VÁHA NOVOROZENCE OD 1000 DO 1499 GRA</t>
  </si>
  <si>
    <t>3T4</t>
  </si>
  <si>
    <t>0001619</t>
  </si>
  <si>
    <t>0003952</t>
  </si>
  <si>
    <t>AMIKIN 500 MG</t>
  </si>
  <si>
    <t>0011592</t>
  </si>
  <si>
    <t>METRONIDAZOL B. BRAUN 5 MG/ML</t>
  </si>
  <si>
    <t>0026039</t>
  </si>
  <si>
    <t>KIOVIG 100 MG/ML</t>
  </si>
  <si>
    <t>0027636</t>
  </si>
  <si>
    <t>SYNAGI</t>
  </si>
  <si>
    <t>SYNAGIS 100 MG</t>
  </si>
  <si>
    <t>0042144</t>
  </si>
  <si>
    <t>HUMAN ALBUMIN GRIFOLS 20%</t>
  </si>
  <si>
    <t>0056801</t>
  </si>
  <si>
    <t>0083050</t>
  </si>
  <si>
    <t>SEFOTAK 1 G</t>
  </si>
  <si>
    <t>0083487</t>
  </si>
  <si>
    <t>MERONEM 500 MG</t>
  </si>
  <si>
    <t>0087226</t>
  </si>
  <si>
    <t>0131654</t>
  </si>
  <si>
    <t>0137484</t>
  </si>
  <si>
    <t>ANBINEX</t>
  </si>
  <si>
    <t>0155939</t>
  </si>
  <si>
    <t>0129056</t>
  </si>
  <si>
    <t>ATENATIV</t>
  </si>
  <si>
    <t>0107960</t>
  </si>
  <si>
    <t>Trombocyty z aferézy deleukotizované</t>
  </si>
  <si>
    <t>0207921</t>
  </si>
  <si>
    <t>Plazma čerstvá zmrazená</t>
  </si>
  <si>
    <t>0107961</t>
  </si>
  <si>
    <t>Trombocyty patogen-inaktivované</t>
  </si>
  <si>
    <t>3</t>
  </si>
  <si>
    <t>0012999</t>
  </si>
  <si>
    <t>STAPLER LINEÁRNÍ S BŘITEM TCT55 TLC55</t>
  </si>
  <si>
    <t>0069598</t>
  </si>
  <si>
    <t>SYSTÉM HYDROCEPHALNÍ DRENÁŽNÍ-SHUNT</t>
  </si>
  <si>
    <t>0095636</t>
  </si>
  <si>
    <t>SYSTÉM HYDROCEPHALNÍ DRENÁŽNÍ - SHUNT HAKIM BACTIS</t>
  </si>
  <si>
    <t>0095661</t>
  </si>
  <si>
    <t>SYSTÉM ZEVNÍ DRENÁŽNÍ LIKVOROVÝ DOČASNÝ CODMAN</t>
  </si>
  <si>
    <t>00671</t>
  </si>
  <si>
    <t>OD TYPU 71 - PRO NEMOCNICE TYPU 3, (KATEGORIE 6) -</t>
  </si>
  <si>
    <t>00675</t>
  </si>
  <si>
    <t>OD TYPU 75 - PRO NEMOCNICE TYPU 3, (KATEGORIE 6) -</t>
  </si>
  <si>
    <t>09547</t>
  </si>
  <si>
    <t>REGULAČNÍ POPLATEK -- POJIŠTĚNEC OD ÚHRADY POPLATK</t>
  </si>
  <si>
    <t>90901</t>
  </si>
  <si>
    <t>(DRG) DOBA TRVÁNÍ UMĚLÉ PLICNÍ VENTILACE DO 24 HOD</t>
  </si>
  <si>
    <t>90902</t>
  </si>
  <si>
    <t xml:space="preserve">(DRG) DOBA TRVÁNÍ UMĚLÉ PLICNÍ VENTILACE VÍCE NEŽ </t>
  </si>
  <si>
    <t>34450</t>
  </si>
  <si>
    <t>(VZP) PORODNÍ VÁHA NOVOROZENCE POD 750 GRAMŮ</t>
  </si>
  <si>
    <t>99991</t>
  </si>
  <si>
    <t>(VZP) KÓD POUZE PRO CENTRA DLE VYHL. 368/2006 - SL</t>
  </si>
  <si>
    <t>90907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</si>
  <si>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</si>
  <si>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</si>
  <si>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</si>
  <si>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</si>
  <si>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</si>
  <si>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</si>
  <si>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78320</t>
  </si>
  <si>
    <t xml:space="preserve">NEODKLADNÁ KARDIOPULMONÁLNÍ RESUSCITACE ROZŠÍŘENÁ </t>
  </si>
  <si>
    <t>90905</t>
  </si>
  <si>
    <t>34451</t>
  </si>
  <si>
    <t>(VZP) PORODNÍ VÁHA NOVOROZENCE OD 750 DO 999 GRAMŮ</t>
  </si>
  <si>
    <t>09213</t>
  </si>
  <si>
    <t>NEODKLADNÁ KARDIOPULMONÁLNÍ RESUSCITACE ZÁKLADNÍ Á</t>
  </si>
  <si>
    <t>90955</t>
  </si>
  <si>
    <t>(DRG) VENTILAČNÍ PODPORA U NOVOROZENCŮ</t>
  </si>
  <si>
    <t>501</t>
  </si>
  <si>
    <t>51386</t>
  </si>
  <si>
    <t>SUTURA EV. EXCIZE A SUTURA LÉZE STĚNY ŽALUDKU NEBO</t>
  </si>
  <si>
    <t>APENDEKTOMIE NEBO OPERAČNÍ DRENÁŽ PERIAPENDIKULÁRN</t>
  </si>
  <si>
    <t>52221</t>
  </si>
  <si>
    <t>ATRESIE TENKÉHO STŘEVA VČETNĚ DUODENA U NOVOROZENC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</si>
  <si>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</si>
  <si>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</si>
  <si>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</si>
  <si>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</si>
  <si>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</si>
  <si>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</si>
  <si>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</si>
  <si>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51387</t>
  </si>
  <si>
    <t>TOTÁLNÍ GASTREKTOMIE, SUBTOTÁLNÍ GASTREKTOMIE</t>
  </si>
  <si>
    <t>51392</t>
  </si>
  <si>
    <t>RELAPAROTOMIE PRO POOPERAČNÍ KRVÁCENÍ, PERITONITID</t>
  </si>
  <si>
    <t>52219</t>
  </si>
  <si>
    <t>OPERACE PRO NEKROTIZUJÍCÍ ENTEROKOLIDU</t>
  </si>
  <si>
    <t>51111</t>
  </si>
  <si>
    <t>OPERACE CYSTY NEBO HEMANGIOMU NEBO LIPOMU NEBO PIL</t>
  </si>
  <si>
    <t>51821</t>
  </si>
  <si>
    <t>CHIRURGICKÉ ODSTRANĚNÍ CIZÍHO TĚLESA</t>
  </si>
  <si>
    <t>51357</t>
  </si>
  <si>
    <t>JEJUNOSTOMIE, ILEOSTOMIE NEBO KOLOSTOMIE, ANTEPOZI</t>
  </si>
  <si>
    <t>52311</t>
  </si>
  <si>
    <t xml:space="preserve">OPERACE TŘÍSELNÉ NEBO FEMORÁLNÍ NEBO PUPEČNÍ KÝLY </t>
  </si>
  <si>
    <t>5F6</t>
  </si>
  <si>
    <t>56163</t>
  </si>
  <si>
    <t>ZEVNÍ KOMOROVÁ DRENÁŽ NEBO ZAVEDENÍ ČIDLA NA MĚŘEN</t>
  </si>
  <si>
    <t>56125</t>
  </si>
  <si>
    <t>OPERAČNÍ REVIZE NEBO ZAVEDENÍ DRENÁŽE MOZKOMÍŠNÍHO</t>
  </si>
  <si>
    <t>606</t>
  </si>
  <si>
    <t>66031</t>
  </si>
  <si>
    <t>PREVENTIVNÍ VYŠETŘENÍ KYČELNÍCH KLOUBŮ U KOJENCE</t>
  </si>
  <si>
    <t>7F6</t>
  </si>
  <si>
    <t>76335</t>
  </si>
  <si>
    <t>OPERAČNÍ REVIZE PERIRENÁLNÍCH NEBO PERIURETERÁLNÍC</t>
  </si>
  <si>
    <t>Zdravotní výkony vykázané na pracovišti pro pacienty hospitalizované ve FNOL - orientační přehled</t>
  </si>
  <si>
    <t>10302</t>
  </si>
  <si>
    <t>A</t>
  </si>
  <si>
    <t xml:space="preserve">DIABETES, NUTRIČNÍ A JINÉ METABOLICKÉ PORUCHY S CC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</si>
  <si>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</si>
  <si>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</si>
  <si>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</si>
  <si>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</si>
  <si>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</si>
  <si>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</si>
  <si>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</si>
  <si>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 xml:space="preserve">NOVOROZENEC, VÁHA PŘI PORODU &lt;=1000G, SE ZÁKLADNÍM VÝKONEM S MCC                                    </t>
  </si>
  <si>
    <t>15632</t>
  </si>
  <si>
    <t xml:space="preserve">NOVOROZENEC, VÁHA PŘI PORODU &lt;=1000G, BEZ ZÁKLADNÍHO VÝKONU S CC                                    </t>
  </si>
  <si>
    <t>15633</t>
  </si>
  <si>
    <t xml:space="preserve">NOVOROZENEC, VÁHA PŘI PORODU &lt;=1000G, BEZ ZÁKLADNÍHO VÝKONU S MCC                                   </t>
  </si>
  <si>
    <t>15642</t>
  </si>
  <si>
    <t xml:space="preserve">NOVOROZENEC, VÁHA PŘI PORODU 1000-1499G, SE ZÁKLADNÍM VÝKONEM S CC                                  </t>
  </si>
  <si>
    <t>15652</t>
  </si>
  <si>
    <t xml:space="preserve">NOVOROZENEC, VÁHA PŘI PORODU 1000-1499G, BEZ ZÁKLADNÍHO VÝKONU S CC                                 </t>
  </si>
  <si>
    <t>15653</t>
  </si>
  <si>
    <t xml:space="preserve">NOVOROZENEC, VÁHA PŘI PORODU 1000-1499G, BEZ ZÁKLADNÍHO VÝKONU S MCC                                </t>
  </si>
  <si>
    <t>15662</t>
  </si>
  <si>
    <t xml:space="preserve">NOVOROZENEC, VÁHA PŘI PORODU 1500-1999G, SE ZÁKLADNÍM VÝKONEM S CC                                  </t>
  </si>
  <si>
    <t>15663</t>
  </si>
  <si>
    <t xml:space="preserve">NOVOROZENEC, VÁHA PŘI PORODU 1500-1999G, SE ZÁKLADNÍM VÝKONEM S MCC                                 </t>
  </si>
  <si>
    <t>15671</t>
  </si>
  <si>
    <t xml:space="preserve">NOVOROZENEC, VÁHA PŘI PORODU 1500-1999G, BEZ ZÁKLADNÍHO VÝKONU BEZ CC                               </t>
  </si>
  <si>
    <t>15672</t>
  </si>
  <si>
    <t xml:space="preserve">NOVOROZENEC, VÁHA PŘI PORODU 1500-1999G, BEZ ZÁKLADNÍHO VÝKONU S CC                                 </t>
  </si>
  <si>
    <t>15673</t>
  </si>
  <si>
    <t xml:space="preserve">NOVOROZENEC, VÁHA PŘI PORODU 1500-1999G, BEZ ZÁKLADNÍHO VÝKONU S MCC                                </t>
  </si>
  <si>
    <t>15691</t>
  </si>
  <si>
    <t xml:space="preserve">NOVOROZENEC, VÁHA PŘI PORODU 2000-2499G, BEZ ZÁKLADNÍHO VÝKONU BEZ CC                               </t>
  </si>
  <si>
    <t>15692</t>
  </si>
  <si>
    <t xml:space="preserve">NOVOROZENEC, VÁHA PŘI PORODU 2000-2499G, BEZ ZÁKLADNÍHO VÝKONU S CC                                 </t>
  </si>
  <si>
    <t>15693</t>
  </si>
  <si>
    <t xml:space="preserve">NOVOROZENEC, VÁHA PŘI PORODU 2000-2499G, BEZ ZÁKLADNÍHO VÝKONU S MCC                                </t>
  </si>
  <si>
    <t>15702</t>
  </si>
  <si>
    <t xml:space="preserve">NOVOROZENEC, VÁHA PŘI PORODU &gt;2499G, SE ZÁKLADNÍM VÝKONEM S CC                                      </t>
  </si>
  <si>
    <t>15703</t>
  </si>
  <si>
    <t xml:space="preserve">NOVOROZENEC, VÁHA PŘI PORODU &gt;2499G, SE ZÁKLADNÍM VÝKONEM S MCC                                     </t>
  </si>
  <si>
    <t>15711</t>
  </si>
  <si>
    <t xml:space="preserve">NOVOROZENEC, VÁHA PŘI PORODU &gt;2499G, S VÁŽNOU ANOMÁLIÍ NEBO DĚDIČNÝM STAVEM BEZ CC                  </t>
  </si>
  <si>
    <t>15712</t>
  </si>
  <si>
    <t xml:space="preserve">NOVOROZENEC, VÁHA PŘI PORODU &gt;2499G, S VÁŽNOU ANOMÁLIÍ NEBO DĚDIČNÝM STAVEM S CC                    </t>
  </si>
  <si>
    <t>15713</t>
  </si>
  <si>
    <t xml:space="preserve">NOVOROZENEC, VÁHA PŘI PORODU &gt;2499G, S VÁŽNOU ANOMÁLIÍ NEBO DĚDIČNÝM STAVEM S MCC                   </t>
  </si>
  <si>
    <t>15720</t>
  </si>
  <si>
    <t xml:space="preserve">NOVOROZENEC, VÁHA PŘI PORODU &gt; 2499G, SE SYNDROMEM DÝCHACÍCH POTÍŽÍ                                 </t>
  </si>
  <si>
    <t>15732</t>
  </si>
  <si>
    <t xml:space="preserve">NOVOROZENEC, VÁHA PŘI PORODU &gt; 2499G, S ASPIRAČNÍM SYNDROMEM S CC                                   </t>
  </si>
  <si>
    <t>15741</t>
  </si>
  <si>
    <t xml:space="preserve">NOVOROZENEC, VÁHA PŘI PORODU &gt; 2499G, S VROZENOU NEBO PERINATÁLNÍ INFEKCÍ BEZ CC                    </t>
  </si>
  <si>
    <t>15742</t>
  </si>
  <si>
    <t xml:space="preserve">NOVOROZENEC, VÁHA PŘI PORODU &gt; 2499G, S VROZENOU NEBO PERINATÁLNÍ INFEKCÍ S CC                      </t>
  </si>
  <si>
    <t>15743</t>
  </si>
  <si>
    <t xml:space="preserve">NOVOROZENEC, VÁHA PŘI PORODU &gt; 2499G, S VROZENOU NEBO PERINATÁLNÍ INFEKCÍ S MCC                     </t>
  </si>
  <si>
    <t>15751</t>
  </si>
  <si>
    <t xml:space="preserve">NOVOROZENEC, VÁHA PŘI PORODU &gt; 2499G, BEZ ZÁKLADNÍHO VÝKONU BEZ CC                                  </t>
  </si>
  <si>
    <t>15752</t>
  </si>
  <si>
    <t xml:space="preserve">NOVOROZENEC, VÁHA PŘI PORODU &gt; 2499G, BEZ ZÁKLADNÍHO VÝKONU S CC                                    </t>
  </si>
  <si>
    <t>15753</t>
  </si>
  <si>
    <t xml:space="preserve">NOVOROZENEC, VÁHA PŘI PORODU &gt; 2499G, BEZ ZÁKLADNÍHO VÝKONU S MCC                                   </t>
  </si>
  <si>
    <t>23013</t>
  </si>
  <si>
    <t xml:space="preserve">OPERAČNÍ VÝKON S DIAGNÓZOU JINÉHO KONTAKTU SE ZDRAVOTNICKÝMI SLUŽBAMI S MCC                         </t>
  </si>
  <si>
    <t>23321</t>
  </si>
  <si>
    <t xml:space="preserve">JINÉ FAKTORY OVLIVŇUJÍCÍ ZDRAVOTNÍ STAV BEZ CC                                                      </t>
  </si>
  <si>
    <t>23323</t>
  </si>
  <si>
    <t xml:space="preserve">JINÉ FAKTORY OVLIVŇUJÍCÍ ZDRAVOTNÍ STAV S MCC     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</si>
  <si>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</si>
  <si>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</si>
  <si>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</si>
  <si>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08 - Porodnicko-gynekologická klinika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</si>
  <si>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</si>
  <si>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</si>
  <si>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</si>
  <si>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</si>
  <si>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</si>
  <si>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</si>
  <si>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</si>
  <si>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</si>
  <si>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08</t>
  </si>
  <si>
    <t>603</t>
  </si>
  <si>
    <t>82056</t>
  </si>
  <si>
    <t>MIKROSKOPICKÉ STANOVENÍ MIKROBIÁLNÍHO OBRAZU POŠEV</t>
  </si>
  <si>
    <t>28</t>
  </si>
  <si>
    <t>816</t>
  </si>
  <si>
    <t>94181</t>
  </si>
  <si>
    <t>ZHOTOVENÍ KARYOTYPU Z JEDNÉ MITÓZY</t>
  </si>
  <si>
    <t>94119</t>
  </si>
  <si>
    <t>IZOLACE A UCHOVÁNÍ LIDSKÉ DNA (RNA)</t>
  </si>
  <si>
    <t>94123</t>
  </si>
  <si>
    <t>PCR ANALÝZA LIDSKÉ DNA</t>
  </si>
  <si>
    <t>94129</t>
  </si>
  <si>
    <t>RUTINNÍ VYŠETŘENÍ CHROMOZOMU Z PERIFERNÍ KRVE</t>
  </si>
  <si>
    <t>32</t>
  </si>
  <si>
    <t>94191</t>
  </si>
  <si>
    <t>FOTOGRAFIE GELU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</si>
  <si>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</si>
  <si>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</si>
  <si>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</si>
  <si>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</si>
  <si>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</si>
  <si>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</si>
  <si>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</si>
  <si>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</si>
  <si>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</si>
  <si>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</si>
  <si>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</si>
  <si>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</si>
  <si>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</si>
  <si>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</si>
  <si>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</si>
  <si>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</si>
  <si>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</si>
  <si>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</si>
  <si>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</si>
  <si>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</si>
  <si>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</si>
  <si>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</si>
  <si>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</si>
  <si>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</si>
  <si>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</si>
  <si>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</si>
  <si>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</si>
  <si>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</si>
  <si>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</si>
  <si>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</si>
  <si>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</si>
  <si>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</si>
  <si>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</si>
  <si>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</si>
  <si>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</si>
  <si>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</si>
  <si>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</si>
  <si>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</si>
  <si>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</si>
  <si>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</si>
  <si>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</si>
  <si>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</si>
  <si>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</si>
  <si>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</si>
  <si>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</si>
  <si>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</si>
  <si>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</si>
  <si>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</si>
  <si>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</si>
  <si>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</si>
  <si>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</si>
  <si>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</si>
  <si>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</si>
  <si>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</si>
  <si>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</si>
  <si>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</si>
  <si>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</si>
  <si>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</si>
  <si>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</si>
  <si>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</si>
  <si>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</si>
  <si>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</si>
  <si>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</si>
  <si>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</si>
  <si>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</si>
  <si>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</si>
  <si>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</si>
  <si>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</si>
  <si>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</si>
  <si>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</si>
  <si>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</si>
  <si>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</si>
  <si>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</si>
  <si>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</si>
  <si>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</si>
  <si>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</si>
  <si>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</si>
  <si>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</si>
  <si>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</si>
  <si>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</si>
  <si>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</si>
  <si>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</si>
  <si>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</si>
  <si>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</si>
  <si>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</si>
  <si>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</si>
  <si>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</si>
  <si>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81427</t>
  </si>
  <si>
    <t>FOSFOR ANORGANICKÝ</t>
  </si>
  <si>
    <t>81521</t>
  </si>
  <si>
    <t>LAKTÁT (KYSELINA MLÉČNÁ)</t>
  </si>
  <si>
    <t>81561</t>
  </si>
  <si>
    <t>PRŮKAZ OKULTNÍHO KRVÁCENÍ</t>
  </si>
  <si>
    <t>81641</t>
  </si>
  <si>
    <t>ŽELEZO CELKOVÉ</t>
  </si>
  <si>
    <t>81651</t>
  </si>
  <si>
    <t xml:space="preserve">VYŠETŘENÍ DĚDIČNÝCH PORUCH METABOLISMU (DÁLE DPM) 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</si>
  <si>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</si>
  <si>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</si>
  <si>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</si>
  <si>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</si>
  <si>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</si>
  <si>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</si>
  <si>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</si>
  <si>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</si>
  <si>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</si>
  <si>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</si>
  <si>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91141</t>
  </si>
  <si>
    <t>STANOVENÍ CERULOPLASMINU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</si>
  <si>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</si>
  <si>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</si>
  <si>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</si>
  <si>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</si>
  <si>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</si>
  <si>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</si>
  <si>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</si>
  <si>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</si>
  <si>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</si>
  <si>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</si>
  <si>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93167</t>
  </si>
  <si>
    <t>NEURON - SPECIFICKÁ ENOLÁZA (NSE)</t>
  </si>
  <si>
    <t>93171</t>
  </si>
  <si>
    <t>PARATHORMON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</si>
  <si>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</si>
  <si>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</si>
  <si>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</si>
  <si>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</si>
  <si>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</si>
  <si>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</si>
  <si>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93267</t>
  </si>
  <si>
    <t>VOLNÝ TESTOSTERON</t>
  </si>
  <si>
    <t>81119</t>
  </si>
  <si>
    <t>AMONIAK STATIM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</si>
  <si>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</si>
  <si>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</si>
  <si>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</si>
  <si>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</si>
  <si>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</si>
  <si>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</si>
  <si>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</si>
  <si>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</si>
  <si>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</si>
  <si>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</si>
  <si>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</si>
  <si>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</si>
  <si>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</si>
  <si>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</si>
  <si>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</si>
  <si>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</si>
  <si>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</si>
  <si>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</si>
  <si>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</si>
  <si>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</si>
  <si>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</si>
  <si>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</si>
  <si>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</si>
  <si>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</si>
  <si>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</si>
  <si>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</si>
  <si>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</si>
  <si>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</si>
  <si>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</si>
  <si>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</si>
  <si>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</si>
  <si>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</si>
  <si>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</si>
  <si>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</si>
  <si>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</si>
  <si>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</si>
  <si>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</si>
  <si>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</si>
  <si>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</si>
  <si>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</si>
  <si>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</si>
  <si>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</si>
  <si>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</si>
  <si>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</si>
  <si>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</si>
  <si>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</si>
  <si>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</si>
  <si>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</si>
  <si>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</si>
  <si>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</si>
  <si>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</si>
  <si>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</si>
  <si>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</si>
  <si>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</si>
  <si>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</si>
  <si>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</si>
  <si>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</si>
  <si>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</si>
  <si>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</si>
  <si>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</si>
  <si>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</si>
  <si>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</si>
  <si>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</si>
  <si>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</si>
  <si>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</si>
  <si>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</si>
  <si>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81339</t>
  </si>
  <si>
    <t>AMINOKYSELINY STANOVENÍ CELKOVÉHO SPEKTRA V BIOLOG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</si>
  <si>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</si>
  <si>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</si>
  <si>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</si>
  <si>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</si>
  <si>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</si>
  <si>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</si>
  <si>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</si>
  <si>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</si>
  <si>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</si>
  <si>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</si>
  <si>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</si>
  <si>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</si>
  <si>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</si>
  <si>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</si>
  <si>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94189</t>
  </si>
  <si>
    <t>HYBRIDIZACE DNA SE ZNAČENOU SONDOU</t>
  </si>
  <si>
    <t>81665</t>
  </si>
  <si>
    <t>VYŠ. DPM - AKTIVITA LYZOSOMÁLNÍCH ENZYMŮ S NERADIO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</si>
  <si>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</si>
  <si>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</si>
  <si>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</si>
  <si>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</si>
  <si>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</si>
  <si>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</si>
  <si>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</si>
  <si>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</si>
  <si>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</si>
  <si>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</si>
  <si>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</si>
  <si>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</si>
  <si>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</si>
  <si>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</si>
  <si>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</si>
  <si>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</si>
  <si>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</si>
  <si>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81233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</si>
  <si>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</si>
  <si>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</si>
  <si>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</si>
  <si>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</si>
  <si>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</si>
  <si>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</si>
  <si>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</si>
  <si>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</si>
  <si>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</si>
  <si>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</si>
  <si>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</si>
  <si>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</si>
  <si>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</si>
  <si>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</si>
  <si>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</si>
  <si>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</si>
  <si>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</si>
  <si>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81687</t>
  </si>
  <si>
    <t>DIHYDROTESTOSTERON</t>
  </si>
  <si>
    <t>813</t>
  </si>
  <si>
    <t>91197</t>
  </si>
  <si>
    <t>STANOVENÍ CYTOKINU ELISA</t>
  </si>
  <si>
    <t>34</t>
  </si>
  <si>
    <t>809</t>
  </si>
  <si>
    <t>0017039</t>
  </si>
  <si>
    <t>VISIPAQUE 320 MG I/ML</t>
  </si>
  <si>
    <t>0042433</t>
  </si>
  <si>
    <t>0045119</t>
  </si>
  <si>
    <t>VISIPAQUE 270 MG I/ML</t>
  </si>
  <si>
    <t>0045123</t>
  </si>
  <si>
    <t>0045124</t>
  </si>
  <si>
    <t>0077018</t>
  </si>
  <si>
    <t>ULTRAVIST 370</t>
  </si>
  <si>
    <t>0077019</t>
  </si>
  <si>
    <t>0077024</t>
  </si>
  <si>
    <t>ULTRAVIST 300</t>
  </si>
  <si>
    <t>0093626</t>
  </si>
  <si>
    <t>0151208</t>
  </si>
  <si>
    <t>0038482</t>
  </si>
  <si>
    <t>DRÁT VODÍCÍ GUIDE WIRE M</t>
  </si>
  <si>
    <t>0052140</t>
  </si>
  <si>
    <t>KATETR BALÓNKOVÝ PTA - WANDA; SMASH</t>
  </si>
  <si>
    <t>0053563</t>
  </si>
  <si>
    <t>KATETR DIAGNOSTICKÝ TEMPO4F,5F</t>
  </si>
  <si>
    <t>0059345</t>
  </si>
  <si>
    <t>INDEFLÁTOR 622510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</si>
  <si>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</si>
  <si>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</si>
  <si>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</si>
  <si>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</si>
  <si>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</si>
  <si>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</si>
  <si>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</si>
  <si>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</si>
  <si>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</si>
  <si>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</si>
  <si>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</si>
  <si>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</si>
  <si>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</si>
  <si>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</si>
  <si>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89337</t>
  </si>
  <si>
    <t xml:space="preserve">DILATACE STENÓZ JÍCNU, GASTROINTESTINÁLNÍ TRUBICE 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</si>
  <si>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</si>
  <si>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</si>
  <si>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</si>
  <si>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</si>
  <si>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</si>
  <si>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</si>
  <si>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</si>
  <si>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</si>
  <si>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</si>
  <si>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</si>
  <si>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</si>
  <si>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</si>
  <si>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</si>
  <si>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</si>
  <si>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</si>
  <si>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</si>
  <si>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</si>
  <si>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</si>
  <si>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</si>
  <si>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</si>
  <si>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</si>
  <si>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</si>
  <si>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</si>
  <si>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</si>
  <si>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</si>
  <si>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</si>
  <si>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</si>
  <si>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</si>
  <si>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89155</t>
  </si>
  <si>
    <t>RTG VYŠETŘENÍ TLUSTÉHO STŘEVA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</si>
  <si>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</si>
  <si>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</si>
  <si>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</si>
  <si>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</si>
  <si>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</si>
  <si>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</si>
  <si>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</si>
  <si>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</si>
  <si>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</si>
  <si>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</si>
  <si>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</si>
  <si>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</si>
  <si>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</si>
  <si>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22319</t>
  </si>
  <si>
    <t>ELUCE ANTIERYTROCYTÁRNÍCH PROTILÁTEK METODOU MRAZO</t>
  </si>
  <si>
    <t>22355</t>
  </si>
  <si>
    <t>KONZULTACE ODBORNÉHO TRANSFÚZIOLOGA - IMUNOHEMATOL</t>
  </si>
  <si>
    <t>82077</t>
  </si>
  <si>
    <t>STANOVENÍ PROTILÁTEK PROTI ANTIGENŮM VIRŮ HEPATITI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</si>
  <si>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</si>
  <si>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</si>
  <si>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</si>
  <si>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</si>
  <si>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</si>
  <si>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</si>
  <si>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</si>
  <si>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</si>
  <si>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</si>
  <si>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</si>
  <si>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</si>
  <si>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</si>
  <si>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</si>
  <si>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</si>
  <si>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</si>
  <si>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</si>
  <si>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</si>
  <si>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</si>
  <si>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</si>
  <si>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</si>
  <si>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</si>
  <si>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</si>
  <si>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</si>
  <si>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</si>
  <si>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</si>
  <si>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</si>
  <si>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</si>
  <si>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</si>
  <si>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</si>
  <si>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</si>
  <si>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</si>
  <si>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</si>
  <si>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</si>
  <si>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</si>
  <si>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</si>
  <si>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</si>
  <si>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</si>
  <si>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</si>
  <si>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</si>
  <si>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</si>
  <si>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</si>
  <si>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</si>
  <si>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</si>
  <si>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</si>
  <si>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</si>
  <si>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</si>
  <si>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</si>
  <si>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</si>
  <si>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</si>
  <si>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</si>
  <si>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</si>
  <si>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</si>
  <si>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</si>
  <si>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</si>
  <si>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</si>
  <si>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</si>
  <si>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</si>
  <si>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</si>
  <si>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</si>
  <si>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</si>
  <si>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</si>
  <si>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</si>
  <si>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</si>
  <si>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</si>
  <si>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</si>
  <si>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</si>
  <si>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</si>
  <si>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</si>
  <si>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</si>
  <si>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</si>
  <si>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</si>
  <si>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</si>
  <si>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</si>
  <si>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</si>
  <si>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</si>
  <si>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</si>
  <si>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</si>
  <si>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</si>
  <si>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</si>
  <si>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</si>
  <si>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</si>
  <si>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</si>
  <si>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</si>
  <si>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</si>
  <si>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</si>
  <si>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</si>
  <si>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82233</t>
  </si>
  <si>
    <t>IDENTIFIKACE MYKOPLASMAT</t>
  </si>
  <si>
    <t>82149</t>
  </si>
  <si>
    <t>SEROTYPIZACE STŘEVNÍCH A JINÝCH PATOGENŮ</t>
  </si>
  <si>
    <t>41</t>
  </si>
  <si>
    <t>91131</t>
  </si>
  <si>
    <t>STANOVENÍ IgA</t>
  </si>
  <si>
    <t>91161</t>
  </si>
  <si>
    <t>STANOVENÍ C4 SLOŽKY KOMPLEMENTU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</si>
  <si>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</si>
  <si>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</si>
  <si>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</si>
  <si>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</si>
  <si>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</si>
  <si>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</si>
  <si>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91317</t>
  </si>
  <si>
    <t>PRŮKAZ ANTINUKLEÁRNÍCH PROTILÁTEK - JINÉ SUBSTRÁTY</t>
  </si>
  <si>
    <t>91567</t>
  </si>
  <si>
    <t>IMUNOANALYTICKÉ STANOVENÍ AUTOPROTILÁTEK</t>
  </si>
  <si>
    <t>91439</t>
  </si>
  <si>
    <t>IMUNOFENOTYPIZACE BUNĚČNÝCH SUBPOPULACÍ DLE POVRCH</t>
  </si>
  <si>
    <t>91355</t>
  </si>
  <si>
    <t>STANOVENÍ CIK METODOU PEG-IKEM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</si>
  <si>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</si>
  <si>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</si>
  <si>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</si>
  <si>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</si>
  <si>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</si>
  <si>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</si>
  <si>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</si>
  <si>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</si>
  <si>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</si>
  <si>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</si>
  <si>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</si>
  <si>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</si>
  <si>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91253</t>
  </si>
  <si>
    <t>STANOVENÍ ANTI ds-DNA Ab ELISA</t>
  </si>
  <si>
    <t>91159</t>
  </si>
  <si>
    <t>STANOVENÍ C3 SLOŽKY KOMPLEMENTU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</si>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</sst>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2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39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39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1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4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56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55" xfId="78" applyNumberFormat="1" applyFont="1" applyFill="1" applyBorder="1"/>
    <xf numFmtId="0" fontId="3" fillId="2" borderId="59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3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56" xfId="33" applyFont="1" applyFill="1" applyBorder="1" applyAlignment="1">
      <alignment horizontal="center" vertical="center"/>
    </xf>
    <xf numFmtId="9" fontId="3" fillId="0" borderId="60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39" xfId="0" applyFont="1" applyFill="1" applyBorder="1"/>
    <xf numFmtId="0" fontId="35" fillId="5" borderId="4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59" xfId="53" applyFont="1" applyFill="1" applyBorder="1" applyAlignment="1">
      <alignment horizontal="right"/>
    </xf>
    <xf numFmtId="164" fontId="34" fillId="0" borderId="64" xfId="53" applyNumberFormat="1" applyFont="1" applyFill="1" applyBorder="1"/>
    <xf numFmtId="164" fontId="34" fillId="0" borderId="65" xfId="53" applyNumberFormat="1" applyFont="1" applyFill="1" applyBorder="1"/>
    <xf numFmtId="9" fontId="34" fillId="0" borderId="66" xfId="83" applyNumberFormat="1" applyFont="1" applyFill="1" applyBorder="1"/>
    <xf numFmtId="3" fontId="34" fillId="0" borderId="66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5" xfId="26" applyFont="1" applyFill="1" applyBorder="1" applyAlignment="1">
      <alignment horizontal="right"/>
    </xf>
    <xf numFmtId="170" fontId="32" fillId="0" borderId="4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3" fontId="3" fillId="0" borderId="62" xfId="53" applyNumberFormat="1" applyFont="1" applyFill="1" applyBorder="1"/>
    <xf numFmtId="0" fontId="34" fillId="2" borderId="45" xfId="0" applyNumberFormat="1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8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1" xfId="74" applyFont="1" applyFill="1" applyBorder="1" applyAlignment="1">
      <alignment horizontal="center"/>
    </xf>
    <xf numFmtId="0" fontId="30" fillId="5" borderId="39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70" xfId="26" applyNumberFormat="1" applyFont="1" applyFill="1" applyBorder="1"/>
    <xf numFmtId="3" fontId="32" fillId="7" borderId="53" xfId="26" applyNumberFormat="1" applyFont="1" applyFill="1" applyBorder="1"/>
    <xf numFmtId="167" fontId="34" fillId="7" borderId="58" xfId="86" applyNumberFormat="1" applyFont="1" applyFill="1" applyBorder="1" applyAlignment="1">
      <alignment horizontal="right"/>
    </xf>
    <xf numFmtId="3" fontId="32" fillId="7" borderId="71" xfId="26" applyNumberFormat="1" applyFont="1" applyFill="1" applyBorder="1"/>
    <xf numFmtId="167" fontId="34" fillId="7" borderId="58" xfId="86" applyNumberFormat="1" applyFont="1" applyFill="1" applyBorder="1"/>
    <xf numFmtId="3" fontId="32" fillId="0" borderId="70" xfId="26" applyNumberFormat="1" applyFont="1" applyFill="1" applyBorder="1" applyAlignment="1">
      <alignment horizontal="center"/>
    </xf>
    <xf numFmtId="3" fontId="32" fillId="0" borderId="58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3" fontId="32" fillId="7" borderId="58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5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4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48" xfId="0" applyNumberFormat="1" applyFont="1" applyFill="1" applyBorder="1"/>
    <xf numFmtId="3" fontId="42" fillId="2" borderId="50" xfId="0" applyNumberFormat="1" applyFont="1" applyFill="1" applyBorder="1"/>
    <xf numFmtId="9" fontId="42" fillId="2" borderId="55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5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39" xfId="0" applyFont="1" applyFill="1" applyBorder="1" applyAlignment="1">
      <alignment horizontal="left" indent="2"/>
    </xf>
    <xf numFmtId="0" fontId="35" fillId="0" borderId="39" xfId="0" applyFont="1" applyBorder="1" applyAlignment="1"/>
    <xf numFmtId="3" fontId="35" fillId="0" borderId="39" xfId="0" applyNumberFormat="1" applyFont="1" applyBorder="1" applyAlignment="1"/>
    <xf numFmtId="9" fontId="35" fillId="0" borderId="39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52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5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39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4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5" xfId="0" applyNumberFormat="1" applyFont="1" applyFill="1" applyBorder="1" applyAlignment="1"/>
    <xf numFmtId="9" fontId="35" fillId="0" borderId="4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45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39" xfId="26" applyFont="1" applyFill="1" applyBorder="1" applyAlignment="1">
      <alignment vertical="center"/>
    </xf>
    <xf numFmtId="168" fontId="3" fillId="0" borderId="39" xfId="26" applyNumberFormat="1" applyFont="1" applyFill="1" applyBorder="1" applyAlignment="1">
      <alignment vertical="center"/>
    </xf>
    <xf numFmtId="166" fontId="3" fillId="0" borderId="39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72" xfId="0" applyNumberFormat="1" applyFont="1" applyFill="1" applyBorder="1"/>
    <xf numFmtId="3" fontId="59" fillId="9" borderId="73" xfId="0" applyNumberFormat="1" applyFont="1" applyFill="1" applyBorder="1"/>
    <xf numFmtId="3" fontId="59" fillId="9" borderId="72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76" xfId="0" applyNumberFormat="1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horizontal="center" vertical="center"/>
    </xf>
    <xf numFmtId="3" fontId="61" fillId="2" borderId="79" xfId="0" applyNumberFormat="1" applyFont="1" applyFill="1" applyBorder="1" applyAlignment="1">
      <alignment horizontal="center" vertical="center" wrapText="1"/>
    </xf>
    <xf numFmtId="0" fontId="61" fillId="2" borderId="80" xfId="0" applyFont="1" applyFill="1" applyBorder="1" applyAlignment="1">
      <alignment horizontal="center" vertical="center" wrapText="1"/>
    </xf>
    <xf numFmtId="0" fontId="42" fillId="2" borderId="82" xfId="0" applyFont="1" applyFill="1" applyBorder="1" applyAlignment="1"/>
    <xf numFmtId="0" fontId="42" fillId="2" borderId="84" xfId="0" applyFont="1" applyFill="1" applyBorder="1" applyAlignment="1">
      <alignment horizontal="left" indent="1"/>
    </xf>
    <xf numFmtId="0" fontId="42" fillId="2" borderId="90" xfId="0" applyFont="1" applyFill="1" applyBorder="1" applyAlignment="1">
      <alignment horizontal="left" indent="1"/>
    </xf>
    <xf numFmtId="0" fontId="42" fillId="4" borderId="82" xfId="0" applyFont="1" applyFill="1" applyBorder="1" applyAlignment="1"/>
    <xf numFmtId="0" fontId="42" fillId="4" borderId="84" xfId="0" applyFont="1" applyFill="1" applyBorder="1" applyAlignment="1">
      <alignment horizontal="left" indent="1"/>
    </xf>
    <xf numFmtId="0" fontId="42" fillId="4" borderId="95" xfId="0" applyFont="1" applyFill="1" applyBorder="1" applyAlignment="1">
      <alignment horizontal="left" indent="1"/>
    </xf>
    <xf numFmtId="0" fontId="35" fillId="2" borderId="84" xfId="0" quotePrefix="1" applyFont="1" applyFill="1" applyBorder="1" applyAlignment="1">
      <alignment horizontal="left" indent="2"/>
    </xf>
    <xf numFmtId="0" fontId="35" fillId="2" borderId="90" xfId="0" quotePrefix="1" applyFont="1" applyFill="1" applyBorder="1" applyAlignment="1">
      <alignment horizontal="left" indent="2"/>
    </xf>
    <xf numFmtId="0" fontId="42" fillId="2" borderId="82" xfId="0" applyFont="1" applyFill="1" applyBorder="1" applyAlignment="1">
      <alignment horizontal="left" indent="1"/>
    </xf>
    <xf numFmtId="0" fontId="42" fillId="2" borderId="95" xfId="0" applyFont="1" applyFill="1" applyBorder="1" applyAlignment="1">
      <alignment horizontal="left" indent="1"/>
    </xf>
    <xf numFmtId="0" fontId="42" fillId="4" borderId="90" xfId="0" applyFont="1" applyFill="1" applyBorder="1" applyAlignment="1">
      <alignment horizontal="left" indent="1"/>
    </xf>
    <xf numFmtId="0" fontId="35" fillId="0" borderId="100" xfId="0" applyFont="1" applyBorder="1"/>
    <xf numFmtId="3" fontId="35" fillId="0" borderId="100" xfId="0" applyNumberFormat="1" applyFont="1" applyBorder="1"/>
    <xf numFmtId="0" fontId="42" fillId="4" borderId="74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99" xfId="0" applyNumberFormat="1" applyFont="1" applyFill="1" applyBorder="1" applyAlignment="1">
      <alignment horizontal="center" vertical="center"/>
    </xf>
    <xf numFmtId="3" fontId="61" fillId="2" borderId="97" xfId="0" applyNumberFormat="1" applyFont="1" applyFill="1" applyBorder="1" applyAlignment="1">
      <alignment horizontal="center" vertical="center" wrapText="1"/>
    </xf>
    <xf numFmtId="173" fontId="42" fillId="4" borderId="83" xfId="0" applyNumberFormat="1" applyFont="1" applyFill="1" applyBorder="1" applyAlignment="1"/>
    <xf numFmtId="173" fontId="42" fillId="4" borderId="76" xfId="0" applyNumberFormat="1" applyFont="1" applyFill="1" applyBorder="1" applyAlignment="1"/>
    <xf numFmtId="173" fontId="42" fillId="4" borderId="77" xfId="0" applyNumberFormat="1" applyFont="1" applyFill="1" applyBorder="1" applyAlignment="1"/>
    <xf numFmtId="173" fontId="42" fillId="0" borderId="85" xfId="0" applyNumberFormat="1" applyFont="1" applyBorder="1"/>
    <xf numFmtId="173" fontId="35" fillId="0" borderId="89" xfId="0" applyNumberFormat="1" applyFont="1" applyBorder="1"/>
    <xf numFmtId="173" fontId="35" fillId="0" borderId="87" xfId="0" applyNumberFormat="1" applyFont="1" applyBorder="1"/>
    <xf numFmtId="173" fontId="42" fillId="0" borderId="96" xfId="0" applyNumberFormat="1" applyFont="1" applyBorder="1"/>
    <xf numFmtId="173" fontId="35" fillId="0" borderId="97" xfId="0" applyNumberFormat="1" applyFont="1" applyBorder="1"/>
    <xf numFmtId="173" fontId="35" fillId="0" borderId="80" xfId="0" applyNumberFormat="1" applyFont="1" applyBorder="1"/>
    <xf numFmtId="173" fontId="42" fillId="2" borderId="98" xfId="0" applyNumberFormat="1" applyFont="1" applyFill="1" applyBorder="1" applyAlignment="1"/>
    <xf numFmtId="173" fontId="42" fillId="2" borderId="76" xfId="0" applyNumberFormat="1" applyFont="1" applyFill="1" applyBorder="1" applyAlignment="1"/>
    <xf numFmtId="173" fontId="42" fillId="2" borderId="77" xfId="0" applyNumberFormat="1" applyFont="1" applyFill="1" applyBorder="1" applyAlignment="1"/>
    <xf numFmtId="173" fontId="42" fillId="0" borderId="91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0" borderId="83" xfId="0" applyNumberFormat="1" applyFont="1" applyBorder="1"/>
    <xf numFmtId="173" fontId="35" fillId="0" borderId="99" xfId="0" applyNumberFormat="1" applyFont="1" applyBorder="1"/>
    <xf numFmtId="173" fontId="35" fillId="0" borderId="77" xfId="0" applyNumberFormat="1" applyFont="1" applyBorder="1"/>
    <xf numFmtId="174" fontId="42" fillId="2" borderId="83" xfId="0" applyNumberFormat="1" applyFont="1" applyFill="1" applyBorder="1" applyAlignment="1"/>
    <xf numFmtId="174" fontId="35" fillId="2" borderId="76" xfId="0" applyNumberFormat="1" applyFont="1" applyFill="1" applyBorder="1" applyAlignment="1"/>
    <xf numFmtId="174" fontId="35" fillId="2" borderId="77" xfId="0" applyNumberFormat="1" applyFont="1" applyFill="1" applyBorder="1" applyAlignment="1"/>
    <xf numFmtId="174" fontId="42" fillId="0" borderId="85" xfId="0" applyNumberFormat="1" applyFont="1" applyBorder="1"/>
    <xf numFmtId="174" fontId="35" fillId="0" borderId="86" xfId="0" applyNumberFormat="1" applyFont="1" applyBorder="1"/>
    <xf numFmtId="174" fontId="35" fillId="0" borderId="87" xfId="0" applyNumberFormat="1" applyFont="1" applyBorder="1"/>
    <xf numFmtId="174" fontId="35" fillId="0" borderId="89" xfId="0" applyNumberFormat="1" applyFont="1" applyBorder="1"/>
    <xf numFmtId="174" fontId="42" fillId="0" borderId="91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83" xfId="0" applyNumberFormat="1" applyFont="1" applyFill="1" applyBorder="1" applyAlignment="1">
      <alignment horizontal="center"/>
    </xf>
    <xf numFmtId="175" fontId="42" fillId="0" borderId="91" xfId="0" applyNumberFormat="1" applyFont="1" applyBorder="1"/>
    <xf numFmtId="0" fontId="34" fillId="2" borderId="108" xfId="74" applyFont="1" applyFill="1" applyBorder="1" applyAlignment="1">
      <alignment horizontal="center"/>
    </xf>
    <xf numFmtId="0" fontId="34" fillId="2" borderId="78" xfId="81" applyFont="1" applyFill="1" applyBorder="1" applyAlignment="1">
      <alignment horizontal="center"/>
    </xf>
    <xf numFmtId="0" fontId="34" fillId="2" borderId="79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4" xfId="53" applyNumberFormat="1" applyFont="1" applyFill="1" applyBorder="1"/>
    <xf numFmtId="3" fontId="34" fillId="0" borderId="65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9" fontId="42" fillId="0" borderId="85" xfId="0" applyNumberFormat="1" applyFont="1" applyBorder="1"/>
    <xf numFmtId="9" fontId="35" fillId="0" borderId="89" xfId="0" applyNumberFormat="1" applyFont="1" applyBorder="1"/>
    <xf numFmtId="9" fontId="35" fillId="0" borderId="87" xfId="0" applyNumberFormat="1" applyFont="1" applyBorder="1"/>
    <xf numFmtId="0" fontId="42" fillId="3" borderId="28" xfId="0" applyFont="1" applyFill="1" applyBorder="1" applyAlignment="1"/>
    <xf numFmtId="0" fontId="35" fillId="0" borderId="40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43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41" xfId="81" applyFont="1" applyFill="1" applyBorder="1" applyAlignment="1">
      <alignment horizontal="center"/>
    </xf>
    <xf numFmtId="0" fontId="34" fillId="2" borderId="69" xfId="81" applyFont="1" applyFill="1" applyBorder="1" applyAlignment="1">
      <alignment horizontal="center"/>
    </xf>
    <xf numFmtId="0" fontId="34" fillId="2" borderId="42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08" xfId="81" applyFont="1" applyFill="1" applyBorder="1" applyAlignment="1">
      <alignment horizontal="center"/>
    </xf>
    <xf numFmtId="0" fontId="34" fillId="2" borderId="104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57" xfId="78" applyNumberFormat="1" applyFont="1" applyFill="1" applyBorder="1" applyAlignment="1">
      <alignment horizontal="left"/>
    </xf>
    <xf numFmtId="0" fontId="35" fillId="2" borderId="49" xfId="0" applyFont="1" applyFill="1" applyBorder="1" applyAlignment="1"/>
    <xf numFmtId="3" fontId="31" fillId="2" borderId="51" xfId="78" applyNumberFormat="1" applyFont="1" applyFill="1" applyBorder="1" applyAlignment="1"/>
    <xf numFmtId="0" fontId="42" fillId="2" borderId="57" xfId="0" applyFont="1" applyFill="1" applyBorder="1" applyAlignment="1">
      <alignment horizontal="left"/>
    </xf>
    <xf numFmtId="0" fontId="35" fillId="2" borderId="45" xfId="0" applyFont="1" applyFill="1" applyBorder="1" applyAlignment="1">
      <alignment horizontal="left"/>
    </xf>
    <xf numFmtId="0" fontId="35" fillId="2" borderId="49" xfId="0" applyFont="1" applyFill="1" applyBorder="1" applyAlignment="1">
      <alignment horizontal="left"/>
    </xf>
    <xf numFmtId="0" fontId="42" fillId="2" borderId="51" xfId="0" applyFont="1" applyFill="1" applyBorder="1" applyAlignment="1">
      <alignment horizontal="left"/>
    </xf>
    <xf numFmtId="3" fontId="42" fillId="2" borderId="51" xfId="0" applyNumberFormat="1" applyFont="1" applyFill="1" applyBorder="1" applyAlignment="1">
      <alignment horizontal="left"/>
    </xf>
    <xf numFmtId="3" fontId="35" fillId="2" borderId="46" xfId="0" applyNumberFormat="1" applyFont="1" applyFill="1" applyBorder="1" applyAlignment="1">
      <alignment horizontal="left"/>
    </xf>
    <xf numFmtId="9" fontId="3" fillId="2" borderId="11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9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75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42" fillId="2" borderId="55" xfId="0" applyFont="1" applyFill="1" applyBorder="1" applyAlignment="1">
      <alignment vertical="center"/>
    </xf>
    <xf numFmtId="3" fontId="34" fillId="2" borderId="57" xfId="26" applyNumberFormat="1" applyFont="1" applyFill="1" applyBorder="1" applyAlignment="1">
      <alignment horizontal="center"/>
    </xf>
    <xf numFmtId="3" fontId="34" fillId="2" borderId="45" xfId="26" applyNumberFormat="1" applyFont="1" applyFill="1" applyBorder="1" applyAlignment="1">
      <alignment horizontal="center"/>
    </xf>
    <xf numFmtId="3" fontId="34" fillId="2" borderId="46" xfId="26" applyNumberFormat="1" applyFont="1" applyFill="1" applyBorder="1" applyAlignment="1">
      <alignment horizontal="center"/>
    </xf>
    <xf numFmtId="3" fontId="34" fillId="2" borderId="46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57" xfId="0" quotePrefix="1" applyNumberFormat="1" applyFont="1" applyFill="1" applyBorder="1" applyAlignment="1">
      <alignment horizontal="center"/>
    </xf>
    <xf numFmtId="0" fontId="34" fillId="2" borderId="46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46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57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57" xfId="26" applyNumberFormat="1" applyFont="1" applyFill="1" applyBorder="1" applyAlignment="1">
      <alignment horizontal="center"/>
    </xf>
    <xf numFmtId="3" fontId="34" fillId="4" borderId="45" xfId="26" applyNumberFormat="1" applyFont="1" applyFill="1" applyBorder="1" applyAlignment="1">
      <alignment horizontal="center"/>
    </xf>
    <xf numFmtId="3" fontId="34" fillId="4" borderId="46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56" xfId="26" applyNumberFormat="1" applyFont="1" applyFill="1" applyBorder="1" applyAlignment="1">
      <alignment horizontal="center" vertical="center" wrapText="1"/>
    </xf>
    <xf numFmtId="3" fontId="34" fillId="3" borderId="57" xfId="26" applyNumberFormat="1" applyFont="1" applyFill="1" applyBorder="1" applyAlignment="1">
      <alignment horizontal="center"/>
    </xf>
    <xf numFmtId="3" fontId="34" fillId="3" borderId="45" xfId="26" applyNumberFormat="1" applyFont="1" applyFill="1" applyBorder="1" applyAlignment="1">
      <alignment horizontal="center"/>
    </xf>
    <xf numFmtId="3" fontId="34" fillId="3" borderId="46" xfId="26" applyNumberFormat="1" applyFont="1" applyFill="1" applyBorder="1" applyAlignment="1">
      <alignment horizontal="center"/>
    </xf>
    <xf numFmtId="3" fontId="34" fillId="0" borderId="45" xfId="26" applyNumberFormat="1" applyFont="1" applyFill="1" applyBorder="1" applyAlignment="1">
      <alignment horizontal="right" vertical="top"/>
    </xf>
    <xf numFmtId="0" fontId="35" fillId="0" borderId="45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56" xfId="26" applyNumberFormat="1" applyFont="1" applyFill="1" applyBorder="1" applyAlignment="1">
      <alignment horizontal="center" vertical="center"/>
    </xf>
    <xf numFmtId="3" fontId="3" fillId="2" borderId="57" xfId="27" applyNumberFormat="1" applyFont="1" applyFill="1" applyBorder="1" applyAlignment="1">
      <alignment horizontal="center"/>
    </xf>
    <xf numFmtId="0" fontId="35" fillId="2" borderId="45" xfId="14" applyFont="1" applyFill="1" applyBorder="1" applyAlignment="1">
      <alignment horizontal="center"/>
    </xf>
    <xf numFmtId="0" fontId="35" fillId="2" borderId="46" xfId="14" applyFont="1" applyFill="1" applyBorder="1" applyAlignment="1">
      <alignment horizontal="center"/>
    </xf>
    <xf numFmtId="3" fontId="3" fillId="2" borderId="57" xfId="24" applyNumberFormat="1" applyFont="1" applyFill="1" applyBorder="1" applyAlignment="1">
      <alignment horizontal="center"/>
    </xf>
    <xf numFmtId="0" fontId="4" fillId="2" borderId="45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57" xfId="26" applyNumberFormat="1" applyFont="1" applyFill="1" applyBorder="1" applyAlignment="1">
      <alignment horizontal="center"/>
    </xf>
    <xf numFmtId="3" fontId="3" fillId="2" borderId="46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57" xfId="26" quotePrefix="1" applyNumberFormat="1" applyFont="1" applyFill="1" applyBorder="1" applyAlignment="1">
      <alignment horizontal="center" vertical="top"/>
    </xf>
    <xf numFmtId="0" fontId="3" fillId="2" borderId="45" xfId="26" applyNumberFormat="1" applyFont="1" applyFill="1" applyBorder="1" applyAlignment="1">
      <alignment horizontal="center" vertical="top"/>
    </xf>
    <xf numFmtId="0" fontId="3" fillId="2" borderId="46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48" xfId="76" applyNumberFormat="1" applyFont="1" applyFill="1" applyBorder="1" applyAlignment="1">
      <alignment horizontal="center" vertical="center"/>
    </xf>
    <xf numFmtId="3" fontId="34" fillId="2" borderId="5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67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2" xfId="0" applyNumberFormat="1" applyFont="1" applyFill="1" applyBorder="1" applyAlignment="1">
      <alignment horizontal="right" vertical="top"/>
    </xf>
    <xf numFmtId="3" fontId="36" fillId="10" borderId="113" xfId="0" applyNumberFormat="1" applyFont="1" applyFill="1" applyBorder="1" applyAlignment="1">
      <alignment horizontal="right" vertical="top"/>
    </xf>
    <xf numFmtId="176" fontId="36" fillId="10" borderId="114" xfId="0" applyNumberFormat="1" applyFont="1" applyFill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176" fontId="36" fillId="10" borderId="115" xfId="0" applyNumberFormat="1" applyFont="1" applyFill="1" applyBorder="1" applyAlignment="1">
      <alignment horizontal="right" vertical="top"/>
    </xf>
    <xf numFmtId="3" fontId="38" fillId="10" borderId="117" xfId="0" applyNumberFormat="1" applyFont="1" applyFill="1" applyBorder="1" applyAlignment="1">
      <alignment horizontal="right" vertical="top"/>
    </xf>
    <xf numFmtId="3" fontId="38" fillId="10" borderId="118" xfId="0" applyNumberFormat="1" applyFont="1" applyFill="1" applyBorder="1" applyAlignment="1">
      <alignment horizontal="right" vertical="top"/>
    </xf>
    <xf numFmtId="0" fontId="38" fillId="10" borderId="119" xfId="0" applyFont="1" applyFill="1" applyBorder="1" applyAlignment="1">
      <alignment horizontal="right" vertical="top"/>
    </xf>
    <xf numFmtId="3" fontId="38" fillId="0" borderId="117" xfId="0" applyNumberFormat="1" applyFont="1" applyBorder="1" applyAlignment="1">
      <alignment horizontal="right" vertical="top"/>
    </xf>
    <xf numFmtId="0" fontId="38" fillId="10" borderId="120" xfId="0" applyFont="1" applyFill="1" applyBorder="1" applyAlignment="1">
      <alignment horizontal="right" vertical="top"/>
    </xf>
    <xf numFmtId="0" fontId="36" fillId="10" borderId="114" xfId="0" applyFont="1" applyFill="1" applyBorder="1" applyAlignment="1">
      <alignment horizontal="right" vertical="top"/>
    </xf>
    <xf numFmtId="0" fontId="36" fillId="10" borderId="115" xfId="0" applyFont="1" applyFill="1" applyBorder="1" applyAlignment="1">
      <alignment horizontal="right" vertical="top"/>
    </xf>
    <xf numFmtId="176" fontId="38" fillId="10" borderId="119" xfId="0" applyNumberFormat="1" applyFont="1" applyFill="1" applyBorder="1" applyAlignment="1">
      <alignment horizontal="right" vertical="top"/>
    </xf>
    <xf numFmtId="176" fontId="38" fillId="10" borderId="120" xfId="0" applyNumberFormat="1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0" borderId="123" xfId="0" applyFont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0" fontId="40" fillId="11" borderId="111" xfId="0" applyFont="1" applyFill="1" applyBorder="1" applyAlignment="1">
      <alignment vertical="top"/>
    </xf>
    <xf numFmtId="0" fontId="40" fillId="11" borderId="111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 indent="6"/>
    </xf>
    <xf numFmtId="0" fontId="40" fillId="11" borderId="111" xfId="0" applyFont="1" applyFill="1" applyBorder="1" applyAlignment="1">
      <alignment vertical="top" indent="8"/>
    </xf>
    <xf numFmtId="0" fontId="41" fillId="11" borderId="116" xfId="0" applyFont="1" applyFill="1" applyBorder="1" applyAlignment="1">
      <alignment vertical="top" indent="2"/>
    </xf>
    <xf numFmtId="0" fontId="40" fillId="11" borderId="111" xfId="0" applyFont="1" applyFill="1" applyBorder="1" applyAlignment="1">
      <alignment vertical="top" indent="6"/>
    </xf>
    <xf numFmtId="0" fontId="41" fillId="11" borderId="116" xfId="0" applyFont="1" applyFill="1" applyBorder="1" applyAlignment="1">
      <alignment vertical="top" indent="4"/>
    </xf>
    <xf numFmtId="0" fontId="41" fillId="11" borderId="116" xfId="0" applyFont="1" applyFill="1" applyBorder="1" applyAlignment="1">
      <alignment vertical="top"/>
    </xf>
    <xf numFmtId="0" fontId="35" fillId="11" borderId="111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25" xfId="53" applyNumberFormat="1" applyFont="1" applyFill="1" applyBorder="1" applyAlignment="1">
      <alignment horizontal="left"/>
    </xf>
    <xf numFmtId="164" fontId="34" fillId="2" borderId="126" xfId="53" applyNumberFormat="1" applyFont="1" applyFill="1" applyBorder="1" applyAlignment="1">
      <alignment horizontal="left"/>
    </xf>
    <xf numFmtId="164" fontId="34" fillId="2" borderId="53" xfId="53" applyNumberFormat="1" applyFont="1" applyFill="1" applyBorder="1" applyAlignment="1">
      <alignment horizontal="left"/>
    </xf>
    <xf numFmtId="3" fontId="34" fillId="2" borderId="53" xfId="53" applyNumberFormat="1" applyFont="1" applyFill="1" applyBorder="1" applyAlignment="1">
      <alignment horizontal="left"/>
    </xf>
    <xf numFmtId="3" fontId="34" fillId="2" borderId="58" xfId="53" applyNumberFormat="1" applyFont="1" applyFill="1" applyBorder="1" applyAlignment="1">
      <alignment horizontal="left"/>
    </xf>
    <xf numFmtId="0" fontId="35" fillId="0" borderId="76" xfId="0" applyFont="1" applyFill="1" applyBorder="1"/>
    <xf numFmtId="0" fontId="35" fillId="0" borderId="77" xfId="0" applyFont="1" applyFill="1" applyBorder="1"/>
    <xf numFmtId="164" fontId="35" fillId="0" borderId="77" xfId="0" applyNumberFormat="1" applyFont="1" applyFill="1" applyBorder="1"/>
    <xf numFmtId="164" fontId="35" fillId="0" borderId="77" xfId="0" applyNumberFormat="1" applyFont="1" applyFill="1" applyBorder="1" applyAlignment="1">
      <alignment horizontal="right"/>
    </xf>
    <xf numFmtId="3" fontId="35" fillId="0" borderId="77" xfId="0" applyNumberFormat="1" applyFont="1" applyFill="1" applyBorder="1"/>
    <xf numFmtId="3" fontId="35" fillId="0" borderId="78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79" xfId="0" applyFont="1" applyFill="1" applyBorder="1"/>
    <xf numFmtId="0" fontId="35" fillId="0" borderId="80" xfId="0" applyFont="1" applyFill="1" applyBorder="1"/>
    <xf numFmtId="164" fontId="35" fillId="0" borderId="80" xfId="0" applyNumberFormat="1" applyFont="1" applyFill="1" applyBorder="1"/>
    <xf numFmtId="164" fontId="35" fillId="0" borderId="80" xfId="0" applyNumberFormat="1" applyFont="1" applyFill="1" applyBorder="1" applyAlignment="1">
      <alignment horizontal="right"/>
    </xf>
    <xf numFmtId="3" fontId="35" fillId="0" borderId="80" xfId="0" applyNumberFormat="1" applyFont="1" applyFill="1" applyBorder="1"/>
    <xf numFmtId="3" fontId="35" fillId="0" borderId="81" xfId="0" applyNumberFormat="1" applyFont="1" applyFill="1" applyBorder="1"/>
    <xf numFmtId="0" fontId="42" fillId="2" borderId="125" xfId="0" applyFont="1" applyFill="1" applyBorder="1"/>
    <xf numFmtId="3" fontId="42" fillId="2" borderId="127" xfId="0" applyNumberFormat="1" applyFont="1" applyFill="1" applyBorder="1"/>
    <xf numFmtId="9" fontId="42" fillId="2" borderId="71" xfId="0" applyNumberFormat="1" applyFont="1" applyFill="1" applyBorder="1"/>
    <xf numFmtId="3" fontId="42" fillId="2" borderId="58" xfId="0" applyNumberFormat="1" applyFont="1" applyFill="1" applyBorder="1"/>
    <xf numFmtId="9" fontId="35" fillId="0" borderId="77" xfId="0" applyNumberFormat="1" applyFont="1" applyFill="1" applyBorder="1"/>
    <xf numFmtId="9" fontId="35" fillId="0" borderId="87" xfId="0" applyNumberFormat="1" applyFont="1" applyFill="1" applyBorder="1"/>
    <xf numFmtId="9" fontId="35" fillId="0" borderId="80" xfId="0" applyNumberFormat="1" applyFont="1" applyFill="1" applyBorder="1"/>
    <xf numFmtId="3" fontId="35" fillId="0" borderId="93" xfId="0" applyNumberFormat="1" applyFont="1" applyFill="1" applyBorder="1"/>
    <xf numFmtId="9" fontId="35" fillId="0" borderId="93" xfId="0" applyNumberFormat="1" applyFont="1" applyFill="1" applyBorder="1"/>
    <xf numFmtId="3" fontId="35" fillId="0" borderId="94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76" xfId="0" applyFont="1" applyFill="1" applyBorder="1"/>
    <xf numFmtId="0" fontId="42" fillId="0" borderId="86" xfId="0" applyFont="1" applyFill="1" applyBorder="1"/>
    <xf numFmtId="0" fontId="42" fillId="0" borderId="128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26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5" xfId="79" applyFont="1" applyFill="1" applyBorder="1" applyAlignment="1">
      <alignment horizontal="left"/>
    </xf>
    <xf numFmtId="3" fontId="3" fillId="2" borderId="93" xfId="80" applyNumberFormat="1" applyFont="1" applyFill="1" applyBorder="1"/>
    <xf numFmtId="3" fontId="3" fillId="2" borderId="94" xfId="80" applyNumberFormat="1" applyFont="1" applyFill="1" applyBorder="1"/>
    <xf numFmtId="9" fontId="3" fillId="2" borderId="92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5" fillId="0" borderId="78" xfId="0" applyNumberFormat="1" applyFont="1" applyFill="1" applyBorder="1"/>
    <xf numFmtId="9" fontId="35" fillId="0" borderId="88" xfId="0" applyNumberFormat="1" applyFont="1" applyFill="1" applyBorder="1"/>
    <xf numFmtId="9" fontId="35" fillId="0" borderId="81" xfId="0" applyNumberFormat="1" applyFont="1" applyFill="1" applyBorder="1"/>
    <xf numFmtId="0" fontId="42" fillId="0" borderId="108" xfId="0" applyFont="1" applyFill="1" applyBorder="1"/>
    <xf numFmtId="0" fontId="42" fillId="0" borderId="106" xfId="0" applyFont="1" applyFill="1" applyBorder="1" applyAlignment="1">
      <alignment horizontal="left" indent="1"/>
    </xf>
    <xf numFmtId="0" fontId="42" fillId="0" borderId="107" xfId="0" applyFont="1" applyFill="1" applyBorder="1" applyAlignment="1">
      <alignment horizontal="left" indent="1"/>
    </xf>
    <xf numFmtId="9" fontId="35" fillId="0" borderId="99" xfId="0" applyNumberFormat="1" applyFont="1" applyFill="1" applyBorder="1"/>
    <xf numFmtId="9" fontId="35" fillId="0" borderId="89" xfId="0" applyNumberFormat="1" applyFont="1" applyFill="1" applyBorder="1"/>
    <xf numFmtId="9" fontId="35" fillId="0" borderId="97" xfId="0" applyNumberFormat="1" applyFont="1" applyFill="1" applyBorder="1"/>
    <xf numFmtId="3" fontId="35" fillId="0" borderId="76" xfId="0" applyNumberFormat="1" applyFont="1" applyFill="1" applyBorder="1"/>
    <xf numFmtId="3" fontId="35" fillId="0" borderId="86" xfId="0" applyNumberFormat="1" applyFont="1" applyFill="1" applyBorder="1"/>
    <xf numFmtId="3" fontId="35" fillId="0" borderId="79" xfId="0" applyNumberFormat="1" applyFont="1" applyFill="1" applyBorder="1"/>
    <xf numFmtId="9" fontId="35" fillId="0" borderId="103" xfId="0" applyNumberFormat="1" applyFont="1" applyFill="1" applyBorder="1"/>
    <xf numFmtId="9" fontId="35" fillId="0" borderId="101" xfId="0" applyNumberFormat="1" applyFont="1" applyFill="1" applyBorder="1"/>
    <xf numFmtId="9" fontId="35" fillId="0" borderId="102" xfId="0" applyNumberFormat="1" applyFont="1" applyFill="1" applyBorder="1"/>
    <xf numFmtId="173" fontId="42" fillId="4" borderId="130" xfId="0" applyNumberFormat="1" applyFont="1" applyFill="1" applyBorder="1" applyAlignment="1">
      <alignment horizontal="center"/>
    </xf>
    <xf numFmtId="173" fontId="42" fillId="4" borderId="131" xfId="0" applyNumberFormat="1" applyFont="1" applyFill="1" applyBorder="1" applyAlignment="1">
      <alignment horizontal="center"/>
    </xf>
    <xf numFmtId="173" fontId="35" fillId="0" borderId="132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/>
    </xf>
    <xf numFmtId="173" fontId="35" fillId="0" borderId="133" xfId="0" applyNumberFormat="1" applyFont="1" applyBorder="1" applyAlignment="1">
      <alignment horizontal="right" wrapText="1"/>
    </xf>
    <xf numFmtId="175" fontId="35" fillId="0" borderId="132" xfId="0" applyNumberFormat="1" applyFont="1" applyBorder="1" applyAlignment="1">
      <alignment horizontal="right"/>
    </xf>
    <xf numFmtId="175" fontId="35" fillId="0" borderId="133" xfId="0" applyNumberFormat="1" applyFont="1" applyBorder="1" applyAlignment="1">
      <alignment horizontal="right"/>
    </xf>
    <xf numFmtId="173" fontId="35" fillId="0" borderId="134" xfId="0" applyNumberFormat="1" applyFont="1" applyBorder="1" applyAlignment="1">
      <alignment horizontal="right"/>
    </xf>
    <xf numFmtId="173" fontId="35" fillId="0" borderId="135" xfId="0" applyNumberFormat="1" applyFont="1" applyBorder="1" applyAlignment="1">
      <alignment horizontal="right"/>
    </xf>
    <xf numFmtId="0" fontId="42" fillId="2" borderId="103" xfId="0" applyFont="1" applyFill="1" applyBorder="1" applyAlignment="1">
      <alignment horizontal="center" vertical="center"/>
    </xf>
    <xf numFmtId="0" fontId="61" fillId="2" borderId="102" xfId="0" applyFont="1" applyFill="1" applyBorder="1" applyAlignment="1">
      <alignment horizontal="center" vertical="center" wrapText="1"/>
    </xf>
    <xf numFmtId="174" fontId="35" fillId="2" borderId="103" xfId="0" applyNumberFormat="1" applyFont="1" applyFill="1" applyBorder="1" applyAlignment="1"/>
    <xf numFmtId="174" fontId="35" fillId="0" borderId="101" xfId="0" applyNumberFormat="1" applyFont="1" applyBorder="1"/>
    <xf numFmtId="174" fontId="35" fillId="0" borderId="136" xfId="0" applyNumberFormat="1" applyFont="1" applyBorder="1"/>
    <xf numFmtId="173" fontId="42" fillId="4" borderId="103" xfId="0" applyNumberFormat="1" applyFont="1" applyFill="1" applyBorder="1" applyAlignment="1"/>
    <xf numFmtId="173" fontId="35" fillId="0" borderId="101" xfId="0" applyNumberFormat="1" applyFont="1" applyBorder="1"/>
    <xf numFmtId="173" fontId="35" fillId="0" borderId="102" xfId="0" applyNumberFormat="1" applyFont="1" applyBorder="1"/>
    <xf numFmtId="173" fontId="42" fillId="2" borderId="103" xfId="0" applyNumberFormat="1" applyFont="1" applyFill="1" applyBorder="1" applyAlignment="1"/>
    <xf numFmtId="173" fontId="35" fillId="0" borderId="136" xfId="0" applyNumberFormat="1" applyFont="1" applyBorder="1"/>
    <xf numFmtId="173" fontId="35" fillId="0" borderId="103" xfId="0" applyNumberFormat="1" applyFont="1" applyBorder="1"/>
    <xf numFmtId="9" fontId="35" fillId="0" borderId="101" xfId="0" applyNumberFormat="1" applyFont="1" applyBorder="1"/>
    <xf numFmtId="173" fontId="42" fillId="4" borderId="137" xfId="0" applyNumberFormat="1" applyFont="1" applyFill="1" applyBorder="1" applyAlignment="1">
      <alignment horizontal="center"/>
    </xf>
    <xf numFmtId="173" fontId="35" fillId="0" borderId="138" xfId="0" applyNumberFormat="1" applyFont="1" applyBorder="1" applyAlignment="1">
      <alignment horizontal="right"/>
    </xf>
    <xf numFmtId="175" fontId="35" fillId="0" borderId="138" xfId="0" applyNumberFormat="1" applyFont="1" applyBorder="1" applyAlignment="1">
      <alignment horizontal="right"/>
    </xf>
    <xf numFmtId="173" fontId="35" fillId="0" borderId="139" xfId="0" applyNumberFormat="1" applyFont="1" applyBorder="1" applyAlignment="1">
      <alignment horizontal="right"/>
    </xf>
    <xf numFmtId="0" fontId="0" fillId="0" borderId="17" xfId="0" applyBorder="1"/>
    <xf numFmtId="173" fontId="42" fillId="4" borderId="82" xfId="0" applyNumberFormat="1" applyFont="1" applyFill="1" applyBorder="1" applyAlignment="1">
      <alignment horizontal="center"/>
    </xf>
    <xf numFmtId="173" fontId="35" fillId="0" borderId="84" xfId="0" applyNumberFormat="1" applyFont="1" applyBorder="1" applyAlignment="1">
      <alignment horizontal="right"/>
    </xf>
    <xf numFmtId="175" fontId="35" fillId="0" borderId="84" xfId="0" applyNumberFormat="1" applyFont="1" applyBorder="1" applyAlignment="1">
      <alignment horizontal="right"/>
    </xf>
    <xf numFmtId="173" fontId="35" fillId="0" borderId="95" xfId="0" applyNumberFormat="1" applyFont="1" applyBorder="1" applyAlignment="1">
      <alignment horizontal="right"/>
    </xf>
    <xf numFmtId="0" fontId="35" fillId="2" borderId="58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34" fillId="2" borderId="33" xfId="0" applyFont="1" applyFill="1" applyBorder="1" applyAlignment="1">
      <alignment horizontal="center" vertical="top"/>
    </xf>
    <xf numFmtId="0" fontId="35" fillId="2" borderId="33" xfId="0" applyFont="1" applyFill="1" applyBorder="1" applyAlignment="1">
      <alignment horizontal="center" vertical="top" wrapText="1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3" fontId="12" fillId="0" borderId="129" xfId="0" applyNumberFormat="1" applyFont="1" applyBorder="1" applyAlignment="1">
      <alignment horizontal="right"/>
    </xf>
    <xf numFmtId="166" fontId="12" fillId="0" borderId="129" xfId="0" applyNumberFormat="1" applyFont="1" applyBorder="1" applyAlignment="1">
      <alignment horizontal="right"/>
    </xf>
    <xf numFmtId="166" fontId="12" fillId="0" borderId="91" xfId="0" applyNumberFormat="1" applyFont="1" applyBorder="1" applyAlignment="1">
      <alignment horizontal="right"/>
    </xf>
    <xf numFmtId="3" fontId="5" fillId="0" borderId="129" xfId="0" applyNumberFormat="1" applyFont="1" applyBorder="1" applyAlignment="1">
      <alignment horizontal="right"/>
    </xf>
    <xf numFmtId="166" fontId="5" fillId="0" borderId="129" xfId="0" applyNumberFormat="1" applyFont="1" applyBorder="1" applyAlignment="1">
      <alignment horizontal="right"/>
    </xf>
    <xf numFmtId="166" fontId="5" fillId="0" borderId="91" xfId="0" applyNumberFormat="1" applyFont="1" applyBorder="1" applyAlignment="1">
      <alignment horizontal="right"/>
    </xf>
    <xf numFmtId="177" fontId="5" fillId="0" borderId="129" xfId="0" applyNumberFormat="1" applyFont="1" applyBorder="1" applyAlignment="1">
      <alignment horizontal="right"/>
    </xf>
    <xf numFmtId="4" fontId="5" fillId="0" borderId="129" xfId="0" applyNumberFormat="1" applyFont="1" applyBorder="1" applyAlignment="1">
      <alignment horizontal="right"/>
    </xf>
    <xf numFmtId="3" fontId="5" fillId="0" borderId="129" xfId="0" applyNumberFormat="1" applyFont="1" applyBorder="1"/>
    <xf numFmtId="3" fontId="11" fillId="0" borderId="90" xfId="0" applyNumberFormat="1" applyFont="1" applyBorder="1" applyAlignment="1">
      <alignment horizontal="center"/>
    </xf>
    <xf numFmtId="166" fontId="11" fillId="0" borderId="91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3" fontId="12" fillId="0" borderId="129" xfId="0" applyNumberFormat="1" applyFont="1" applyBorder="1"/>
    <xf numFmtId="166" fontId="12" fillId="0" borderId="129" xfId="0" applyNumberFormat="1" applyFont="1" applyBorder="1"/>
    <xf numFmtId="166" fontId="12" fillId="0" borderId="91" xfId="0" applyNumberFormat="1" applyFont="1" applyBorder="1"/>
    <xf numFmtId="3" fontId="35" fillId="0" borderId="129" xfId="0" applyNumberFormat="1" applyFont="1" applyBorder="1"/>
    <xf numFmtId="166" fontId="35" fillId="0" borderId="129" xfId="0" applyNumberFormat="1" applyFont="1" applyBorder="1"/>
    <xf numFmtId="166" fontId="35" fillId="0" borderId="91" xfId="0" applyNumberFormat="1" applyFont="1" applyBorder="1"/>
    <xf numFmtId="0" fontId="5" fillId="0" borderId="129" xfId="0" applyFont="1" applyBorder="1"/>
    <xf numFmtId="9" fontId="35" fillId="0" borderId="129" xfId="0" applyNumberFormat="1" applyFont="1" applyBorder="1"/>
    <xf numFmtId="3" fontId="35" fillId="0" borderId="129" xfId="0" applyNumberFormat="1" applyFont="1" applyBorder="1" applyAlignment="1">
      <alignment horizontal="right"/>
    </xf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166" fontId="35" fillId="0" borderId="100" xfId="0" applyNumberFormat="1" applyFont="1" applyBorder="1"/>
    <xf numFmtId="166" fontId="35" fillId="0" borderId="75" xfId="0" applyNumberFormat="1" applyFont="1" applyBorder="1"/>
    <xf numFmtId="3" fontId="12" fillId="0" borderId="100" xfId="0" applyNumberFormat="1" applyFont="1" applyBorder="1" applyAlignment="1">
      <alignment horizontal="right"/>
    </xf>
    <xf numFmtId="166" fontId="12" fillId="0" borderId="100" xfId="0" applyNumberFormat="1" applyFont="1" applyBorder="1" applyAlignment="1">
      <alignment horizontal="right"/>
    </xf>
    <xf numFmtId="166" fontId="12" fillId="0" borderId="75" xfId="0" applyNumberFormat="1" applyFont="1" applyBorder="1" applyAlignment="1">
      <alignment horizontal="right"/>
    </xf>
    <xf numFmtId="3" fontId="5" fillId="0" borderId="100" xfId="0" applyNumberFormat="1" applyFont="1" applyBorder="1" applyAlignment="1">
      <alignment horizontal="right"/>
    </xf>
    <xf numFmtId="166" fontId="5" fillId="0" borderId="100" xfId="0" applyNumberFormat="1" applyFont="1" applyBorder="1" applyAlignment="1">
      <alignment horizontal="right"/>
    </xf>
    <xf numFmtId="166" fontId="5" fillId="0" borderId="75" xfId="0" applyNumberFormat="1" applyFont="1" applyBorder="1" applyAlignment="1">
      <alignment horizontal="right"/>
    </xf>
    <xf numFmtId="177" fontId="5" fillId="0" borderId="100" xfId="0" applyNumberFormat="1" applyFont="1" applyBorder="1" applyAlignment="1">
      <alignment horizontal="right"/>
    </xf>
    <xf numFmtId="4" fontId="5" fillId="0" borderId="100" xfId="0" applyNumberFormat="1" applyFont="1" applyBorder="1" applyAlignment="1">
      <alignment horizontal="right"/>
    </xf>
    <xf numFmtId="0" fontId="5" fillId="0" borderId="100" xfId="0" applyFont="1" applyBorder="1"/>
    <xf numFmtId="3" fontId="5" fillId="0" borderId="100" xfId="0" applyNumberFormat="1" applyFont="1" applyBorder="1"/>
    <xf numFmtId="9" fontId="35" fillId="0" borderId="100" xfId="0" applyNumberFormat="1" applyFont="1" applyBorder="1"/>
    <xf numFmtId="3" fontId="11" fillId="0" borderId="74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49" fontId="3" fillId="0" borderId="74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95" xfId="0" applyNumberFormat="1" applyFont="1" applyBorder="1" applyAlignment="1">
      <alignment horizontal="center"/>
    </xf>
    <xf numFmtId="3" fontId="12" fillId="0" borderId="105" xfId="0" applyNumberFormat="1" applyFont="1" applyBorder="1"/>
    <xf numFmtId="166" fontId="12" fillId="0" borderId="105" xfId="0" applyNumberFormat="1" applyFont="1" applyBorder="1"/>
    <xf numFmtId="166" fontId="12" fillId="0" borderId="96" xfId="0" applyNumberFormat="1" applyFont="1" applyBorder="1"/>
    <xf numFmtId="3" fontId="35" fillId="0" borderId="105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3" fontId="5" fillId="0" borderId="105" xfId="0" applyNumberFormat="1" applyFont="1" applyBorder="1" applyAlignment="1">
      <alignment horizontal="right"/>
    </xf>
    <xf numFmtId="177" fontId="5" fillId="0" borderId="105" xfId="0" applyNumberFormat="1" applyFont="1" applyBorder="1" applyAlignment="1">
      <alignment horizontal="right"/>
    </xf>
    <xf numFmtId="4" fontId="5" fillId="0" borderId="105" xfId="0" applyNumberFormat="1" applyFont="1" applyBorder="1" applyAlignment="1">
      <alignment horizontal="right"/>
    </xf>
    <xf numFmtId="0" fontId="5" fillId="0" borderId="105" xfId="0" applyFont="1" applyBorder="1"/>
    <xf numFmtId="3" fontId="5" fillId="0" borderId="105" xfId="0" applyNumberFormat="1" applyFont="1" applyBorder="1"/>
    <xf numFmtId="3" fontId="35" fillId="0" borderId="105" xfId="0" applyNumberFormat="1" applyFont="1" applyBorder="1"/>
    <xf numFmtId="9" fontId="35" fillId="0" borderId="105" xfId="0" applyNumberFormat="1" applyFont="1" applyBorder="1"/>
    <xf numFmtId="3" fontId="11" fillId="0" borderId="9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77" xfId="0" applyNumberFormat="1" applyFont="1" applyFill="1" applyBorder="1"/>
    <xf numFmtId="169" fontId="35" fillId="0" borderId="87" xfId="0" applyNumberFormat="1" applyFont="1" applyFill="1" applyBorder="1"/>
    <xf numFmtId="169" fontId="35" fillId="0" borderId="80" xfId="0" applyNumberFormat="1" applyFont="1" applyFill="1" applyBorder="1"/>
    <xf numFmtId="0" fontId="42" fillId="0" borderId="79" xfId="0" applyFont="1" applyFill="1" applyBorder="1"/>
    <xf numFmtId="3" fontId="34" fillId="2" borderId="70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0" fontId="32" fillId="0" borderId="76" xfId="76" applyFont="1" applyFill="1" applyBorder="1"/>
    <xf numFmtId="0" fontId="32" fillId="0" borderId="86" xfId="76" applyFont="1" applyFill="1" applyBorder="1"/>
    <xf numFmtId="0" fontId="32" fillId="0" borderId="79" xfId="76" applyFont="1" applyFill="1" applyBorder="1"/>
    <xf numFmtId="0" fontId="32" fillId="0" borderId="103" xfId="76" applyFont="1" applyFill="1" applyBorder="1"/>
    <xf numFmtId="0" fontId="32" fillId="0" borderId="101" xfId="76" applyFont="1" applyFill="1" applyBorder="1"/>
    <xf numFmtId="0" fontId="32" fillId="0" borderId="102" xfId="76" applyFont="1" applyFill="1" applyBorder="1"/>
    <xf numFmtId="0" fontId="34" fillId="2" borderId="93" xfId="76" applyNumberFormat="1" applyFont="1" applyFill="1" applyBorder="1" applyAlignment="1">
      <alignment horizontal="left"/>
    </xf>
    <xf numFmtId="0" fontId="34" fillId="2" borderId="140" xfId="76" applyNumberFormat="1" applyFont="1" applyFill="1" applyBorder="1" applyAlignment="1">
      <alignment horizontal="left"/>
    </xf>
    <xf numFmtId="3" fontId="32" fillId="0" borderId="76" xfId="76" applyNumberFormat="1" applyFont="1" applyFill="1" applyBorder="1"/>
    <xf numFmtId="3" fontId="32" fillId="0" borderId="77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79" xfId="76" applyNumberFormat="1" applyFont="1" applyFill="1" applyBorder="1"/>
    <xf numFmtId="3" fontId="32" fillId="0" borderId="80" xfId="76" applyNumberFormat="1" applyFont="1" applyFill="1" applyBorder="1"/>
    <xf numFmtId="9" fontId="32" fillId="0" borderId="103" xfId="76" applyNumberFormat="1" applyFont="1" applyFill="1" applyBorder="1"/>
    <xf numFmtId="9" fontId="32" fillId="0" borderId="101" xfId="76" applyNumberFormat="1" applyFont="1" applyFill="1" applyBorder="1"/>
    <xf numFmtId="9" fontId="32" fillId="0" borderId="102" xfId="76" applyNumberFormat="1" applyFont="1" applyFill="1" applyBorder="1"/>
    <xf numFmtId="0" fontId="34" fillId="2" borderId="92" xfId="76" applyNumberFormat="1" applyFont="1" applyFill="1" applyBorder="1" applyAlignment="1">
      <alignment horizontal="left"/>
    </xf>
    <xf numFmtId="0" fontId="34" fillId="2" borderId="94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88" xfId="76" applyNumberFormat="1" applyFont="1" applyFill="1" applyBorder="1"/>
    <xf numFmtId="3" fontId="32" fillId="0" borderId="81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1.1142415197625994</c:v>
                </c:pt>
                <c:pt idx="1">
                  <c:v>1.1971396465184583</c:v>
                </c:pt>
                <c:pt idx="2">
                  <c:v>1.131464010287512</c:v>
                </c:pt>
                <c:pt idx="3">
                  <c:v>1.0871502706334091</c:v>
                </c:pt>
                <c:pt idx="4">
                  <c:v>1.1108344456611792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90104"/>
        <c:axId val="12635881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1.0278399319583176</c:v>
                </c:pt>
                <c:pt idx="1">
                  <c:v>1.0278399319583176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86968"/>
        <c:axId val="1263586576"/>
      </c:scatterChart>
      <c:catAx>
        <c:axId val="1263590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8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3590104"/>
        <c:crosses val="autoZero"/>
        <c:crossBetween val="between"/>
      </c:valAx>
      <c:valAx>
        <c:axId val="1263586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3586576"/>
        <c:crosses val="max"/>
        <c:crossBetween val="midCat"/>
      </c:valAx>
      <c:valAx>
        <c:axId val="1263586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635869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1.0049091272833599</c:v>
                </c:pt>
                <c:pt idx="1">
                  <c:v>0.95923087256606965</c:v>
                </c:pt>
                <c:pt idx="2">
                  <c:v>0.96367698561838899</c:v>
                </c:pt>
                <c:pt idx="3">
                  <c:v>0.95420126301017416</c:v>
                </c:pt>
                <c:pt idx="4">
                  <c:v>0.93619821407206794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600664"/>
        <c:axId val="19095994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601448"/>
        <c:axId val="1909601840"/>
      </c:scatterChart>
      <c:catAx>
        <c:axId val="1909600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095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599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909600664"/>
        <c:crosses val="autoZero"/>
        <c:crossBetween val="between"/>
      </c:valAx>
      <c:valAx>
        <c:axId val="19096014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909601840"/>
        <c:crosses val="max"/>
        <c:crossBetween val="midCat"/>
      </c:valAx>
      <c:valAx>
        <c:axId val="19096018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9096014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8" bestFit="1" customWidth="1"/>
    <col min="2" max="2" width="102.21875" style="238" bestFit="1" customWidth="1"/>
    <col min="3" max="3" width="16.109375" style="51" hidden="1" customWidth="1"/>
    <col min="4" max="16384" width="8.88671875" style="238"/>
  </cols>
  <sheetData>
    <row r="1" spans="1:3" ht="18.600000000000001" customHeight="1" thickBot="1" x14ac:dyDescent="0.4">
      <c r="A1" s="452" t="s">
        <v>119</v>
      </c>
      <c r="B1" s="452"/>
    </row>
    <row r="2" spans="1:3" ht="14.4" customHeight="1" thickBot="1" x14ac:dyDescent="0.35">
      <c r="A2" s="361" t="s">
        <v>306</v>
      </c>
      <c r="B2" s="50"/>
    </row>
    <row r="3" spans="1:3" ht="14.4" customHeight="1" thickBot="1" x14ac:dyDescent="0.35">
      <c r="A3" s="448" t="s">
        <v>163</v>
      </c>
      <c r="B3" s="449"/>
    </row>
    <row r="4" spans="1:3" ht="14.4" customHeight="1" x14ac:dyDescent="0.3">
      <c r="A4" s="253" t="str">
        <f t="shared" ref="A4:A8" si="0">HYPERLINK("#'"&amp;C4&amp;"'!A1",C4)</f>
        <v>Motivace</v>
      </c>
      <c r="B4" s="167" t="s">
        <v>136</v>
      </c>
      <c r="C4" s="51" t="s">
        <v>137</v>
      </c>
    </row>
    <row r="5" spans="1:3" ht="14.4" customHeight="1" x14ac:dyDescent="0.3">
      <c r="A5" s="254" t="str">
        <f t="shared" si="0"/>
        <v>HI</v>
      </c>
      <c r="B5" s="168" t="s">
        <v>157</v>
      </c>
      <c r="C5" s="51" t="s">
        <v>123</v>
      </c>
    </row>
    <row r="6" spans="1:3" ht="14.4" customHeight="1" x14ac:dyDescent="0.3">
      <c r="A6" s="255" t="str">
        <f t="shared" si="0"/>
        <v>HI Graf</v>
      </c>
      <c r="B6" s="169" t="s">
        <v>115</v>
      </c>
      <c r="C6" s="51" t="s">
        <v>124</v>
      </c>
    </row>
    <row r="7" spans="1:3" ht="14.4" customHeight="1" x14ac:dyDescent="0.3">
      <c r="A7" s="255" t="str">
        <f t="shared" si="0"/>
        <v>Man Tab</v>
      </c>
      <c r="B7" s="169" t="s">
        <v>308</v>
      </c>
      <c r="C7" s="51" t="s">
        <v>125</v>
      </c>
    </row>
    <row r="8" spans="1:3" ht="14.4" customHeight="1" thickBot="1" x14ac:dyDescent="0.35">
      <c r="A8" s="256" t="str">
        <f t="shared" si="0"/>
        <v>HV</v>
      </c>
      <c r="B8" s="170" t="s">
        <v>48</v>
      </c>
      <c r="C8" s="51" t="s">
        <v>53</v>
      </c>
    </row>
    <row r="9" spans="1:3" ht="14.4" customHeight="1" thickBot="1" x14ac:dyDescent="0.35">
      <c r="A9" s="171"/>
      <c r="B9" s="171"/>
    </row>
    <row r="10" spans="1:3" ht="14.4" customHeight="1" thickBot="1" x14ac:dyDescent="0.35">
      <c r="A10" s="450" t="s">
        <v>120</v>
      </c>
      <c r="B10" s="449"/>
    </row>
    <row r="11" spans="1:3" ht="14.4" customHeight="1" x14ac:dyDescent="0.3">
      <c r="A11" s="257" t="str">
        <f t="shared" ref="A11" si="1">HYPERLINK("#'"&amp;C11&amp;"'!A1",C11)</f>
        <v>Léky Žádanky</v>
      </c>
      <c r="B11" s="168" t="s">
        <v>158</v>
      </c>
      <c r="C11" s="51" t="s">
        <v>126</v>
      </c>
    </row>
    <row r="12" spans="1:3" ht="14.4" customHeight="1" x14ac:dyDescent="0.3">
      <c r="A12" s="255" t="str">
        <f t="shared" ref="A12:A18" si="2">HYPERLINK("#'"&amp;C12&amp;"'!A1",C12)</f>
        <v>LŽ Detail</v>
      </c>
      <c r="B12" s="169" t="s">
        <v>181</v>
      </c>
      <c r="C12" s="51" t="s">
        <v>127</v>
      </c>
    </row>
    <row r="13" spans="1:3" ht="28.8" customHeight="1" x14ac:dyDescent="0.3">
      <c r="A13" s="255" t="str">
        <f t="shared" si="2"/>
        <v>LŽ PL</v>
      </c>
      <c r="B13" s="640" t="s">
        <v>182</v>
      </c>
      <c r="C13" s="51" t="s">
        <v>167</v>
      </c>
    </row>
    <row r="14" spans="1:3" ht="14.4" customHeight="1" x14ac:dyDescent="0.3">
      <c r="A14" s="255" t="str">
        <f t="shared" si="2"/>
        <v>LŽ PL Detail</v>
      </c>
      <c r="B14" s="169" t="s">
        <v>1182</v>
      </c>
      <c r="C14" s="51" t="s">
        <v>168</v>
      </c>
    </row>
    <row r="15" spans="1:3" ht="14.4" customHeight="1" x14ac:dyDescent="0.3">
      <c r="A15" s="255" t="str">
        <f t="shared" si="2"/>
        <v>LŽ Statim</v>
      </c>
      <c r="B15" s="440" t="s">
        <v>272</v>
      </c>
      <c r="C15" s="51" t="s">
        <v>282</v>
      </c>
    </row>
    <row r="16" spans="1:3" ht="14.4" customHeight="1" x14ac:dyDescent="0.3">
      <c r="A16" s="257" t="str">
        <f t="shared" ref="A16" si="3">HYPERLINK("#'"&amp;C16&amp;"'!A1",C16)</f>
        <v>Materiál Žádanky</v>
      </c>
      <c r="B16" s="169" t="s">
        <v>159</v>
      </c>
      <c r="C16" s="51" t="s">
        <v>128</v>
      </c>
    </row>
    <row r="17" spans="1:3" ht="14.4" customHeight="1" x14ac:dyDescent="0.3">
      <c r="A17" s="255" t="str">
        <f t="shared" si="2"/>
        <v>MŽ Detail</v>
      </c>
      <c r="B17" s="169" t="s">
        <v>1613</v>
      </c>
      <c r="C17" s="51" t="s">
        <v>129</v>
      </c>
    </row>
    <row r="18" spans="1:3" ht="14.4" customHeight="1" thickBot="1" x14ac:dyDescent="0.35">
      <c r="A18" s="257" t="str">
        <f t="shared" si="2"/>
        <v>Osobní náklady</v>
      </c>
      <c r="B18" s="169" t="s">
        <v>117</v>
      </c>
      <c r="C18" s="51" t="s">
        <v>130</v>
      </c>
    </row>
    <row r="19" spans="1:3" ht="14.4" customHeight="1" thickBot="1" x14ac:dyDescent="0.35">
      <c r="A19" s="172"/>
      <c r="B19" s="172"/>
    </row>
    <row r="20" spans="1:3" ht="14.4" customHeight="1" thickBot="1" x14ac:dyDescent="0.35">
      <c r="A20" s="451" t="s">
        <v>121</v>
      </c>
      <c r="B20" s="449"/>
    </row>
    <row r="21" spans="1:3" ht="14.4" customHeight="1" x14ac:dyDescent="0.3">
      <c r="A21" s="255" t="str">
        <f t="shared" ref="A21:A28" si="4">HYPERLINK("#'"&amp;C21&amp;"'!A1",C21)</f>
        <v>ZV Vykáz.-H</v>
      </c>
      <c r="B21" s="169" t="s">
        <v>140</v>
      </c>
      <c r="C21" s="51" t="s">
        <v>138</v>
      </c>
    </row>
    <row r="22" spans="1:3" ht="14.4" customHeight="1" x14ac:dyDescent="0.3">
      <c r="A22" s="255" t="str">
        <f t="shared" si="4"/>
        <v>ZV Vykáz.-H Detail</v>
      </c>
      <c r="B22" s="169" t="s">
        <v>1783</v>
      </c>
      <c r="C22" s="51" t="s">
        <v>139</v>
      </c>
    </row>
    <row r="23" spans="1:3" ht="14.4" customHeight="1" x14ac:dyDescent="0.3">
      <c r="A23" s="258" t="str">
        <f t="shared" si="4"/>
        <v>CaseMix</v>
      </c>
      <c r="B23" s="169" t="s">
        <v>122</v>
      </c>
      <c r="C23" s="51" t="s">
        <v>131</v>
      </c>
    </row>
    <row r="24" spans="1:3" ht="14.4" customHeight="1" x14ac:dyDescent="0.3">
      <c r="A24" s="255" t="str">
        <f t="shared" si="4"/>
        <v>ALOS</v>
      </c>
      <c r="B24" s="169" t="s">
        <v>102</v>
      </c>
      <c r="C24" s="51" t="s">
        <v>73</v>
      </c>
    </row>
    <row r="25" spans="1:3" ht="14.4" customHeight="1" x14ac:dyDescent="0.3">
      <c r="A25" s="255" t="str">
        <f t="shared" si="4"/>
        <v>Total</v>
      </c>
      <c r="B25" s="169" t="s">
        <v>1855</v>
      </c>
      <c r="C25" s="51" t="s">
        <v>132</v>
      </c>
    </row>
    <row r="26" spans="1:3" ht="14.4" customHeight="1" x14ac:dyDescent="0.3">
      <c r="A26" s="255" t="str">
        <f t="shared" si="4"/>
        <v>ZV Vyžád.</v>
      </c>
      <c r="B26" s="169" t="s">
        <v>141</v>
      </c>
      <c r="C26" s="51" t="s">
        <v>135</v>
      </c>
    </row>
    <row r="27" spans="1:3" ht="14.4" customHeight="1" x14ac:dyDescent="0.3">
      <c r="A27" s="255" t="str">
        <f t="shared" si="4"/>
        <v>ZV Vyžád. Detail</v>
      </c>
      <c r="B27" s="169" t="s">
        <v>2361</v>
      </c>
      <c r="C27" s="51" t="s">
        <v>134</v>
      </c>
    </row>
    <row r="28" spans="1:3" ht="14.4" customHeight="1" x14ac:dyDescent="0.3">
      <c r="A28" s="255" t="str">
        <f t="shared" si="4"/>
        <v>OD TISS</v>
      </c>
      <c r="B28" s="169" t="s">
        <v>162</v>
      </c>
      <c r="C28" s="51" t="s">
        <v>133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8" bestFit="1" customWidth="1"/>
    <col min="2" max="2" width="8.88671875" style="238" bestFit="1" customWidth="1"/>
    <col min="3" max="3" width="7" style="238" bestFit="1" customWidth="1"/>
    <col min="4" max="4" width="53.44140625" style="238" bestFit="1" customWidth="1"/>
    <col min="5" max="5" width="28.44140625" style="238" bestFit="1" customWidth="1"/>
    <col min="6" max="6" width="6.6640625" style="319" customWidth="1"/>
    <col min="7" max="7" width="10" style="319" customWidth="1"/>
    <col min="8" max="8" width="6.77734375" style="322" bestFit="1" customWidth="1"/>
    <col min="9" max="9" width="6.6640625" style="319" customWidth="1"/>
    <col min="10" max="10" width="10" style="319" customWidth="1"/>
    <col min="11" max="11" width="6.77734375" style="322" bestFit="1" customWidth="1"/>
    <col min="12" max="12" width="6.6640625" style="319" customWidth="1"/>
    <col min="13" max="13" width="10" style="319" customWidth="1"/>
    <col min="14" max="16384" width="8.88671875" style="238"/>
  </cols>
  <sheetData>
    <row r="1" spans="1:13" ht="18.600000000000001" customHeight="1" thickBot="1" x14ac:dyDescent="0.4">
      <c r="A1" s="490" t="s">
        <v>1182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52"/>
      <c r="M1" s="452"/>
    </row>
    <row r="2" spans="1:13" ht="14.4" customHeight="1" thickBot="1" x14ac:dyDescent="0.35">
      <c r="A2" s="361" t="s">
        <v>306</v>
      </c>
      <c r="B2" s="318"/>
      <c r="C2" s="318"/>
      <c r="D2" s="318"/>
      <c r="E2" s="318"/>
      <c r="F2" s="326"/>
      <c r="G2" s="326"/>
      <c r="H2" s="327"/>
      <c r="I2" s="326"/>
      <c r="J2" s="326"/>
      <c r="K2" s="327"/>
      <c r="L2" s="326"/>
    </row>
    <row r="3" spans="1:13" ht="14.4" customHeight="1" thickBot="1" x14ac:dyDescent="0.35">
      <c r="E3" s="95" t="s">
        <v>142</v>
      </c>
      <c r="F3" s="47">
        <f>SUBTOTAL(9,F6:F1048576)</f>
        <v>55</v>
      </c>
      <c r="G3" s="47">
        <f>SUBTOTAL(9,G6:G1048576)</f>
        <v>3865.1810567113021</v>
      </c>
      <c r="H3" s="48">
        <f>IF(M3=0,0,G3/M3)</f>
        <v>7.2557685323693444E-2</v>
      </c>
      <c r="I3" s="47">
        <f>SUBTOTAL(9,I6:I1048576)</f>
        <v>306.20000000000005</v>
      </c>
      <c r="J3" s="47">
        <f>SUBTOTAL(9,J6:J1048576)</f>
        <v>49405.275952329219</v>
      </c>
      <c r="K3" s="48">
        <f>IF(M3=0,0,J3/M3)</f>
        <v>0.92744231467630656</v>
      </c>
      <c r="L3" s="47">
        <f>SUBTOTAL(9,L6:L1048576)</f>
        <v>361.20000000000005</v>
      </c>
      <c r="M3" s="49">
        <f>SUBTOTAL(9,M6:M1048576)</f>
        <v>53270.457009040518</v>
      </c>
    </row>
    <row r="4" spans="1:13" ht="14.4" customHeight="1" thickBot="1" x14ac:dyDescent="0.35">
      <c r="A4" s="45"/>
      <c r="B4" s="45"/>
      <c r="C4" s="45"/>
      <c r="D4" s="45"/>
      <c r="E4" s="46"/>
      <c r="F4" s="494" t="s">
        <v>144</v>
      </c>
      <c r="G4" s="495"/>
      <c r="H4" s="496"/>
      <c r="I4" s="497" t="s">
        <v>143</v>
      </c>
      <c r="J4" s="495"/>
      <c r="K4" s="496"/>
      <c r="L4" s="498" t="s">
        <v>3</v>
      </c>
      <c r="M4" s="499"/>
    </row>
    <row r="5" spans="1:13" ht="14.4" customHeight="1" thickBot="1" x14ac:dyDescent="0.35">
      <c r="A5" s="623" t="s">
        <v>145</v>
      </c>
      <c r="B5" s="641" t="s">
        <v>146</v>
      </c>
      <c r="C5" s="641" t="s">
        <v>77</v>
      </c>
      <c r="D5" s="641" t="s">
        <v>147</v>
      </c>
      <c r="E5" s="641" t="s">
        <v>148</v>
      </c>
      <c r="F5" s="642" t="s">
        <v>15</v>
      </c>
      <c r="G5" s="642" t="s">
        <v>14</v>
      </c>
      <c r="H5" s="625" t="s">
        <v>149</v>
      </c>
      <c r="I5" s="624" t="s">
        <v>15</v>
      </c>
      <c r="J5" s="642" t="s">
        <v>14</v>
      </c>
      <c r="K5" s="625" t="s">
        <v>149</v>
      </c>
      <c r="L5" s="624" t="s">
        <v>15</v>
      </c>
      <c r="M5" s="643" t="s">
        <v>14</v>
      </c>
    </row>
    <row r="6" spans="1:13" ht="14.4" customHeight="1" x14ac:dyDescent="0.3">
      <c r="A6" s="605" t="s">
        <v>537</v>
      </c>
      <c r="B6" s="606" t="s">
        <v>1136</v>
      </c>
      <c r="C6" s="606" t="s">
        <v>689</v>
      </c>
      <c r="D6" s="606" t="s">
        <v>1137</v>
      </c>
      <c r="E6" s="606" t="s">
        <v>1138</v>
      </c>
      <c r="F6" s="609"/>
      <c r="G6" s="609"/>
      <c r="H6" s="627">
        <v>0</v>
      </c>
      <c r="I6" s="609">
        <v>7</v>
      </c>
      <c r="J6" s="609">
        <v>949.40999999999985</v>
      </c>
      <c r="K6" s="627">
        <v>1</v>
      </c>
      <c r="L6" s="609">
        <v>7</v>
      </c>
      <c r="M6" s="610">
        <v>949.40999999999985</v>
      </c>
    </row>
    <row r="7" spans="1:13" ht="14.4" customHeight="1" x14ac:dyDescent="0.3">
      <c r="A7" s="611" t="s">
        <v>537</v>
      </c>
      <c r="B7" s="612" t="s">
        <v>1139</v>
      </c>
      <c r="C7" s="612" t="s">
        <v>693</v>
      </c>
      <c r="D7" s="612" t="s">
        <v>1140</v>
      </c>
      <c r="E7" s="612" t="s">
        <v>1141</v>
      </c>
      <c r="F7" s="615"/>
      <c r="G7" s="615"/>
      <c r="H7" s="628">
        <v>0</v>
      </c>
      <c r="I7" s="615">
        <v>2</v>
      </c>
      <c r="J7" s="615">
        <v>119.67677744953228</v>
      </c>
      <c r="K7" s="628">
        <v>1</v>
      </c>
      <c r="L7" s="615">
        <v>2</v>
      </c>
      <c r="M7" s="616">
        <v>119.67677744953228</v>
      </c>
    </row>
    <row r="8" spans="1:13" ht="14.4" customHeight="1" x14ac:dyDescent="0.3">
      <c r="A8" s="611" t="s">
        <v>542</v>
      </c>
      <c r="B8" s="612" t="s">
        <v>1136</v>
      </c>
      <c r="C8" s="612" t="s">
        <v>689</v>
      </c>
      <c r="D8" s="612" t="s">
        <v>1137</v>
      </c>
      <c r="E8" s="612" t="s">
        <v>1138</v>
      </c>
      <c r="F8" s="615"/>
      <c r="G8" s="615"/>
      <c r="H8" s="628">
        <v>0</v>
      </c>
      <c r="I8" s="615">
        <v>11</v>
      </c>
      <c r="J8" s="615">
        <v>1491.93</v>
      </c>
      <c r="K8" s="628">
        <v>1</v>
      </c>
      <c r="L8" s="615">
        <v>11</v>
      </c>
      <c r="M8" s="616">
        <v>1491.93</v>
      </c>
    </row>
    <row r="9" spans="1:13" ht="14.4" customHeight="1" x14ac:dyDescent="0.3">
      <c r="A9" s="611" t="s">
        <v>542</v>
      </c>
      <c r="B9" s="612" t="s">
        <v>1142</v>
      </c>
      <c r="C9" s="612" t="s">
        <v>777</v>
      </c>
      <c r="D9" s="612" t="s">
        <v>778</v>
      </c>
      <c r="E9" s="612" t="s">
        <v>1143</v>
      </c>
      <c r="F9" s="615"/>
      <c r="G9" s="615"/>
      <c r="H9" s="628">
        <v>0</v>
      </c>
      <c r="I9" s="615">
        <v>1.2</v>
      </c>
      <c r="J9" s="615">
        <v>101.12400000000001</v>
      </c>
      <c r="K9" s="628">
        <v>1</v>
      </c>
      <c r="L9" s="615">
        <v>1.2</v>
      </c>
      <c r="M9" s="616">
        <v>101.12400000000001</v>
      </c>
    </row>
    <row r="10" spans="1:13" ht="14.4" customHeight="1" x14ac:dyDescent="0.3">
      <c r="A10" s="611" t="s">
        <v>542</v>
      </c>
      <c r="B10" s="612" t="s">
        <v>1144</v>
      </c>
      <c r="C10" s="612" t="s">
        <v>784</v>
      </c>
      <c r="D10" s="612" t="s">
        <v>785</v>
      </c>
      <c r="E10" s="612" t="s">
        <v>786</v>
      </c>
      <c r="F10" s="615"/>
      <c r="G10" s="615"/>
      <c r="H10" s="628">
        <v>0</v>
      </c>
      <c r="I10" s="615">
        <v>10</v>
      </c>
      <c r="J10" s="615">
        <v>299.40222728498503</v>
      </c>
      <c r="K10" s="628">
        <v>1</v>
      </c>
      <c r="L10" s="615">
        <v>10</v>
      </c>
      <c r="M10" s="616">
        <v>299.40222728498503</v>
      </c>
    </row>
    <row r="11" spans="1:13" ht="14.4" customHeight="1" x14ac:dyDescent="0.3">
      <c r="A11" s="611" t="s">
        <v>542</v>
      </c>
      <c r="B11" s="612" t="s">
        <v>1145</v>
      </c>
      <c r="C11" s="612" t="s">
        <v>781</v>
      </c>
      <c r="D11" s="612" t="s">
        <v>782</v>
      </c>
      <c r="E11" s="612" t="s">
        <v>1146</v>
      </c>
      <c r="F11" s="615"/>
      <c r="G11" s="615"/>
      <c r="H11" s="628">
        <v>0</v>
      </c>
      <c r="I11" s="615">
        <v>1</v>
      </c>
      <c r="J11" s="615">
        <v>772.08</v>
      </c>
      <c r="K11" s="628">
        <v>1</v>
      </c>
      <c r="L11" s="615">
        <v>1</v>
      </c>
      <c r="M11" s="616">
        <v>772.08</v>
      </c>
    </row>
    <row r="12" spans="1:13" ht="14.4" customHeight="1" x14ac:dyDescent="0.3">
      <c r="A12" s="611" t="s">
        <v>542</v>
      </c>
      <c r="B12" s="612" t="s">
        <v>1147</v>
      </c>
      <c r="C12" s="612" t="s">
        <v>787</v>
      </c>
      <c r="D12" s="612" t="s">
        <v>788</v>
      </c>
      <c r="E12" s="612" t="s">
        <v>789</v>
      </c>
      <c r="F12" s="615"/>
      <c r="G12" s="615"/>
      <c r="H12" s="628">
        <v>0</v>
      </c>
      <c r="I12" s="615">
        <v>7</v>
      </c>
      <c r="J12" s="615">
        <v>996.31</v>
      </c>
      <c r="K12" s="628">
        <v>1</v>
      </c>
      <c r="L12" s="615">
        <v>7</v>
      </c>
      <c r="M12" s="616">
        <v>996.31</v>
      </c>
    </row>
    <row r="13" spans="1:13" ht="14.4" customHeight="1" x14ac:dyDescent="0.3">
      <c r="A13" s="611" t="s">
        <v>542</v>
      </c>
      <c r="B13" s="612" t="s">
        <v>1139</v>
      </c>
      <c r="C13" s="612" t="s">
        <v>693</v>
      </c>
      <c r="D13" s="612" t="s">
        <v>1140</v>
      </c>
      <c r="E13" s="612" t="s">
        <v>1141</v>
      </c>
      <c r="F13" s="615"/>
      <c r="G13" s="615"/>
      <c r="H13" s="628">
        <v>0</v>
      </c>
      <c r="I13" s="615">
        <v>1</v>
      </c>
      <c r="J13" s="615">
        <v>59.84</v>
      </c>
      <c r="K13" s="628">
        <v>1</v>
      </c>
      <c r="L13" s="615">
        <v>1</v>
      </c>
      <c r="M13" s="616">
        <v>59.84</v>
      </c>
    </row>
    <row r="14" spans="1:13" ht="14.4" customHeight="1" x14ac:dyDescent="0.3">
      <c r="A14" s="611" t="s">
        <v>542</v>
      </c>
      <c r="B14" s="612" t="s">
        <v>1148</v>
      </c>
      <c r="C14" s="612" t="s">
        <v>790</v>
      </c>
      <c r="D14" s="612" t="s">
        <v>791</v>
      </c>
      <c r="E14" s="612" t="s">
        <v>789</v>
      </c>
      <c r="F14" s="615"/>
      <c r="G14" s="615"/>
      <c r="H14" s="628">
        <v>0</v>
      </c>
      <c r="I14" s="615">
        <v>7</v>
      </c>
      <c r="J14" s="615">
        <v>242.62699999999995</v>
      </c>
      <c r="K14" s="628">
        <v>1</v>
      </c>
      <c r="L14" s="615">
        <v>7</v>
      </c>
      <c r="M14" s="616">
        <v>242.62699999999995</v>
      </c>
    </row>
    <row r="15" spans="1:13" ht="14.4" customHeight="1" x14ac:dyDescent="0.3">
      <c r="A15" s="611" t="s">
        <v>542</v>
      </c>
      <c r="B15" s="612" t="s">
        <v>1149</v>
      </c>
      <c r="C15" s="612" t="s">
        <v>770</v>
      </c>
      <c r="D15" s="612" t="s">
        <v>771</v>
      </c>
      <c r="E15" s="612" t="s">
        <v>1150</v>
      </c>
      <c r="F15" s="615"/>
      <c r="G15" s="615"/>
      <c r="H15" s="628">
        <v>0</v>
      </c>
      <c r="I15" s="615">
        <v>2</v>
      </c>
      <c r="J15" s="615">
        <v>352.28000000000003</v>
      </c>
      <c r="K15" s="628">
        <v>1</v>
      </c>
      <c r="L15" s="615">
        <v>2</v>
      </c>
      <c r="M15" s="616">
        <v>352.28000000000003</v>
      </c>
    </row>
    <row r="16" spans="1:13" ht="14.4" customHeight="1" x14ac:dyDescent="0.3">
      <c r="A16" s="611" t="s">
        <v>545</v>
      </c>
      <c r="B16" s="612" t="s">
        <v>1151</v>
      </c>
      <c r="C16" s="612" t="s">
        <v>998</v>
      </c>
      <c r="D16" s="612" t="s">
        <v>1152</v>
      </c>
      <c r="E16" s="612" t="s">
        <v>1153</v>
      </c>
      <c r="F16" s="615"/>
      <c r="G16" s="615"/>
      <c r="H16" s="628">
        <v>0</v>
      </c>
      <c r="I16" s="615">
        <v>1</v>
      </c>
      <c r="J16" s="615">
        <v>68.28</v>
      </c>
      <c r="K16" s="628">
        <v>1</v>
      </c>
      <c r="L16" s="615">
        <v>1</v>
      </c>
      <c r="M16" s="616">
        <v>68.28</v>
      </c>
    </row>
    <row r="17" spans="1:13" ht="14.4" customHeight="1" x14ac:dyDescent="0.3">
      <c r="A17" s="611" t="s">
        <v>545</v>
      </c>
      <c r="B17" s="612" t="s">
        <v>1154</v>
      </c>
      <c r="C17" s="612" t="s">
        <v>793</v>
      </c>
      <c r="D17" s="612" t="s">
        <v>1155</v>
      </c>
      <c r="E17" s="612" t="s">
        <v>1156</v>
      </c>
      <c r="F17" s="615">
        <v>13</v>
      </c>
      <c r="G17" s="615">
        <v>943.03700000000026</v>
      </c>
      <c r="H17" s="628">
        <v>1</v>
      </c>
      <c r="I17" s="615"/>
      <c r="J17" s="615"/>
      <c r="K17" s="628">
        <v>0</v>
      </c>
      <c r="L17" s="615">
        <v>13</v>
      </c>
      <c r="M17" s="616">
        <v>943.03700000000026</v>
      </c>
    </row>
    <row r="18" spans="1:13" ht="14.4" customHeight="1" x14ac:dyDescent="0.3">
      <c r="A18" s="611" t="s">
        <v>545</v>
      </c>
      <c r="B18" s="612" t="s">
        <v>1136</v>
      </c>
      <c r="C18" s="612" t="s">
        <v>689</v>
      </c>
      <c r="D18" s="612" t="s">
        <v>1137</v>
      </c>
      <c r="E18" s="612" t="s">
        <v>1138</v>
      </c>
      <c r="F18" s="615"/>
      <c r="G18" s="615"/>
      <c r="H18" s="628">
        <v>0</v>
      </c>
      <c r="I18" s="615">
        <v>30</v>
      </c>
      <c r="J18" s="615">
        <v>4074.58</v>
      </c>
      <c r="K18" s="628">
        <v>1</v>
      </c>
      <c r="L18" s="615">
        <v>30</v>
      </c>
      <c r="M18" s="616">
        <v>4074.58</v>
      </c>
    </row>
    <row r="19" spans="1:13" ht="14.4" customHeight="1" x14ac:dyDescent="0.3">
      <c r="A19" s="611" t="s">
        <v>545</v>
      </c>
      <c r="B19" s="612" t="s">
        <v>1142</v>
      </c>
      <c r="C19" s="612" t="s">
        <v>777</v>
      </c>
      <c r="D19" s="612" t="s">
        <v>778</v>
      </c>
      <c r="E19" s="612" t="s">
        <v>1143</v>
      </c>
      <c r="F19" s="615"/>
      <c r="G19" s="615"/>
      <c r="H19" s="628">
        <v>0</v>
      </c>
      <c r="I19" s="615">
        <v>5.2</v>
      </c>
      <c r="J19" s="615">
        <v>438.20608966049525</v>
      </c>
      <c r="K19" s="628">
        <v>1</v>
      </c>
      <c r="L19" s="615">
        <v>5.2</v>
      </c>
      <c r="M19" s="616">
        <v>438.20608966049525</v>
      </c>
    </row>
    <row r="20" spans="1:13" ht="14.4" customHeight="1" x14ac:dyDescent="0.3">
      <c r="A20" s="611" t="s">
        <v>545</v>
      </c>
      <c r="B20" s="612" t="s">
        <v>1157</v>
      </c>
      <c r="C20" s="612" t="s">
        <v>1088</v>
      </c>
      <c r="D20" s="612" t="s">
        <v>1089</v>
      </c>
      <c r="E20" s="612" t="s">
        <v>1090</v>
      </c>
      <c r="F20" s="615"/>
      <c r="G20" s="615"/>
      <c r="H20" s="628">
        <v>0</v>
      </c>
      <c r="I20" s="615">
        <v>1.5</v>
      </c>
      <c r="J20" s="615">
        <v>693</v>
      </c>
      <c r="K20" s="628">
        <v>1</v>
      </c>
      <c r="L20" s="615">
        <v>1.5</v>
      </c>
      <c r="M20" s="616">
        <v>693</v>
      </c>
    </row>
    <row r="21" spans="1:13" ht="14.4" customHeight="1" x14ac:dyDescent="0.3">
      <c r="A21" s="611" t="s">
        <v>545</v>
      </c>
      <c r="B21" s="612" t="s">
        <v>1158</v>
      </c>
      <c r="C21" s="612" t="s">
        <v>1085</v>
      </c>
      <c r="D21" s="612" t="s">
        <v>1159</v>
      </c>
      <c r="E21" s="612" t="s">
        <v>1160</v>
      </c>
      <c r="F21" s="615"/>
      <c r="G21" s="615"/>
      <c r="H21" s="628">
        <v>0</v>
      </c>
      <c r="I21" s="615">
        <v>2</v>
      </c>
      <c r="J21" s="615">
        <v>528</v>
      </c>
      <c r="K21" s="628">
        <v>1</v>
      </c>
      <c r="L21" s="615">
        <v>2</v>
      </c>
      <c r="M21" s="616">
        <v>528</v>
      </c>
    </row>
    <row r="22" spans="1:13" ht="14.4" customHeight="1" x14ac:dyDescent="0.3">
      <c r="A22" s="611" t="s">
        <v>545</v>
      </c>
      <c r="B22" s="612" t="s">
        <v>1161</v>
      </c>
      <c r="C22" s="612" t="s">
        <v>1082</v>
      </c>
      <c r="D22" s="612" t="s">
        <v>1083</v>
      </c>
      <c r="E22" s="612" t="s">
        <v>1084</v>
      </c>
      <c r="F22" s="615"/>
      <c r="G22" s="615"/>
      <c r="H22" s="628">
        <v>0</v>
      </c>
      <c r="I22" s="615">
        <v>1</v>
      </c>
      <c r="J22" s="615">
        <v>1789.3</v>
      </c>
      <c r="K22" s="628">
        <v>1</v>
      </c>
      <c r="L22" s="615">
        <v>1</v>
      </c>
      <c r="M22" s="616">
        <v>1789.3</v>
      </c>
    </row>
    <row r="23" spans="1:13" ht="14.4" customHeight="1" x14ac:dyDescent="0.3">
      <c r="A23" s="611" t="s">
        <v>545</v>
      </c>
      <c r="B23" s="612" t="s">
        <v>1145</v>
      </c>
      <c r="C23" s="612" t="s">
        <v>781</v>
      </c>
      <c r="D23" s="612" t="s">
        <v>782</v>
      </c>
      <c r="E23" s="612" t="s">
        <v>1146</v>
      </c>
      <c r="F23" s="615"/>
      <c r="G23" s="615"/>
      <c r="H23" s="628">
        <v>0</v>
      </c>
      <c r="I23" s="615">
        <v>5</v>
      </c>
      <c r="J23" s="615">
        <v>3860.4</v>
      </c>
      <c r="K23" s="628">
        <v>1</v>
      </c>
      <c r="L23" s="615">
        <v>5</v>
      </c>
      <c r="M23" s="616">
        <v>3860.4</v>
      </c>
    </row>
    <row r="24" spans="1:13" ht="14.4" customHeight="1" x14ac:dyDescent="0.3">
      <c r="A24" s="611" t="s">
        <v>545</v>
      </c>
      <c r="B24" s="612" t="s">
        <v>1147</v>
      </c>
      <c r="C24" s="612" t="s">
        <v>787</v>
      </c>
      <c r="D24" s="612" t="s">
        <v>788</v>
      </c>
      <c r="E24" s="612" t="s">
        <v>789</v>
      </c>
      <c r="F24" s="615"/>
      <c r="G24" s="615"/>
      <c r="H24" s="628">
        <v>0</v>
      </c>
      <c r="I24" s="615">
        <v>40</v>
      </c>
      <c r="J24" s="615">
        <v>6786.4979999999996</v>
      </c>
      <c r="K24" s="628">
        <v>1</v>
      </c>
      <c r="L24" s="615">
        <v>40</v>
      </c>
      <c r="M24" s="616">
        <v>6786.4979999999996</v>
      </c>
    </row>
    <row r="25" spans="1:13" ht="14.4" customHeight="1" x14ac:dyDescent="0.3">
      <c r="A25" s="611" t="s">
        <v>545</v>
      </c>
      <c r="B25" s="612" t="s">
        <v>1139</v>
      </c>
      <c r="C25" s="612" t="s">
        <v>693</v>
      </c>
      <c r="D25" s="612" t="s">
        <v>1140</v>
      </c>
      <c r="E25" s="612" t="s">
        <v>1141</v>
      </c>
      <c r="F25" s="615"/>
      <c r="G25" s="615"/>
      <c r="H25" s="628">
        <v>0</v>
      </c>
      <c r="I25" s="615">
        <v>22</v>
      </c>
      <c r="J25" s="615">
        <v>1320.5056280958581</v>
      </c>
      <c r="K25" s="628">
        <v>1</v>
      </c>
      <c r="L25" s="615">
        <v>22</v>
      </c>
      <c r="M25" s="616">
        <v>1320.5056280958581</v>
      </c>
    </row>
    <row r="26" spans="1:13" ht="14.4" customHeight="1" x14ac:dyDescent="0.3">
      <c r="A26" s="611" t="s">
        <v>545</v>
      </c>
      <c r="B26" s="612" t="s">
        <v>1162</v>
      </c>
      <c r="C26" s="612" t="s">
        <v>1058</v>
      </c>
      <c r="D26" s="612" t="s">
        <v>1163</v>
      </c>
      <c r="E26" s="612" t="s">
        <v>1164</v>
      </c>
      <c r="F26" s="615">
        <v>10</v>
      </c>
      <c r="G26" s="615">
        <v>714.59999999999991</v>
      </c>
      <c r="H26" s="628">
        <v>1</v>
      </c>
      <c r="I26" s="615"/>
      <c r="J26" s="615"/>
      <c r="K26" s="628">
        <v>0</v>
      </c>
      <c r="L26" s="615">
        <v>10</v>
      </c>
      <c r="M26" s="616">
        <v>714.59999999999991</v>
      </c>
    </row>
    <row r="27" spans="1:13" ht="14.4" customHeight="1" x14ac:dyDescent="0.3">
      <c r="A27" s="611" t="s">
        <v>545</v>
      </c>
      <c r="B27" s="612" t="s">
        <v>1148</v>
      </c>
      <c r="C27" s="612" t="s">
        <v>790</v>
      </c>
      <c r="D27" s="612" t="s">
        <v>791</v>
      </c>
      <c r="E27" s="612" t="s">
        <v>789</v>
      </c>
      <c r="F27" s="615"/>
      <c r="G27" s="615"/>
      <c r="H27" s="628">
        <v>0</v>
      </c>
      <c r="I27" s="615">
        <v>10</v>
      </c>
      <c r="J27" s="615">
        <v>346.60999999999996</v>
      </c>
      <c r="K27" s="628">
        <v>1</v>
      </c>
      <c r="L27" s="615">
        <v>10</v>
      </c>
      <c r="M27" s="616">
        <v>346.60999999999996</v>
      </c>
    </row>
    <row r="28" spans="1:13" ht="14.4" customHeight="1" x14ac:dyDescent="0.3">
      <c r="A28" s="611" t="s">
        <v>545</v>
      </c>
      <c r="B28" s="612" t="s">
        <v>1165</v>
      </c>
      <c r="C28" s="612" t="s">
        <v>774</v>
      </c>
      <c r="D28" s="612" t="s">
        <v>1166</v>
      </c>
      <c r="E28" s="612" t="s">
        <v>1167</v>
      </c>
      <c r="F28" s="615"/>
      <c r="G28" s="615"/>
      <c r="H28" s="628">
        <v>0</v>
      </c>
      <c r="I28" s="615">
        <v>20</v>
      </c>
      <c r="J28" s="615">
        <v>8982.007585917996</v>
      </c>
      <c r="K28" s="628">
        <v>1</v>
      </c>
      <c r="L28" s="615">
        <v>20</v>
      </c>
      <c r="M28" s="616">
        <v>8982.007585917996</v>
      </c>
    </row>
    <row r="29" spans="1:13" ht="14.4" customHeight="1" x14ac:dyDescent="0.3">
      <c r="A29" s="611" t="s">
        <v>545</v>
      </c>
      <c r="B29" s="612" t="s">
        <v>1168</v>
      </c>
      <c r="C29" s="612" t="s">
        <v>1098</v>
      </c>
      <c r="D29" s="612" t="s">
        <v>1099</v>
      </c>
      <c r="E29" s="612" t="s">
        <v>1100</v>
      </c>
      <c r="F29" s="615">
        <v>1</v>
      </c>
      <c r="G29" s="615">
        <v>159.5</v>
      </c>
      <c r="H29" s="628">
        <v>0.43478260869565227</v>
      </c>
      <c r="I29" s="615">
        <v>1.2999999999999994</v>
      </c>
      <c r="J29" s="615">
        <v>207.34999999999991</v>
      </c>
      <c r="K29" s="628">
        <v>0.56521739130434767</v>
      </c>
      <c r="L29" s="615">
        <v>2.2999999999999994</v>
      </c>
      <c r="M29" s="616">
        <v>366.84999999999991</v>
      </c>
    </row>
    <row r="30" spans="1:13" ht="14.4" customHeight="1" x14ac:dyDescent="0.3">
      <c r="A30" s="611" t="s">
        <v>545</v>
      </c>
      <c r="B30" s="612" t="s">
        <v>1168</v>
      </c>
      <c r="C30" s="612" t="s">
        <v>1092</v>
      </c>
      <c r="D30" s="612" t="s">
        <v>1169</v>
      </c>
      <c r="E30" s="612" t="s">
        <v>1170</v>
      </c>
      <c r="F30" s="615">
        <v>25</v>
      </c>
      <c r="G30" s="615">
        <v>754.88405407940718</v>
      </c>
      <c r="H30" s="628">
        <v>1</v>
      </c>
      <c r="I30" s="615"/>
      <c r="J30" s="615"/>
      <c r="K30" s="628">
        <v>0</v>
      </c>
      <c r="L30" s="615">
        <v>25</v>
      </c>
      <c r="M30" s="616">
        <v>754.88405407940718</v>
      </c>
    </row>
    <row r="31" spans="1:13" ht="14.4" customHeight="1" x14ac:dyDescent="0.3">
      <c r="A31" s="611" t="s">
        <v>545</v>
      </c>
      <c r="B31" s="612" t="s">
        <v>1171</v>
      </c>
      <c r="C31" s="612" t="s">
        <v>1010</v>
      </c>
      <c r="D31" s="612" t="s">
        <v>1011</v>
      </c>
      <c r="E31" s="612" t="s">
        <v>1012</v>
      </c>
      <c r="F31" s="615"/>
      <c r="G31" s="615"/>
      <c r="H31" s="628">
        <v>0</v>
      </c>
      <c r="I31" s="615">
        <v>2</v>
      </c>
      <c r="J31" s="615">
        <v>262.71000000000004</v>
      </c>
      <c r="K31" s="628">
        <v>1</v>
      </c>
      <c r="L31" s="615">
        <v>2</v>
      </c>
      <c r="M31" s="616">
        <v>262.71000000000004</v>
      </c>
    </row>
    <row r="32" spans="1:13" ht="14.4" customHeight="1" x14ac:dyDescent="0.3">
      <c r="A32" s="611" t="s">
        <v>545</v>
      </c>
      <c r="B32" s="612" t="s">
        <v>1172</v>
      </c>
      <c r="C32" s="612" t="s">
        <v>1006</v>
      </c>
      <c r="D32" s="612" t="s">
        <v>1173</v>
      </c>
      <c r="E32" s="612" t="s">
        <v>1008</v>
      </c>
      <c r="F32" s="615"/>
      <c r="G32" s="615"/>
      <c r="H32" s="628">
        <v>0</v>
      </c>
      <c r="I32" s="615">
        <v>80</v>
      </c>
      <c r="J32" s="615">
        <v>6711.1924745458628</v>
      </c>
      <c r="K32" s="628">
        <v>1</v>
      </c>
      <c r="L32" s="615">
        <v>80</v>
      </c>
      <c r="M32" s="616">
        <v>6711.1924745458628</v>
      </c>
    </row>
    <row r="33" spans="1:13" ht="14.4" customHeight="1" x14ac:dyDescent="0.3">
      <c r="A33" s="611" t="s">
        <v>545</v>
      </c>
      <c r="B33" s="612" t="s">
        <v>1174</v>
      </c>
      <c r="C33" s="612" t="s">
        <v>994</v>
      </c>
      <c r="D33" s="612" t="s">
        <v>995</v>
      </c>
      <c r="E33" s="612" t="s">
        <v>996</v>
      </c>
      <c r="F33" s="615"/>
      <c r="G33" s="615"/>
      <c r="H33" s="628">
        <v>0</v>
      </c>
      <c r="I33" s="615">
        <v>2</v>
      </c>
      <c r="J33" s="615">
        <v>112.41999608434247</v>
      </c>
      <c r="K33" s="628">
        <v>1</v>
      </c>
      <c r="L33" s="615">
        <v>2</v>
      </c>
      <c r="M33" s="616">
        <v>112.41999608434247</v>
      </c>
    </row>
    <row r="34" spans="1:13" ht="14.4" customHeight="1" x14ac:dyDescent="0.3">
      <c r="A34" s="611" t="s">
        <v>545</v>
      </c>
      <c r="B34" s="612" t="s">
        <v>1175</v>
      </c>
      <c r="C34" s="612" t="s">
        <v>990</v>
      </c>
      <c r="D34" s="612" t="s">
        <v>991</v>
      </c>
      <c r="E34" s="612" t="s">
        <v>992</v>
      </c>
      <c r="F34" s="615"/>
      <c r="G34" s="615"/>
      <c r="H34" s="628">
        <v>0</v>
      </c>
      <c r="I34" s="615">
        <v>24</v>
      </c>
      <c r="J34" s="615">
        <v>3318.0002980052509</v>
      </c>
      <c r="K34" s="628">
        <v>1</v>
      </c>
      <c r="L34" s="615">
        <v>24</v>
      </c>
      <c r="M34" s="616">
        <v>3318.0002980052509</v>
      </c>
    </row>
    <row r="35" spans="1:13" ht="14.4" customHeight="1" x14ac:dyDescent="0.3">
      <c r="A35" s="611" t="s">
        <v>545</v>
      </c>
      <c r="B35" s="612" t="s">
        <v>1175</v>
      </c>
      <c r="C35" s="612" t="s">
        <v>796</v>
      </c>
      <c r="D35" s="612" t="s">
        <v>1176</v>
      </c>
      <c r="E35" s="612" t="s">
        <v>992</v>
      </c>
      <c r="F35" s="615">
        <v>2</v>
      </c>
      <c r="G35" s="615">
        <v>216.54</v>
      </c>
      <c r="H35" s="628">
        <v>1</v>
      </c>
      <c r="I35" s="615"/>
      <c r="J35" s="615"/>
      <c r="K35" s="628">
        <v>0</v>
      </c>
      <c r="L35" s="615">
        <v>2</v>
      </c>
      <c r="M35" s="616">
        <v>216.54</v>
      </c>
    </row>
    <row r="36" spans="1:13" ht="14.4" customHeight="1" x14ac:dyDescent="0.3">
      <c r="A36" s="611" t="s">
        <v>545</v>
      </c>
      <c r="B36" s="612" t="s">
        <v>1177</v>
      </c>
      <c r="C36" s="612" t="s">
        <v>1002</v>
      </c>
      <c r="D36" s="612" t="s">
        <v>1003</v>
      </c>
      <c r="E36" s="612" t="s">
        <v>1178</v>
      </c>
      <c r="F36" s="615"/>
      <c r="G36" s="615"/>
      <c r="H36" s="628">
        <v>0</v>
      </c>
      <c r="I36" s="615">
        <v>5</v>
      </c>
      <c r="J36" s="615">
        <v>238.89969727014375</v>
      </c>
      <c r="K36" s="628">
        <v>1</v>
      </c>
      <c r="L36" s="615">
        <v>5</v>
      </c>
      <c r="M36" s="616">
        <v>238.89969727014375</v>
      </c>
    </row>
    <row r="37" spans="1:13" ht="14.4" customHeight="1" x14ac:dyDescent="0.3">
      <c r="A37" s="611" t="s">
        <v>545</v>
      </c>
      <c r="B37" s="612" t="s">
        <v>1149</v>
      </c>
      <c r="C37" s="612" t="s">
        <v>770</v>
      </c>
      <c r="D37" s="612" t="s">
        <v>771</v>
      </c>
      <c r="E37" s="612" t="s">
        <v>1150</v>
      </c>
      <c r="F37" s="615"/>
      <c r="G37" s="615"/>
      <c r="H37" s="628">
        <v>0</v>
      </c>
      <c r="I37" s="615">
        <v>1</v>
      </c>
      <c r="J37" s="615">
        <v>175.8</v>
      </c>
      <c r="K37" s="628">
        <v>1</v>
      </c>
      <c r="L37" s="615">
        <v>1</v>
      </c>
      <c r="M37" s="616">
        <v>175.8</v>
      </c>
    </row>
    <row r="38" spans="1:13" ht="14.4" customHeight="1" x14ac:dyDescent="0.3">
      <c r="A38" s="611" t="s">
        <v>545</v>
      </c>
      <c r="B38" s="612" t="s">
        <v>1179</v>
      </c>
      <c r="C38" s="612" t="s">
        <v>1015</v>
      </c>
      <c r="D38" s="612" t="s">
        <v>1180</v>
      </c>
      <c r="E38" s="612" t="s">
        <v>1181</v>
      </c>
      <c r="F38" s="615">
        <v>2</v>
      </c>
      <c r="G38" s="615">
        <v>377.09999999999991</v>
      </c>
      <c r="H38" s="628">
        <v>1</v>
      </c>
      <c r="I38" s="615"/>
      <c r="J38" s="615"/>
      <c r="K38" s="628">
        <v>0</v>
      </c>
      <c r="L38" s="615">
        <v>2</v>
      </c>
      <c r="M38" s="616">
        <v>377.09999999999991</v>
      </c>
    </row>
    <row r="39" spans="1:13" ht="14.4" customHeight="1" x14ac:dyDescent="0.3">
      <c r="A39" s="611" t="s">
        <v>545</v>
      </c>
      <c r="B39" s="612" t="s">
        <v>1179</v>
      </c>
      <c r="C39" s="612" t="s">
        <v>1051</v>
      </c>
      <c r="D39" s="612" t="s">
        <v>1052</v>
      </c>
      <c r="E39" s="612" t="s">
        <v>1053</v>
      </c>
      <c r="F39" s="615"/>
      <c r="G39" s="615"/>
      <c r="H39" s="628">
        <v>0</v>
      </c>
      <c r="I39" s="615">
        <v>1</v>
      </c>
      <c r="J39" s="615">
        <v>200.24</v>
      </c>
      <c r="K39" s="628">
        <v>1</v>
      </c>
      <c r="L39" s="615">
        <v>1</v>
      </c>
      <c r="M39" s="616">
        <v>200.24</v>
      </c>
    </row>
    <row r="40" spans="1:13" ht="14.4" customHeight="1" x14ac:dyDescent="0.3">
      <c r="A40" s="611" t="s">
        <v>545</v>
      </c>
      <c r="B40" s="612" t="s">
        <v>1179</v>
      </c>
      <c r="C40" s="612" t="s">
        <v>1018</v>
      </c>
      <c r="D40" s="612" t="s">
        <v>1019</v>
      </c>
      <c r="E40" s="612" t="s">
        <v>1020</v>
      </c>
      <c r="F40" s="615">
        <v>2</v>
      </c>
      <c r="G40" s="615">
        <v>699.52000263189473</v>
      </c>
      <c r="H40" s="628">
        <v>1</v>
      </c>
      <c r="I40" s="615"/>
      <c r="J40" s="615"/>
      <c r="K40" s="628">
        <v>0</v>
      </c>
      <c r="L40" s="615">
        <v>2</v>
      </c>
      <c r="M40" s="616">
        <v>699.52000263189473</v>
      </c>
    </row>
    <row r="41" spans="1:13" ht="14.4" customHeight="1" thickBot="1" x14ac:dyDescent="0.35">
      <c r="A41" s="617" t="s">
        <v>545</v>
      </c>
      <c r="B41" s="618" t="s">
        <v>1179</v>
      </c>
      <c r="C41" s="618" t="s">
        <v>1054</v>
      </c>
      <c r="D41" s="618" t="s">
        <v>1055</v>
      </c>
      <c r="E41" s="618" t="s">
        <v>1056</v>
      </c>
      <c r="F41" s="621"/>
      <c r="G41" s="621"/>
      <c r="H41" s="629">
        <v>0</v>
      </c>
      <c r="I41" s="621">
        <v>3</v>
      </c>
      <c r="J41" s="621">
        <v>3906.5961780147627</v>
      </c>
      <c r="K41" s="629">
        <v>1</v>
      </c>
      <c r="L41" s="621">
        <v>3</v>
      </c>
      <c r="M41" s="622">
        <v>3906.5961780147627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4" customWidth="1"/>
    <col min="2" max="2" width="5.44140625" style="319" bestFit="1" customWidth="1"/>
    <col min="3" max="3" width="6.109375" style="319" bestFit="1" customWidth="1"/>
    <col min="4" max="4" width="7.44140625" style="319" bestFit="1" customWidth="1"/>
    <col min="5" max="5" width="6.21875" style="319" bestFit="1" customWidth="1"/>
    <col min="6" max="6" width="6.33203125" style="322" bestFit="1" customWidth="1"/>
    <col min="7" max="7" width="6.109375" style="322" bestFit="1" customWidth="1"/>
    <col min="8" max="8" width="7.44140625" style="322" bestFit="1" customWidth="1"/>
    <col min="9" max="9" width="6.21875" style="322" bestFit="1" customWidth="1"/>
    <col min="10" max="10" width="5.44140625" style="319" bestFit="1" customWidth="1"/>
    <col min="11" max="11" width="6.109375" style="319" bestFit="1" customWidth="1"/>
    <col min="12" max="12" width="7.44140625" style="319" bestFit="1" customWidth="1"/>
    <col min="13" max="13" width="6.21875" style="319" bestFit="1" customWidth="1"/>
    <col min="14" max="14" width="5.33203125" style="322" bestFit="1" customWidth="1"/>
    <col min="15" max="15" width="6.109375" style="322" bestFit="1" customWidth="1"/>
    <col min="16" max="16" width="7.44140625" style="322" bestFit="1" customWidth="1"/>
    <col min="17" max="17" width="6.21875" style="322" bestFit="1" customWidth="1"/>
    <col min="18" max="16384" width="8.88671875" style="238"/>
  </cols>
  <sheetData>
    <row r="1" spans="1:17" ht="18.600000000000001" customHeight="1" thickBot="1" x14ac:dyDescent="0.4">
      <c r="A1" s="490" t="s">
        <v>272</v>
      </c>
      <c r="B1" s="490"/>
      <c r="C1" s="490"/>
      <c r="D1" s="490"/>
      <c r="E1" s="490"/>
      <c r="F1" s="453"/>
      <c r="G1" s="453"/>
      <c r="H1" s="453"/>
      <c r="I1" s="453"/>
      <c r="J1" s="483"/>
      <c r="K1" s="483"/>
      <c r="L1" s="483"/>
      <c r="M1" s="483"/>
      <c r="N1" s="483"/>
      <c r="O1" s="483"/>
      <c r="P1" s="483"/>
      <c r="Q1" s="483"/>
    </row>
    <row r="2" spans="1:17" ht="14.4" customHeight="1" thickBot="1" x14ac:dyDescent="0.35">
      <c r="A2" s="361" t="s">
        <v>306</v>
      </c>
      <c r="B2" s="326"/>
      <c r="C2" s="326"/>
      <c r="D2" s="326"/>
      <c r="E2" s="326"/>
    </row>
    <row r="3" spans="1:17" ht="14.4" customHeight="1" thickBot="1" x14ac:dyDescent="0.35">
      <c r="A3" s="433" t="s">
        <v>3</v>
      </c>
      <c r="B3" s="437">
        <f>SUM(B6:B1048576)</f>
        <v>1361</v>
      </c>
      <c r="C3" s="438">
        <f>SUM(C6:C1048576)</f>
        <v>152</v>
      </c>
      <c r="D3" s="438">
        <f>SUM(D6:D1048576)</f>
        <v>56</v>
      </c>
      <c r="E3" s="439">
        <f>SUM(E6:E1048576)</f>
        <v>0</v>
      </c>
      <c r="F3" s="436">
        <f>IF(SUM($B3:$E3)=0,"",B3/SUM($B3:$E3))</f>
        <v>0.86743148502230716</v>
      </c>
      <c r="G3" s="434">
        <f t="shared" ref="G3:I3" si="0">IF(SUM($B3:$E3)=0,"",C3/SUM($B3:$E3))</f>
        <v>9.6876991714467814E-2</v>
      </c>
      <c r="H3" s="434">
        <f t="shared" si="0"/>
        <v>3.5691523263224986E-2</v>
      </c>
      <c r="I3" s="435">
        <f t="shared" si="0"/>
        <v>0</v>
      </c>
      <c r="J3" s="438">
        <f>SUM(J6:J1048576)</f>
        <v>202</v>
      </c>
      <c r="K3" s="438">
        <f>SUM(K6:K1048576)</f>
        <v>93</v>
      </c>
      <c r="L3" s="438">
        <f>SUM(L6:L1048576)</f>
        <v>56</v>
      </c>
      <c r="M3" s="439">
        <f>SUM(M6:M1048576)</f>
        <v>0</v>
      </c>
      <c r="N3" s="436">
        <f>IF(SUM($J3:$M3)=0,"",J3/SUM($J3:$M3))</f>
        <v>0.57549857549857553</v>
      </c>
      <c r="O3" s="434">
        <f t="shared" ref="O3:Q3" si="1">IF(SUM($J3:$M3)=0,"",K3/SUM($J3:$M3))</f>
        <v>0.26495726495726496</v>
      </c>
      <c r="P3" s="434">
        <f t="shared" si="1"/>
        <v>0.15954415954415954</v>
      </c>
      <c r="Q3" s="435">
        <f t="shared" si="1"/>
        <v>0</v>
      </c>
    </row>
    <row r="4" spans="1:17" ht="14.4" customHeight="1" thickBot="1" x14ac:dyDescent="0.35">
      <c r="A4" s="432"/>
      <c r="B4" s="503" t="s">
        <v>274</v>
      </c>
      <c r="C4" s="504"/>
      <c r="D4" s="504"/>
      <c r="E4" s="505"/>
      <c r="F4" s="500" t="s">
        <v>279</v>
      </c>
      <c r="G4" s="501"/>
      <c r="H4" s="501"/>
      <c r="I4" s="502"/>
      <c r="J4" s="503" t="s">
        <v>280</v>
      </c>
      <c r="K4" s="504"/>
      <c r="L4" s="504"/>
      <c r="M4" s="505"/>
      <c r="N4" s="500" t="s">
        <v>281</v>
      </c>
      <c r="O4" s="501"/>
      <c r="P4" s="501"/>
      <c r="Q4" s="502"/>
    </row>
    <row r="5" spans="1:17" ht="14.4" customHeight="1" thickBot="1" x14ac:dyDescent="0.35">
      <c r="A5" s="644" t="s">
        <v>273</v>
      </c>
      <c r="B5" s="645" t="s">
        <v>275</v>
      </c>
      <c r="C5" s="645" t="s">
        <v>276</v>
      </c>
      <c r="D5" s="645" t="s">
        <v>277</v>
      </c>
      <c r="E5" s="646" t="s">
        <v>278</v>
      </c>
      <c r="F5" s="647" t="s">
        <v>275</v>
      </c>
      <c r="G5" s="648" t="s">
        <v>276</v>
      </c>
      <c r="H5" s="648" t="s">
        <v>277</v>
      </c>
      <c r="I5" s="649" t="s">
        <v>278</v>
      </c>
      <c r="J5" s="645" t="s">
        <v>275</v>
      </c>
      <c r="K5" s="645" t="s">
        <v>276</v>
      </c>
      <c r="L5" s="645" t="s">
        <v>277</v>
      </c>
      <c r="M5" s="646" t="s">
        <v>278</v>
      </c>
      <c r="N5" s="647" t="s">
        <v>275</v>
      </c>
      <c r="O5" s="648" t="s">
        <v>276</v>
      </c>
      <c r="P5" s="648" t="s">
        <v>277</v>
      </c>
      <c r="Q5" s="649" t="s">
        <v>278</v>
      </c>
    </row>
    <row r="6" spans="1:17" ht="14.4" customHeight="1" x14ac:dyDescent="0.3">
      <c r="A6" s="653" t="s">
        <v>1183</v>
      </c>
      <c r="B6" s="659"/>
      <c r="C6" s="609"/>
      <c r="D6" s="609"/>
      <c r="E6" s="610"/>
      <c r="F6" s="656"/>
      <c r="G6" s="627"/>
      <c r="H6" s="627"/>
      <c r="I6" s="662"/>
      <c r="J6" s="659"/>
      <c r="K6" s="609"/>
      <c r="L6" s="609"/>
      <c r="M6" s="610"/>
      <c r="N6" s="656"/>
      <c r="O6" s="627"/>
      <c r="P6" s="627"/>
      <c r="Q6" s="650"/>
    </row>
    <row r="7" spans="1:17" ht="14.4" customHeight="1" x14ac:dyDescent="0.3">
      <c r="A7" s="654" t="s">
        <v>1184</v>
      </c>
      <c r="B7" s="660">
        <v>266</v>
      </c>
      <c r="C7" s="615">
        <v>20</v>
      </c>
      <c r="D7" s="615">
        <v>2</v>
      </c>
      <c r="E7" s="616"/>
      <c r="F7" s="657">
        <v>0.92361111111111116</v>
      </c>
      <c r="G7" s="628">
        <v>6.9444444444444448E-2</v>
      </c>
      <c r="H7" s="628">
        <v>6.9444444444444441E-3</v>
      </c>
      <c r="I7" s="663">
        <v>0</v>
      </c>
      <c r="J7" s="660">
        <v>65</v>
      </c>
      <c r="K7" s="615">
        <v>14</v>
      </c>
      <c r="L7" s="615">
        <v>2</v>
      </c>
      <c r="M7" s="616"/>
      <c r="N7" s="657">
        <v>0.80246913580246915</v>
      </c>
      <c r="O7" s="628">
        <v>0.1728395061728395</v>
      </c>
      <c r="P7" s="628">
        <v>2.4691358024691357E-2</v>
      </c>
      <c r="Q7" s="651">
        <v>0</v>
      </c>
    </row>
    <row r="8" spans="1:17" ht="14.4" customHeight="1" x14ac:dyDescent="0.3">
      <c r="A8" s="654" t="s">
        <v>1185</v>
      </c>
      <c r="B8" s="660">
        <v>242</v>
      </c>
      <c r="C8" s="615">
        <v>68</v>
      </c>
      <c r="D8" s="615">
        <v>6</v>
      </c>
      <c r="E8" s="616"/>
      <c r="F8" s="657">
        <v>0.76582278481012656</v>
      </c>
      <c r="G8" s="628">
        <v>0.21518987341772153</v>
      </c>
      <c r="H8" s="628">
        <v>1.8987341772151899E-2</v>
      </c>
      <c r="I8" s="663">
        <v>0</v>
      </c>
      <c r="J8" s="660">
        <v>58</v>
      </c>
      <c r="K8" s="615">
        <v>38</v>
      </c>
      <c r="L8" s="615">
        <v>6</v>
      </c>
      <c r="M8" s="616"/>
      <c r="N8" s="657">
        <v>0.56862745098039214</v>
      </c>
      <c r="O8" s="628">
        <v>0.37254901960784315</v>
      </c>
      <c r="P8" s="628">
        <v>5.8823529411764705E-2</v>
      </c>
      <c r="Q8" s="651">
        <v>0</v>
      </c>
    </row>
    <row r="9" spans="1:17" ht="14.4" customHeight="1" thickBot="1" x14ac:dyDescent="0.35">
      <c r="A9" s="655" t="s">
        <v>1186</v>
      </c>
      <c r="B9" s="661">
        <v>853</v>
      </c>
      <c r="C9" s="621">
        <v>64</v>
      </c>
      <c r="D9" s="621">
        <v>48</v>
      </c>
      <c r="E9" s="622"/>
      <c r="F9" s="658">
        <v>0.88393782383419695</v>
      </c>
      <c r="G9" s="629">
        <v>6.6321243523316059E-2</v>
      </c>
      <c r="H9" s="629">
        <v>4.9740932642487044E-2</v>
      </c>
      <c r="I9" s="664">
        <v>0</v>
      </c>
      <c r="J9" s="661">
        <v>79</v>
      </c>
      <c r="K9" s="621">
        <v>41</v>
      </c>
      <c r="L9" s="621">
        <v>48</v>
      </c>
      <c r="M9" s="622"/>
      <c r="N9" s="658">
        <v>0.47023809523809523</v>
      </c>
      <c r="O9" s="629">
        <v>0.24404761904761904</v>
      </c>
      <c r="P9" s="629">
        <v>0.2857142857142857</v>
      </c>
      <c r="Q9" s="6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159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531</v>
      </c>
      <c r="B5" s="596" t="s">
        <v>532</v>
      </c>
      <c r="C5" s="597" t="s">
        <v>533</v>
      </c>
      <c r="D5" s="597" t="s">
        <v>533</v>
      </c>
      <c r="E5" s="597"/>
      <c r="F5" s="597" t="s">
        <v>533</v>
      </c>
      <c r="G5" s="597" t="s">
        <v>533</v>
      </c>
      <c r="H5" s="597" t="s">
        <v>533</v>
      </c>
      <c r="I5" s="598" t="s">
        <v>533</v>
      </c>
      <c r="J5" s="599" t="s">
        <v>61</v>
      </c>
    </row>
    <row r="6" spans="1:10" ht="14.4" customHeight="1" x14ac:dyDescent="0.3">
      <c r="A6" s="595" t="s">
        <v>531</v>
      </c>
      <c r="B6" s="596" t="s">
        <v>325</v>
      </c>
      <c r="C6" s="597" t="s">
        <v>533</v>
      </c>
      <c r="D6" s="597">
        <v>0.495</v>
      </c>
      <c r="E6" s="597"/>
      <c r="F6" s="597">
        <v>0</v>
      </c>
      <c r="G6" s="597">
        <v>0.20624999350333334</v>
      </c>
      <c r="H6" s="597">
        <v>-0.20624999350333334</v>
      </c>
      <c r="I6" s="598">
        <v>0</v>
      </c>
      <c r="J6" s="599" t="s">
        <v>1</v>
      </c>
    </row>
    <row r="7" spans="1:10" ht="14.4" customHeight="1" x14ac:dyDescent="0.3">
      <c r="A7" s="595" t="s">
        <v>531</v>
      </c>
      <c r="B7" s="596" t="s">
        <v>327</v>
      </c>
      <c r="C7" s="597">
        <v>129.88685999999998</v>
      </c>
      <c r="D7" s="597">
        <v>165.51582000000002</v>
      </c>
      <c r="E7" s="597"/>
      <c r="F7" s="597">
        <v>127.73559</v>
      </c>
      <c r="G7" s="597">
        <v>169.16666133832626</v>
      </c>
      <c r="H7" s="597">
        <v>-41.431071338326262</v>
      </c>
      <c r="I7" s="598">
        <v>0.75508725531051391</v>
      </c>
      <c r="J7" s="599" t="s">
        <v>1</v>
      </c>
    </row>
    <row r="8" spans="1:10" ht="14.4" customHeight="1" x14ac:dyDescent="0.3">
      <c r="A8" s="595" t="s">
        <v>531</v>
      </c>
      <c r="B8" s="596" t="s">
        <v>328</v>
      </c>
      <c r="C8" s="597">
        <v>1.3068</v>
      </c>
      <c r="D8" s="597">
        <v>2.2533599999999998</v>
      </c>
      <c r="E8" s="597"/>
      <c r="F8" s="597">
        <v>0.8236</v>
      </c>
      <c r="G8" s="597">
        <v>2.0833332677133329</v>
      </c>
      <c r="H8" s="597">
        <v>-1.259733267713333</v>
      </c>
      <c r="I8" s="598">
        <v>0.3953280124518837</v>
      </c>
      <c r="J8" s="599" t="s">
        <v>1</v>
      </c>
    </row>
    <row r="9" spans="1:10" ht="14.4" customHeight="1" x14ac:dyDescent="0.3">
      <c r="A9" s="595" t="s">
        <v>531</v>
      </c>
      <c r="B9" s="596" t="s">
        <v>329</v>
      </c>
      <c r="C9" s="597">
        <v>65.668879999999007</v>
      </c>
      <c r="D9" s="597">
        <v>76.834840000000014</v>
      </c>
      <c r="E9" s="597"/>
      <c r="F9" s="597">
        <v>59.668759999999999</v>
      </c>
      <c r="G9" s="597">
        <v>68.333331180998755</v>
      </c>
      <c r="H9" s="597">
        <v>-8.664571180998756</v>
      </c>
      <c r="I9" s="598">
        <v>0.87320139335738856</v>
      </c>
      <c r="J9" s="599" t="s">
        <v>1</v>
      </c>
    </row>
    <row r="10" spans="1:10" ht="14.4" customHeight="1" x14ac:dyDescent="0.3">
      <c r="A10" s="595" t="s">
        <v>531</v>
      </c>
      <c r="B10" s="596" t="s">
        <v>330</v>
      </c>
      <c r="C10" s="597">
        <v>1114.268</v>
      </c>
      <c r="D10" s="597">
        <v>1038.7058700000009</v>
      </c>
      <c r="E10" s="597"/>
      <c r="F10" s="597">
        <v>1531.9808800000001</v>
      </c>
      <c r="G10" s="597">
        <v>1421.6666285152269</v>
      </c>
      <c r="H10" s="597">
        <v>110.31425148477319</v>
      </c>
      <c r="I10" s="598">
        <v>1.0775950207117011</v>
      </c>
      <c r="J10" s="599" t="s">
        <v>1</v>
      </c>
    </row>
    <row r="11" spans="1:10" ht="14.4" customHeight="1" x14ac:dyDescent="0.3">
      <c r="A11" s="595" t="s">
        <v>531</v>
      </c>
      <c r="B11" s="596" t="s">
        <v>331</v>
      </c>
      <c r="C11" s="597">
        <v>16.783879999999002</v>
      </c>
      <c r="D11" s="597">
        <v>21.896169999999998</v>
      </c>
      <c r="E11" s="597"/>
      <c r="F11" s="597">
        <v>15.170480000000001</v>
      </c>
      <c r="G11" s="597">
        <v>11.666666299194583</v>
      </c>
      <c r="H11" s="597">
        <v>3.5038137008054182</v>
      </c>
      <c r="I11" s="598">
        <v>1.3003268981000431</v>
      </c>
      <c r="J11" s="599" t="s">
        <v>1</v>
      </c>
    </row>
    <row r="12" spans="1:10" ht="14.4" customHeight="1" x14ac:dyDescent="0.3">
      <c r="A12" s="595" t="s">
        <v>531</v>
      </c>
      <c r="B12" s="596" t="s">
        <v>332</v>
      </c>
      <c r="C12" s="597">
        <v>4.0013299999980001</v>
      </c>
      <c r="D12" s="597">
        <v>2.6675499999999999</v>
      </c>
      <c r="E12" s="597"/>
      <c r="F12" s="597">
        <v>2.34992</v>
      </c>
      <c r="G12" s="597">
        <v>3.3333332283412505</v>
      </c>
      <c r="H12" s="597">
        <v>-0.98341322834125044</v>
      </c>
      <c r="I12" s="598">
        <v>0.70497602220507027</v>
      </c>
      <c r="J12" s="599" t="s">
        <v>1</v>
      </c>
    </row>
    <row r="13" spans="1:10" ht="14.4" customHeight="1" x14ac:dyDescent="0.3">
      <c r="A13" s="595" t="s">
        <v>531</v>
      </c>
      <c r="B13" s="596" t="s">
        <v>333</v>
      </c>
      <c r="C13" s="597">
        <v>3.0820299999970002</v>
      </c>
      <c r="D13" s="597">
        <v>5.0079400000000005</v>
      </c>
      <c r="E13" s="597"/>
      <c r="F13" s="597">
        <v>5.1437500000000007</v>
      </c>
      <c r="G13" s="597">
        <v>2.9166665747979166</v>
      </c>
      <c r="H13" s="597">
        <v>2.2270834252020841</v>
      </c>
      <c r="I13" s="598">
        <v>1.7635714841201515</v>
      </c>
      <c r="J13" s="599" t="s">
        <v>1</v>
      </c>
    </row>
    <row r="14" spans="1:10" ht="14.4" customHeight="1" x14ac:dyDescent="0.3">
      <c r="A14" s="595" t="s">
        <v>531</v>
      </c>
      <c r="B14" s="596" t="s">
        <v>334</v>
      </c>
      <c r="C14" s="597">
        <v>55.742199999998007</v>
      </c>
      <c r="D14" s="597">
        <v>53.91939</v>
      </c>
      <c r="E14" s="597"/>
      <c r="F14" s="597">
        <v>72.832560000000001</v>
      </c>
      <c r="G14" s="597">
        <v>59.166664803059582</v>
      </c>
      <c r="H14" s="597">
        <v>13.665895196940419</v>
      </c>
      <c r="I14" s="598">
        <v>1.2309728838430951</v>
      </c>
      <c r="J14" s="599" t="s">
        <v>1</v>
      </c>
    </row>
    <row r="15" spans="1:10" ht="14.4" customHeight="1" x14ac:dyDescent="0.3">
      <c r="A15" s="595" t="s">
        <v>531</v>
      </c>
      <c r="B15" s="596" t="s">
        <v>335</v>
      </c>
      <c r="C15" s="597">
        <v>51.673050000000003</v>
      </c>
      <c r="D15" s="597">
        <v>51.530879999999996</v>
      </c>
      <c r="E15" s="597"/>
      <c r="F15" s="597">
        <v>30.314520000000002</v>
      </c>
      <c r="G15" s="597">
        <v>32.916665629871254</v>
      </c>
      <c r="H15" s="597">
        <v>-2.6021456298712522</v>
      </c>
      <c r="I15" s="598">
        <v>0.92094747204559335</v>
      </c>
      <c r="J15" s="599" t="s">
        <v>1</v>
      </c>
    </row>
    <row r="16" spans="1:10" ht="14.4" customHeight="1" x14ac:dyDescent="0.3">
      <c r="A16" s="595" t="s">
        <v>531</v>
      </c>
      <c r="B16" s="596" t="s">
        <v>336</v>
      </c>
      <c r="C16" s="597" t="s">
        <v>533</v>
      </c>
      <c r="D16" s="597" t="s">
        <v>533</v>
      </c>
      <c r="E16" s="597"/>
      <c r="F16" s="597">
        <v>153.63134000000002</v>
      </c>
      <c r="G16" s="597">
        <v>0</v>
      </c>
      <c r="H16" s="597">
        <v>153.63134000000002</v>
      </c>
      <c r="I16" s="598" t="s">
        <v>533</v>
      </c>
      <c r="J16" s="599" t="s">
        <v>1</v>
      </c>
    </row>
    <row r="17" spans="1:10" ht="14.4" customHeight="1" x14ac:dyDescent="0.3">
      <c r="A17" s="595" t="s">
        <v>531</v>
      </c>
      <c r="B17" s="596" t="s">
        <v>337</v>
      </c>
      <c r="C17" s="597">
        <v>0</v>
      </c>
      <c r="D17" s="597">
        <v>0</v>
      </c>
      <c r="E17" s="597"/>
      <c r="F17" s="597" t="s">
        <v>533</v>
      </c>
      <c r="G17" s="597" t="s">
        <v>533</v>
      </c>
      <c r="H17" s="597" t="s">
        <v>533</v>
      </c>
      <c r="I17" s="598" t="s">
        <v>533</v>
      </c>
      <c r="J17" s="599" t="s">
        <v>1</v>
      </c>
    </row>
    <row r="18" spans="1:10" ht="14.4" customHeight="1" x14ac:dyDescent="0.3">
      <c r="A18" s="595" t="s">
        <v>531</v>
      </c>
      <c r="B18" s="596" t="s">
        <v>535</v>
      </c>
      <c r="C18" s="597">
        <v>1442.4130299999913</v>
      </c>
      <c r="D18" s="597">
        <v>1418.8268200000009</v>
      </c>
      <c r="E18" s="597"/>
      <c r="F18" s="597">
        <v>1999.6514000000002</v>
      </c>
      <c r="G18" s="597">
        <v>1771.4562008310331</v>
      </c>
      <c r="H18" s="597">
        <v>228.19519916896706</v>
      </c>
      <c r="I18" s="598">
        <v>1.1288178612950832</v>
      </c>
      <c r="J18" s="599" t="s">
        <v>536</v>
      </c>
    </row>
    <row r="20" spans="1:10" ht="14.4" customHeight="1" x14ac:dyDescent="0.3">
      <c r="A20" s="595" t="s">
        <v>531</v>
      </c>
      <c r="B20" s="596" t="s">
        <v>532</v>
      </c>
      <c r="C20" s="597" t="s">
        <v>533</v>
      </c>
      <c r="D20" s="597" t="s">
        <v>533</v>
      </c>
      <c r="E20" s="597"/>
      <c r="F20" s="597" t="s">
        <v>533</v>
      </c>
      <c r="G20" s="597" t="s">
        <v>533</v>
      </c>
      <c r="H20" s="597" t="s">
        <v>533</v>
      </c>
      <c r="I20" s="598" t="s">
        <v>533</v>
      </c>
      <c r="J20" s="599" t="s">
        <v>61</v>
      </c>
    </row>
    <row r="21" spans="1:10" ht="14.4" customHeight="1" x14ac:dyDescent="0.3">
      <c r="A21" s="595" t="s">
        <v>537</v>
      </c>
      <c r="B21" s="596" t="s">
        <v>538</v>
      </c>
      <c r="C21" s="597" t="s">
        <v>533</v>
      </c>
      <c r="D21" s="597" t="s">
        <v>533</v>
      </c>
      <c r="E21" s="597"/>
      <c r="F21" s="597" t="s">
        <v>533</v>
      </c>
      <c r="G21" s="597" t="s">
        <v>533</v>
      </c>
      <c r="H21" s="597" t="s">
        <v>533</v>
      </c>
      <c r="I21" s="598" t="s">
        <v>533</v>
      </c>
      <c r="J21" s="599" t="s">
        <v>0</v>
      </c>
    </row>
    <row r="22" spans="1:10" ht="14.4" customHeight="1" x14ac:dyDescent="0.3">
      <c r="A22" s="595" t="s">
        <v>537</v>
      </c>
      <c r="B22" s="596" t="s">
        <v>327</v>
      </c>
      <c r="C22" s="597">
        <v>24.684000000000001</v>
      </c>
      <c r="D22" s="597">
        <v>26.499890000000001</v>
      </c>
      <c r="E22" s="597"/>
      <c r="F22" s="597">
        <v>0</v>
      </c>
      <c r="G22" s="597">
        <v>11.646100260152499</v>
      </c>
      <c r="H22" s="597">
        <v>-11.646100260152499</v>
      </c>
      <c r="I22" s="598">
        <v>0</v>
      </c>
      <c r="J22" s="599" t="s">
        <v>1</v>
      </c>
    </row>
    <row r="23" spans="1:10" ht="14.4" customHeight="1" x14ac:dyDescent="0.3">
      <c r="A23" s="595" t="s">
        <v>537</v>
      </c>
      <c r="B23" s="596" t="s">
        <v>328</v>
      </c>
      <c r="C23" s="597">
        <v>1.3068</v>
      </c>
      <c r="D23" s="597">
        <v>0</v>
      </c>
      <c r="E23" s="597"/>
      <c r="F23" s="597" t="s">
        <v>533</v>
      </c>
      <c r="G23" s="597" t="s">
        <v>533</v>
      </c>
      <c r="H23" s="597" t="s">
        <v>533</v>
      </c>
      <c r="I23" s="598" t="s">
        <v>533</v>
      </c>
      <c r="J23" s="599" t="s">
        <v>1</v>
      </c>
    </row>
    <row r="24" spans="1:10" ht="14.4" customHeight="1" x14ac:dyDescent="0.3">
      <c r="A24" s="595" t="s">
        <v>537</v>
      </c>
      <c r="B24" s="596" t="s">
        <v>329</v>
      </c>
      <c r="C24" s="597">
        <v>15.07765</v>
      </c>
      <c r="D24" s="597">
        <v>6.0939300000000003</v>
      </c>
      <c r="E24" s="597"/>
      <c r="F24" s="597">
        <v>11.52725</v>
      </c>
      <c r="G24" s="597">
        <v>10.311731712514167</v>
      </c>
      <c r="H24" s="597">
        <v>1.2155182874858337</v>
      </c>
      <c r="I24" s="598">
        <v>1.1178772219229383</v>
      </c>
      <c r="J24" s="599" t="s">
        <v>1</v>
      </c>
    </row>
    <row r="25" spans="1:10" ht="14.4" customHeight="1" x14ac:dyDescent="0.3">
      <c r="A25" s="595" t="s">
        <v>537</v>
      </c>
      <c r="B25" s="596" t="s">
        <v>330</v>
      </c>
      <c r="C25" s="597">
        <v>65.2727</v>
      </c>
      <c r="D25" s="597">
        <v>71.831639999999993</v>
      </c>
      <c r="E25" s="597"/>
      <c r="F25" s="597">
        <v>96.943560000000005</v>
      </c>
      <c r="G25" s="597">
        <v>99.735202731344174</v>
      </c>
      <c r="H25" s="597">
        <v>-2.7916427313441687</v>
      </c>
      <c r="I25" s="598">
        <v>0.97200945448655685</v>
      </c>
      <c r="J25" s="599" t="s">
        <v>1</v>
      </c>
    </row>
    <row r="26" spans="1:10" ht="14.4" customHeight="1" x14ac:dyDescent="0.3">
      <c r="A26" s="595" t="s">
        <v>537</v>
      </c>
      <c r="B26" s="596" t="s">
        <v>331</v>
      </c>
      <c r="C26" s="597">
        <v>0</v>
      </c>
      <c r="D26" s="597">
        <v>0</v>
      </c>
      <c r="E26" s="597"/>
      <c r="F26" s="597" t="s">
        <v>533</v>
      </c>
      <c r="G26" s="597" t="s">
        <v>533</v>
      </c>
      <c r="H26" s="597" t="s">
        <v>533</v>
      </c>
      <c r="I26" s="598" t="s">
        <v>533</v>
      </c>
      <c r="J26" s="599" t="s">
        <v>1</v>
      </c>
    </row>
    <row r="27" spans="1:10" ht="14.4" customHeight="1" x14ac:dyDescent="0.3">
      <c r="A27" s="595" t="s">
        <v>537</v>
      </c>
      <c r="B27" s="596" t="s">
        <v>333</v>
      </c>
      <c r="C27" s="597">
        <v>0.38599999999900003</v>
      </c>
      <c r="D27" s="597">
        <v>0.33200000000000002</v>
      </c>
      <c r="E27" s="597"/>
      <c r="F27" s="597">
        <v>0.29000000000000004</v>
      </c>
      <c r="G27" s="597">
        <v>0.28640191637000001</v>
      </c>
      <c r="H27" s="597">
        <v>3.5980836300000263E-3</v>
      </c>
      <c r="I27" s="598">
        <v>1.0125630571038209</v>
      </c>
      <c r="J27" s="599" t="s">
        <v>1</v>
      </c>
    </row>
    <row r="28" spans="1:10" ht="14.4" customHeight="1" x14ac:dyDescent="0.3">
      <c r="A28" s="595" t="s">
        <v>537</v>
      </c>
      <c r="B28" s="596" t="s">
        <v>334</v>
      </c>
      <c r="C28" s="597">
        <v>11.298999999999999</v>
      </c>
      <c r="D28" s="597">
        <v>11.37119</v>
      </c>
      <c r="E28" s="597"/>
      <c r="F28" s="597">
        <v>15.564119999999999</v>
      </c>
      <c r="G28" s="597">
        <v>13.507011328740417</v>
      </c>
      <c r="H28" s="597">
        <v>2.0571086712595825</v>
      </c>
      <c r="I28" s="598">
        <v>1.1522993222699411</v>
      </c>
      <c r="J28" s="599" t="s">
        <v>1</v>
      </c>
    </row>
    <row r="29" spans="1:10" ht="14.4" customHeight="1" x14ac:dyDescent="0.3">
      <c r="A29" s="595" t="s">
        <v>537</v>
      </c>
      <c r="B29" s="596" t="s">
        <v>539</v>
      </c>
      <c r="C29" s="597">
        <v>118.02614999999901</v>
      </c>
      <c r="D29" s="597">
        <v>116.12864999999998</v>
      </c>
      <c r="E29" s="597"/>
      <c r="F29" s="597">
        <v>124.32493000000001</v>
      </c>
      <c r="G29" s="597">
        <v>135.48644794912124</v>
      </c>
      <c r="H29" s="597">
        <v>-11.161517949121233</v>
      </c>
      <c r="I29" s="598">
        <v>0.91761893445377885</v>
      </c>
      <c r="J29" s="599" t="s">
        <v>540</v>
      </c>
    </row>
    <row r="30" spans="1:10" ht="14.4" customHeight="1" x14ac:dyDescent="0.3">
      <c r="A30" s="595" t="s">
        <v>533</v>
      </c>
      <c r="B30" s="596" t="s">
        <v>533</v>
      </c>
      <c r="C30" s="597" t="s">
        <v>533</v>
      </c>
      <c r="D30" s="597" t="s">
        <v>533</v>
      </c>
      <c r="E30" s="597"/>
      <c r="F30" s="597" t="s">
        <v>533</v>
      </c>
      <c r="G30" s="597" t="s">
        <v>533</v>
      </c>
      <c r="H30" s="597" t="s">
        <v>533</v>
      </c>
      <c r="I30" s="598" t="s">
        <v>533</v>
      </c>
      <c r="J30" s="599" t="s">
        <v>541</v>
      </c>
    </row>
    <row r="31" spans="1:10" ht="14.4" customHeight="1" x14ac:dyDescent="0.3">
      <c r="A31" s="595" t="s">
        <v>542</v>
      </c>
      <c r="B31" s="596" t="s">
        <v>543</v>
      </c>
      <c r="C31" s="597" t="s">
        <v>533</v>
      </c>
      <c r="D31" s="597" t="s">
        <v>533</v>
      </c>
      <c r="E31" s="597"/>
      <c r="F31" s="597" t="s">
        <v>533</v>
      </c>
      <c r="G31" s="597" t="s">
        <v>533</v>
      </c>
      <c r="H31" s="597" t="s">
        <v>533</v>
      </c>
      <c r="I31" s="598" t="s">
        <v>533</v>
      </c>
      <c r="J31" s="599" t="s">
        <v>0</v>
      </c>
    </row>
    <row r="32" spans="1:10" ht="14.4" customHeight="1" x14ac:dyDescent="0.3">
      <c r="A32" s="595" t="s">
        <v>542</v>
      </c>
      <c r="B32" s="596" t="s">
        <v>327</v>
      </c>
      <c r="C32" s="597">
        <v>0</v>
      </c>
      <c r="D32" s="597">
        <v>0.15246000000000001</v>
      </c>
      <c r="E32" s="597"/>
      <c r="F32" s="597">
        <v>0</v>
      </c>
      <c r="G32" s="597">
        <v>6.6725458311249999E-2</v>
      </c>
      <c r="H32" s="597">
        <v>-6.6725458311249999E-2</v>
      </c>
      <c r="I32" s="598">
        <v>0</v>
      </c>
      <c r="J32" s="599" t="s">
        <v>1</v>
      </c>
    </row>
    <row r="33" spans="1:10" ht="14.4" customHeight="1" x14ac:dyDescent="0.3">
      <c r="A33" s="595" t="s">
        <v>542</v>
      </c>
      <c r="B33" s="596" t="s">
        <v>328</v>
      </c>
      <c r="C33" s="597">
        <v>0</v>
      </c>
      <c r="D33" s="597">
        <v>0</v>
      </c>
      <c r="E33" s="597"/>
      <c r="F33" s="597" t="s">
        <v>533</v>
      </c>
      <c r="G33" s="597" t="s">
        <v>533</v>
      </c>
      <c r="H33" s="597" t="s">
        <v>533</v>
      </c>
      <c r="I33" s="598" t="s">
        <v>533</v>
      </c>
      <c r="J33" s="599" t="s">
        <v>1</v>
      </c>
    </row>
    <row r="34" spans="1:10" ht="14.4" customHeight="1" x14ac:dyDescent="0.3">
      <c r="A34" s="595" t="s">
        <v>542</v>
      </c>
      <c r="B34" s="596" t="s">
        <v>329</v>
      </c>
      <c r="C34" s="597">
        <v>8.1928199999999993</v>
      </c>
      <c r="D34" s="597">
        <v>10.22101</v>
      </c>
      <c r="E34" s="597"/>
      <c r="F34" s="597">
        <v>9.0782600000000002</v>
      </c>
      <c r="G34" s="597">
        <v>9.0760318889629179</v>
      </c>
      <c r="H34" s="597">
        <v>2.2281110370823143E-3</v>
      </c>
      <c r="I34" s="598">
        <v>1.0002454939630381</v>
      </c>
      <c r="J34" s="599" t="s">
        <v>1</v>
      </c>
    </row>
    <row r="35" spans="1:10" ht="14.4" customHeight="1" x14ac:dyDescent="0.3">
      <c r="A35" s="595" t="s">
        <v>542</v>
      </c>
      <c r="B35" s="596" t="s">
        <v>330</v>
      </c>
      <c r="C35" s="597">
        <v>137.95218</v>
      </c>
      <c r="D35" s="597">
        <v>154.63484999999997</v>
      </c>
      <c r="E35" s="597"/>
      <c r="F35" s="597">
        <v>472.55138999999997</v>
      </c>
      <c r="G35" s="597">
        <v>385.37996197493703</v>
      </c>
      <c r="H35" s="597">
        <v>87.171428025062937</v>
      </c>
      <c r="I35" s="598">
        <v>1.2261960574658317</v>
      </c>
      <c r="J35" s="599" t="s">
        <v>1</v>
      </c>
    </row>
    <row r="36" spans="1:10" ht="14.4" customHeight="1" x14ac:dyDescent="0.3">
      <c r="A36" s="595" t="s">
        <v>542</v>
      </c>
      <c r="B36" s="596" t="s">
        <v>331</v>
      </c>
      <c r="C36" s="597" t="s">
        <v>533</v>
      </c>
      <c r="D36" s="597">
        <v>2.1755</v>
      </c>
      <c r="E36" s="597"/>
      <c r="F36" s="597">
        <v>0.14000000000000001</v>
      </c>
      <c r="G36" s="597">
        <v>1.0482935445283332</v>
      </c>
      <c r="H36" s="597">
        <v>-0.90829354452833322</v>
      </c>
      <c r="I36" s="598">
        <v>0.13355037883305032</v>
      </c>
      <c r="J36" s="599" t="s">
        <v>1</v>
      </c>
    </row>
    <row r="37" spans="1:10" ht="14.4" customHeight="1" x14ac:dyDescent="0.3">
      <c r="A37" s="595" t="s">
        <v>542</v>
      </c>
      <c r="B37" s="596" t="s">
        <v>332</v>
      </c>
      <c r="C37" s="597">
        <v>0.66683999999900001</v>
      </c>
      <c r="D37" s="597">
        <v>0</v>
      </c>
      <c r="E37" s="597"/>
      <c r="F37" s="597" t="s">
        <v>533</v>
      </c>
      <c r="G37" s="597" t="s">
        <v>533</v>
      </c>
      <c r="H37" s="597" t="s">
        <v>533</v>
      </c>
      <c r="I37" s="598" t="s">
        <v>533</v>
      </c>
      <c r="J37" s="599" t="s">
        <v>1</v>
      </c>
    </row>
    <row r="38" spans="1:10" ht="14.4" customHeight="1" x14ac:dyDescent="0.3">
      <c r="A38" s="595" t="s">
        <v>542</v>
      </c>
      <c r="B38" s="596" t="s">
        <v>333</v>
      </c>
      <c r="C38" s="597">
        <v>0.36302999999899999</v>
      </c>
      <c r="D38" s="597">
        <v>2.3609400000000003</v>
      </c>
      <c r="E38" s="597"/>
      <c r="F38" s="597">
        <v>0.27916000000000002</v>
      </c>
      <c r="G38" s="597">
        <v>0.87269022521958339</v>
      </c>
      <c r="H38" s="597">
        <v>-0.59353022521958332</v>
      </c>
      <c r="I38" s="598">
        <v>0.31988441251276617</v>
      </c>
      <c r="J38" s="599" t="s">
        <v>1</v>
      </c>
    </row>
    <row r="39" spans="1:10" ht="14.4" customHeight="1" x14ac:dyDescent="0.3">
      <c r="A39" s="595" t="s">
        <v>542</v>
      </c>
      <c r="B39" s="596" t="s">
        <v>334</v>
      </c>
      <c r="C39" s="597">
        <v>15.590999999999003</v>
      </c>
      <c r="D39" s="597">
        <v>13.655000000000001</v>
      </c>
      <c r="E39" s="597"/>
      <c r="F39" s="597">
        <v>10.191599999999999</v>
      </c>
      <c r="G39" s="597">
        <v>14.664096137337916</v>
      </c>
      <c r="H39" s="597">
        <v>-4.4724961373379166</v>
      </c>
      <c r="I39" s="598">
        <v>0.69500362685498307</v>
      </c>
      <c r="J39" s="599" t="s">
        <v>1</v>
      </c>
    </row>
    <row r="40" spans="1:10" ht="14.4" customHeight="1" x14ac:dyDescent="0.3">
      <c r="A40" s="595" t="s">
        <v>542</v>
      </c>
      <c r="B40" s="596" t="s">
        <v>336</v>
      </c>
      <c r="C40" s="597" t="s">
        <v>533</v>
      </c>
      <c r="D40" s="597" t="s">
        <v>533</v>
      </c>
      <c r="E40" s="597"/>
      <c r="F40" s="597">
        <v>13.367599999999999</v>
      </c>
      <c r="G40" s="597">
        <v>0</v>
      </c>
      <c r="H40" s="597">
        <v>13.367599999999999</v>
      </c>
      <c r="I40" s="598" t="s">
        <v>533</v>
      </c>
      <c r="J40" s="599" t="s">
        <v>1</v>
      </c>
    </row>
    <row r="41" spans="1:10" ht="14.4" customHeight="1" x14ac:dyDescent="0.3">
      <c r="A41" s="595" t="s">
        <v>542</v>
      </c>
      <c r="B41" s="596" t="s">
        <v>544</v>
      </c>
      <c r="C41" s="597">
        <v>162.76586999999702</v>
      </c>
      <c r="D41" s="597">
        <v>183.19975999999997</v>
      </c>
      <c r="E41" s="597"/>
      <c r="F41" s="597">
        <v>505.60800999999992</v>
      </c>
      <c r="G41" s="597">
        <v>411.10779922929703</v>
      </c>
      <c r="H41" s="597">
        <v>94.500210770702893</v>
      </c>
      <c r="I41" s="598">
        <v>1.2298672293443769</v>
      </c>
      <c r="J41" s="599" t="s">
        <v>540</v>
      </c>
    </row>
    <row r="42" spans="1:10" ht="14.4" customHeight="1" x14ac:dyDescent="0.3">
      <c r="A42" s="595" t="s">
        <v>533</v>
      </c>
      <c r="B42" s="596" t="s">
        <v>533</v>
      </c>
      <c r="C42" s="597" t="s">
        <v>533</v>
      </c>
      <c r="D42" s="597" t="s">
        <v>533</v>
      </c>
      <c r="E42" s="597"/>
      <c r="F42" s="597" t="s">
        <v>533</v>
      </c>
      <c r="G42" s="597" t="s">
        <v>533</v>
      </c>
      <c r="H42" s="597" t="s">
        <v>533</v>
      </c>
      <c r="I42" s="598" t="s">
        <v>533</v>
      </c>
      <c r="J42" s="599" t="s">
        <v>541</v>
      </c>
    </row>
    <row r="43" spans="1:10" ht="14.4" customHeight="1" x14ac:dyDescent="0.3">
      <c r="A43" s="595" t="s">
        <v>545</v>
      </c>
      <c r="B43" s="596" t="s">
        <v>546</v>
      </c>
      <c r="C43" s="597" t="s">
        <v>533</v>
      </c>
      <c r="D43" s="597" t="s">
        <v>533</v>
      </c>
      <c r="E43" s="597"/>
      <c r="F43" s="597" t="s">
        <v>533</v>
      </c>
      <c r="G43" s="597" t="s">
        <v>533</v>
      </c>
      <c r="H43" s="597" t="s">
        <v>533</v>
      </c>
      <c r="I43" s="598" t="s">
        <v>533</v>
      </c>
      <c r="J43" s="599" t="s">
        <v>0</v>
      </c>
    </row>
    <row r="44" spans="1:10" ht="14.4" customHeight="1" x14ac:dyDescent="0.3">
      <c r="A44" s="595" t="s">
        <v>545</v>
      </c>
      <c r="B44" s="596" t="s">
        <v>325</v>
      </c>
      <c r="C44" s="597" t="s">
        <v>533</v>
      </c>
      <c r="D44" s="597">
        <v>0.495</v>
      </c>
      <c r="E44" s="597"/>
      <c r="F44" s="597">
        <v>0</v>
      </c>
      <c r="G44" s="597">
        <v>0.20624999350333334</v>
      </c>
      <c r="H44" s="597">
        <v>-0.20624999350333334</v>
      </c>
      <c r="I44" s="598">
        <v>0</v>
      </c>
      <c r="J44" s="599" t="s">
        <v>1</v>
      </c>
    </row>
    <row r="45" spans="1:10" ht="14.4" customHeight="1" x14ac:dyDescent="0.3">
      <c r="A45" s="595" t="s">
        <v>545</v>
      </c>
      <c r="B45" s="596" t="s">
        <v>327</v>
      </c>
      <c r="C45" s="597">
        <v>105.20285999999999</v>
      </c>
      <c r="D45" s="597">
        <v>138.86347000000001</v>
      </c>
      <c r="E45" s="597"/>
      <c r="F45" s="597">
        <v>127.73559</v>
      </c>
      <c r="G45" s="597">
        <v>157.4538356198625</v>
      </c>
      <c r="H45" s="597">
        <v>-29.7182456198625</v>
      </c>
      <c r="I45" s="598">
        <v>0.81125740441401095</v>
      </c>
      <c r="J45" s="599" t="s">
        <v>1</v>
      </c>
    </row>
    <row r="46" spans="1:10" ht="14.4" customHeight="1" x14ac:dyDescent="0.3">
      <c r="A46" s="595" t="s">
        <v>545</v>
      </c>
      <c r="B46" s="596" t="s">
        <v>328</v>
      </c>
      <c r="C46" s="597">
        <v>0</v>
      </c>
      <c r="D46" s="597">
        <v>2.2533599999999998</v>
      </c>
      <c r="E46" s="597"/>
      <c r="F46" s="597">
        <v>0.8236</v>
      </c>
      <c r="G46" s="597">
        <v>2.0833332677133329</v>
      </c>
      <c r="H46" s="597">
        <v>-1.259733267713333</v>
      </c>
      <c r="I46" s="598">
        <v>0.3953280124518837</v>
      </c>
      <c r="J46" s="599" t="s">
        <v>1</v>
      </c>
    </row>
    <row r="47" spans="1:10" ht="14.4" customHeight="1" x14ac:dyDescent="0.3">
      <c r="A47" s="595" t="s">
        <v>545</v>
      </c>
      <c r="B47" s="596" t="s">
        <v>329</v>
      </c>
      <c r="C47" s="597">
        <v>42.398409999999004</v>
      </c>
      <c r="D47" s="597">
        <v>60.519900000000007</v>
      </c>
      <c r="E47" s="597"/>
      <c r="F47" s="597">
        <v>39.063249999999996</v>
      </c>
      <c r="G47" s="597">
        <v>48.945567579521665</v>
      </c>
      <c r="H47" s="597">
        <v>-9.8823175795216684</v>
      </c>
      <c r="I47" s="598">
        <v>0.79809576089875944</v>
      </c>
      <c r="J47" s="599" t="s">
        <v>1</v>
      </c>
    </row>
    <row r="48" spans="1:10" ht="14.4" customHeight="1" x14ac:dyDescent="0.3">
      <c r="A48" s="595" t="s">
        <v>545</v>
      </c>
      <c r="B48" s="596" t="s">
        <v>330</v>
      </c>
      <c r="C48" s="597">
        <v>911.04311999999993</v>
      </c>
      <c r="D48" s="597">
        <v>812.23938000000101</v>
      </c>
      <c r="E48" s="597"/>
      <c r="F48" s="597">
        <v>962.48593000000005</v>
      </c>
      <c r="G48" s="597">
        <v>936.55146380894575</v>
      </c>
      <c r="H48" s="597">
        <v>25.934466191054298</v>
      </c>
      <c r="I48" s="598">
        <v>1.0276914480338102</v>
      </c>
      <c r="J48" s="599" t="s">
        <v>1</v>
      </c>
    </row>
    <row r="49" spans="1:10" ht="14.4" customHeight="1" x14ac:dyDescent="0.3">
      <c r="A49" s="595" t="s">
        <v>545</v>
      </c>
      <c r="B49" s="596" t="s">
        <v>331</v>
      </c>
      <c r="C49" s="597">
        <v>16.783879999999002</v>
      </c>
      <c r="D49" s="597">
        <v>19.720669999999998</v>
      </c>
      <c r="E49" s="597"/>
      <c r="F49" s="597">
        <v>15.030480000000001</v>
      </c>
      <c r="G49" s="597">
        <v>10.61837275466625</v>
      </c>
      <c r="H49" s="597">
        <v>4.4121072453337504</v>
      </c>
      <c r="I49" s="598">
        <v>1.4155163269621371</v>
      </c>
      <c r="J49" s="599" t="s">
        <v>1</v>
      </c>
    </row>
    <row r="50" spans="1:10" ht="14.4" customHeight="1" x14ac:dyDescent="0.3">
      <c r="A50" s="595" t="s">
        <v>545</v>
      </c>
      <c r="B50" s="596" t="s">
        <v>332</v>
      </c>
      <c r="C50" s="597">
        <v>3.3344899999990001</v>
      </c>
      <c r="D50" s="597">
        <v>2.6675499999999999</v>
      </c>
      <c r="E50" s="597"/>
      <c r="F50" s="597">
        <v>2.34992</v>
      </c>
      <c r="G50" s="597">
        <v>3.3333332283412505</v>
      </c>
      <c r="H50" s="597">
        <v>-0.98341322834125044</v>
      </c>
      <c r="I50" s="598">
        <v>0.70497602220507027</v>
      </c>
      <c r="J50" s="599" t="s">
        <v>1</v>
      </c>
    </row>
    <row r="51" spans="1:10" ht="14.4" customHeight="1" x14ac:dyDescent="0.3">
      <c r="A51" s="595" t="s">
        <v>545</v>
      </c>
      <c r="B51" s="596" t="s">
        <v>333</v>
      </c>
      <c r="C51" s="597">
        <v>2.3329999999990001</v>
      </c>
      <c r="D51" s="597">
        <v>2.3150000000000004</v>
      </c>
      <c r="E51" s="597"/>
      <c r="F51" s="597">
        <v>4.5745900000000006</v>
      </c>
      <c r="G51" s="597">
        <v>1.7575744332083332</v>
      </c>
      <c r="H51" s="597">
        <v>2.8170155667916674</v>
      </c>
      <c r="I51" s="598">
        <v>2.6027859267669227</v>
      </c>
      <c r="J51" s="599" t="s">
        <v>1</v>
      </c>
    </row>
    <row r="52" spans="1:10" ht="14.4" customHeight="1" x14ac:dyDescent="0.3">
      <c r="A52" s="595" t="s">
        <v>545</v>
      </c>
      <c r="B52" s="596" t="s">
        <v>334</v>
      </c>
      <c r="C52" s="597">
        <v>28.852199999999002</v>
      </c>
      <c r="D52" s="597">
        <v>28.8932</v>
      </c>
      <c r="E52" s="597"/>
      <c r="F52" s="597">
        <v>47.076840000000004</v>
      </c>
      <c r="G52" s="597">
        <v>30.99555733698125</v>
      </c>
      <c r="H52" s="597">
        <v>16.081282663018754</v>
      </c>
      <c r="I52" s="598">
        <v>1.5188254074022389</v>
      </c>
      <c r="J52" s="599" t="s">
        <v>1</v>
      </c>
    </row>
    <row r="53" spans="1:10" ht="14.4" customHeight="1" x14ac:dyDescent="0.3">
      <c r="A53" s="595" t="s">
        <v>545</v>
      </c>
      <c r="B53" s="596" t="s">
        <v>335</v>
      </c>
      <c r="C53" s="597">
        <v>51.673050000000003</v>
      </c>
      <c r="D53" s="597">
        <v>51.530879999999996</v>
      </c>
      <c r="E53" s="597"/>
      <c r="F53" s="597">
        <v>30.314520000000002</v>
      </c>
      <c r="G53" s="597">
        <v>32.916665629871254</v>
      </c>
      <c r="H53" s="597">
        <v>-2.6021456298712522</v>
      </c>
      <c r="I53" s="598">
        <v>0.92094747204559335</v>
      </c>
      <c r="J53" s="599" t="s">
        <v>1</v>
      </c>
    </row>
    <row r="54" spans="1:10" ht="14.4" customHeight="1" x14ac:dyDescent="0.3">
      <c r="A54" s="595" t="s">
        <v>545</v>
      </c>
      <c r="B54" s="596" t="s">
        <v>336</v>
      </c>
      <c r="C54" s="597" t="s">
        <v>533</v>
      </c>
      <c r="D54" s="597" t="s">
        <v>533</v>
      </c>
      <c r="E54" s="597"/>
      <c r="F54" s="597">
        <v>140.26374000000001</v>
      </c>
      <c r="G54" s="597">
        <v>0</v>
      </c>
      <c r="H54" s="597">
        <v>140.26374000000001</v>
      </c>
      <c r="I54" s="598" t="s">
        <v>533</v>
      </c>
      <c r="J54" s="599" t="s">
        <v>1</v>
      </c>
    </row>
    <row r="55" spans="1:10" ht="14.4" customHeight="1" x14ac:dyDescent="0.3">
      <c r="A55" s="595" t="s">
        <v>545</v>
      </c>
      <c r="B55" s="596" t="s">
        <v>337</v>
      </c>
      <c r="C55" s="597">
        <v>0</v>
      </c>
      <c r="D55" s="597">
        <v>0</v>
      </c>
      <c r="E55" s="597"/>
      <c r="F55" s="597" t="s">
        <v>533</v>
      </c>
      <c r="G55" s="597" t="s">
        <v>533</v>
      </c>
      <c r="H55" s="597" t="s">
        <v>533</v>
      </c>
      <c r="I55" s="598" t="s">
        <v>533</v>
      </c>
      <c r="J55" s="599" t="s">
        <v>1</v>
      </c>
    </row>
    <row r="56" spans="1:10" ht="14.4" customHeight="1" x14ac:dyDescent="0.3">
      <c r="A56" s="595" t="s">
        <v>545</v>
      </c>
      <c r="B56" s="596" t="s">
        <v>547</v>
      </c>
      <c r="C56" s="597">
        <v>1161.6210099999951</v>
      </c>
      <c r="D56" s="597">
        <v>1119.4984100000008</v>
      </c>
      <c r="E56" s="597"/>
      <c r="F56" s="597">
        <v>1369.7184599999998</v>
      </c>
      <c r="G56" s="597">
        <v>1224.8619536526148</v>
      </c>
      <c r="H56" s="597">
        <v>144.85650634738499</v>
      </c>
      <c r="I56" s="598">
        <v>1.1182635364870415</v>
      </c>
      <c r="J56" s="599" t="s">
        <v>540</v>
      </c>
    </row>
    <row r="57" spans="1:10" ht="14.4" customHeight="1" x14ac:dyDescent="0.3">
      <c r="A57" s="595" t="s">
        <v>533</v>
      </c>
      <c r="B57" s="596" t="s">
        <v>533</v>
      </c>
      <c r="C57" s="597" t="s">
        <v>533</v>
      </c>
      <c r="D57" s="597" t="s">
        <v>533</v>
      </c>
      <c r="E57" s="597"/>
      <c r="F57" s="597" t="s">
        <v>533</v>
      </c>
      <c r="G57" s="597" t="s">
        <v>533</v>
      </c>
      <c r="H57" s="597" t="s">
        <v>533</v>
      </c>
      <c r="I57" s="598" t="s">
        <v>533</v>
      </c>
      <c r="J57" s="599" t="s">
        <v>541</v>
      </c>
    </row>
    <row r="58" spans="1:10" ht="14.4" customHeight="1" x14ac:dyDescent="0.3">
      <c r="A58" s="595" t="s">
        <v>531</v>
      </c>
      <c r="B58" s="596" t="s">
        <v>535</v>
      </c>
      <c r="C58" s="597">
        <v>1442.4130299999908</v>
      </c>
      <c r="D58" s="597">
        <v>1418.8268200000009</v>
      </c>
      <c r="E58" s="597"/>
      <c r="F58" s="597">
        <v>1999.6514</v>
      </c>
      <c r="G58" s="597">
        <v>1771.4562008310331</v>
      </c>
      <c r="H58" s="597">
        <v>228.19519916896684</v>
      </c>
      <c r="I58" s="598">
        <v>1.128817861295083</v>
      </c>
      <c r="J58" s="599" t="s">
        <v>536</v>
      </c>
    </row>
  </sheetData>
  <mergeCells count="3">
    <mergeCell ref="A1:I1"/>
    <mergeCell ref="F3:I3"/>
    <mergeCell ref="C4:D4"/>
  </mergeCells>
  <conditionalFormatting sqref="F19 F59:F65537">
    <cfRule type="cellIs" dxfId="37" priority="18" stopIfTrue="1" operator="greaterThan">
      <formula>1</formula>
    </cfRule>
  </conditionalFormatting>
  <conditionalFormatting sqref="H5:H18">
    <cfRule type="expression" dxfId="36" priority="14">
      <formula>$H5&gt;0</formula>
    </cfRule>
  </conditionalFormatting>
  <conditionalFormatting sqref="I5:I18">
    <cfRule type="expression" dxfId="35" priority="15">
      <formula>$I5&gt;1</formula>
    </cfRule>
  </conditionalFormatting>
  <conditionalFormatting sqref="B5:B18">
    <cfRule type="expression" dxfId="34" priority="11">
      <formula>OR($J5="NS",$J5="SumaNS",$J5="Účet")</formula>
    </cfRule>
  </conditionalFormatting>
  <conditionalFormatting sqref="F5:I18 B5:D18">
    <cfRule type="expression" dxfId="33" priority="17">
      <formula>AND($J5&lt;&gt;"",$J5&lt;&gt;"mezeraKL")</formula>
    </cfRule>
  </conditionalFormatting>
  <conditionalFormatting sqref="B5:D18 F5:I1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1" priority="13">
      <formula>OR($J5="SumaNS",$J5="NS")</formula>
    </cfRule>
  </conditionalFormatting>
  <conditionalFormatting sqref="A5:A18">
    <cfRule type="expression" dxfId="30" priority="9">
      <formula>AND($J5&lt;&gt;"mezeraKL",$J5&lt;&gt;"")</formula>
    </cfRule>
  </conditionalFormatting>
  <conditionalFormatting sqref="A5:A18">
    <cfRule type="expression" dxfId="29" priority="10">
      <formula>AND($J5&lt;&gt;"",$J5&lt;&gt;"mezeraKL")</formula>
    </cfRule>
  </conditionalFormatting>
  <conditionalFormatting sqref="H20:H58">
    <cfRule type="expression" dxfId="28" priority="5">
      <formula>$H20&gt;0</formula>
    </cfRule>
  </conditionalFormatting>
  <conditionalFormatting sqref="A20:A58">
    <cfRule type="expression" dxfId="27" priority="2">
      <formula>AND($J20&lt;&gt;"mezeraKL",$J20&lt;&gt;"")</formula>
    </cfRule>
  </conditionalFormatting>
  <conditionalFormatting sqref="I20:I58">
    <cfRule type="expression" dxfId="26" priority="6">
      <formula>$I20&gt;1</formula>
    </cfRule>
  </conditionalFormatting>
  <conditionalFormatting sqref="B20:B58">
    <cfRule type="expression" dxfId="25" priority="1">
      <formula>OR($J20="NS",$J20="SumaNS",$J20="Účet")</formula>
    </cfRule>
  </conditionalFormatting>
  <conditionalFormatting sqref="A20:D58 F20:I58">
    <cfRule type="expression" dxfId="24" priority="8">
      <formula>AND($J20&lt;&gt;"",$J20&lt;&gt;"mezeraKL")</formula>
    </cfRule>
  </conditionalFormatting>
  <conditionalFormatting sqref="B20:D58 F20:I58">
    <cfRule type="expression" dxfId="23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8 F20:I58">
    <cfRule type="expression" dxfId="22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12.44140625" style="321" hidden="1" customWidth="1" outlineLevel="1"/>
    <col min="8" max="8" width="25.77734375" style="321" customWidth="1" collapsed="1"/>
    <col min="9" max="9" width="7.77734375" style="319" customWidth="1"/>
    <col min="10" max="10" width="10" style="319" customWidth="1"/>
    <col min="11" max="11" width="11.109375" style="319" customWidth="1"/>
    <col min="12" max="16384" width="8.88671875" style="238"/>
  </cols>
  <sheetData>
    <row r="1" spans="1:11" ht="18.600000000000001" customHeight="1" thickBot="1" x14ac:dyDescent="0.4">
      <c r="A1" s="488" t="s">
        <v>1613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4"/>
      <c r="J2" s="324"/>
      <c r="K2" s="324"/>
    </row>
    <row r="3" spans="1:11" ht="14.4" customHeight="1" thickBot="1" x14ac:dyDescent="0.35">
      <c r="A3" s="66"/>
      <c r="B3" s="66"/>
      <c r="C3" s="484"/>
      <c r="D3" s="485"/>
      <c r="E3" s="485"/>
      <c r="F3" s="485"/>
      <c r="G3" s="485"/>
      <c r="H3" s="251" t="s">
        <v>142</v>
      </c>
      <c r="I3" s="192">
        <f>IF(J3&lt;&gt;0,K3/J3,0)</f>
        <v>8.2202383505696854</v>
      </c>
      <c r="J3" s="192">
        <f>SUBTOTAL(9,J5:J1048576)</f>
        <v>243381</v>
      </c>
      <c r="K3" s="193">
        <f>SUBTOTAL(9,K5:K1048576)</f>
        <v>2000649.8300000005</v>
      </c>
    </row>
    <row r="4" spans="1:11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77</v>
      </c>
      <c r="H4" s="602" t="s">
        <v>11</v>
      </c>
      <c r="I4" s="603" t="s">
        <v>165</v>
      </c>
      <c r="J4" s="603" t="s">
        <v>13</v>
      </c>
      <c r="K4" s="604" t="s">
        <v>176</v>
      </c>
    </row>
    <row r="5" spans="1:11" ht="14.4" customHeight="1" x14ac:dyDescent="0.3">
      <c r="A5" s="605" t="s">
        <v>531</v>
      </c>
      <c r="B5" s="606" t="s">
        <v>532</v>
      </c>
      <c r="C5" s="607" t="s">
        <v>537</v>
      </c>
      <c r="D5" s="608" t="s">
        <v>1103</v>
      </c>
      <c r="E5" s="607" t="s">
        <v>1593</v>
      </c>
      <c r="F5" s="608" t="s">
        <v>1594</v>
      </c>
      <c r="G5" s="607" t="s">
        <v>1187</v>
      </c>
      <c r="H5" s="607" t="s">
        <v>1188</v>
      </c>
      <c r="I5" s="609">
        <v>4.3</v>
      </c>
      <c r="J5" s="609">
        <v>24</v>
      </c>
      <c r="K5" s="610">
        <v>103.2</v>
      </c>
    </row>
    <row r="6" spans="1:11" ht="14.4" customHeight="1" x14ac:dyDescent="0.3">
      <c r="A6" s="611" t="s">
        <v>531</v>
      </c>
      <c r="B6" s="612" t="s">
        <v>532</v>
      </c>
      <c r="C6" s="613" t="s">
        <v>537</v>
      </c>
      <c r="D6" s="614" t="s">
        <v>1103</v>
      </c>
      <c r="E6" s="613" t="s">
        <v>1593</v>
      </c>
      <c r="F6" s="614" t="s">
        <v>1594</v>
      </c>
      <c r="G6" s="613" t="s">
        <v>1189</v>
      </c>
      <c r="H6" s="613" t="s">
        <v>1190</v>
      </c>
      <c r="I6" s="615">
        <v>8.52</v>
      </c>
      <c r="J6" s="615">
        <v>2</v>
      </c>
      <c r="K6" s="616">
        <v>17.04</v>
      </c>
    </row>
    <row r="7" spans="1:11" ht="14.4" customHeight="1" x14ac:dyDescent="0.3">
      <c r="A7" s="611" t="s">
        <v>531</v>
      </c>
      <c r="B7" s="612" t="s">
        <v>532</v>
      </c>
      <c r="C7" s="613" t="s">
        <v>537</v>
      </c>
      <c r="D7" s="614" t="s">
        <v>1103</v>
      </c>
      <c r="E7" s="613" t="s">
        <v>1593</v>
      </c>
      <c r="F7" s="614" t="s">
        <v>1594</v>
      </c>
      <c r="G7" s="613" t="s">
        <v>1191</v>
      </c>
      <c r="H7" s="613" t="s">
        <v>1192</v>
      </c>
      <c r="I7" s="615">
        <v>0.42</v>
      </c>
      <c r="J7" s="615">
        <v>100</v>
      </c>
      <c r="K7" s="616">
        <v>42</v>
      </c>
    </row>
    <row r="8" spans="1:11" ht="14.4" customHeight="1" x14ac:dyDescent="0.3">
      <c r="A8" s="611" t="s">
        <v>531</v>
      </c>
      <c r="B8" s="612" t="s">
        <v>532</v>
      </c>
      <c r="C8" s="613" t="s">
        <v>537</v>
      </c>
      <c r="D8" s="614" t="s">
        <v>1103</v>
      </c>
      <c r="E8" s="613" t="s">
        <v>1593</v>
      </c>
      <c r="F8" s="614" t="s">
        <v>1594</v>
      </c>
      <c r="G8" s="613" t="s">
        <v>1193</v>
      </c>
      <c r="H8" s="613" t="s">
        <v>1194</v>
      </c>
      <c r="I8" s="615">
        <v>27.908000000000005</v>
      </c>
      <c r="J8" s="615">
        <v>14</v>
      </c>
      <c r="K8" s="616">
        <v>391.25</v>
      </c>
    </row>
    <row r="9" spans="1:11" ht="14.4" customHeight="1" x14ac:dyDescent="0.3">
      <c r="A9" s="611" t="s">
        <v>531</v>
      </c>
      <c r="B9" s="612" t="s">
        <v>532</v>
      </c>
      <c r="C9" s="613" t="s">
        <v>537</v>
      </c>
      <c r="D9" s="614" t="s">
        <v>1103</v>
      </c>
      <c r="E9" s="613" t="s">
        <v>1593</v>
      </c>
      <c r="F9" s="614" t="s">
        <v>1594</v>
      </c>
      <c r="G9" s="613" t="s">
        <v>1195</v>
      </c>
      <c r="H9" s="613" t="s">
        <v>1196</v>
      </c>
      <c r="I9" s="615">
        <v>1.4219999999999999</v>
      </c>
      <c r="J9" s="615">
        <v>2600</v>
      </c>
      <c r="K9" s="616">
        <v>3696.38</v>
      </c>
    </row>
    <row r="10" spans="1:11" ht="14.4" customHeight="1" x14ac:dyDescent="0.3">
      <c r="A10" s="611" t="s">
        <v>531</v>
      </c>
      <c r="B10" s="612" t="s">
        <v>532</v>
      </c>
      <c r="C10" s="613" t="s">
        <v>537</v>
      </c>
      <c r="D10" s="614" t="s">
        <v>1103</v>
      </c>
      <c r="E10" s="613" t="s">
        <v>1593</v>
      </c>
      <c r="F10" s="614" t="s">
        <v>1594</v>
      </c>
      <c r="G10" s="613" t="s">
        <v>1197</v>
      </c>
      <c r="H10" s="613" t="s">
        <v>1198</v>
      </c>
      <c r="I10" s="615">
        <v>0.14200000000000002</v>
      </c>
      <c r="J10" s="615">
        <v>2300</v>
      </c>
      <c r="K10" s="616">
        <v>325</v>
      </c>
    </row>
    <row r="11" spans="1:11" ht="14.4" customHeight="1" x14ac:dyDescent="0.3">
      <c r="A11" s="611" t="s">
        <v>531</v>
      </c>
      <c r="B11" s="612" t="s">
        <v>532</v>
      </c>
      <c r="C11" s="613" t="s">
        <v>537</v>
      </c>
      <c r="D11" s="614" t="s">
        <v>1103</v>
      </c>
      <c r="E11" s="613" t="s">
        <v>1593</v>
      </c>
      <c r="F11" s="614" t="s">
        <v>1594</v>
      </c>
      <c r="G11" s="613" t="s">
        <v>1199</v>
      </c>
      <c r="H11" s="613" t="s">
        <v>1200</v>
      </c>
      <c r="I11" s="615">
        <v>2.81</v>
      </c>
      <c r="J11" s="615">
        <v>100</v>
      </c>
      <c r="K11" s="616">
        <v>281</v>
      </c>
    </row>
    <row r="12" spans="1:11" ht="14.4" customHeight="1" x14ac:dyDescent="0.3">
      <c r="A12" s="611" t="s">
        <v>531</v>
      </c>
      <c r="B12" s="612" t="s">
        <v>532</v>
      </c>
      <c r="C12" s="613" t="s">
        <v>537</v>
      </c>
      <c r="D12" s="614" t="s">
        <v>1103</v>
      </c>
      <c r="E12" s="613" t="s">
        <v>1593</v>
      </c>
      <c r="F12" s="614" t="s">
        <v>1594</v>
      </c>
      <c r="G12" s="613" t="s">
        <v>1201</v>
      </c>
      <c r="H12" s="613" t="s">
        <v>1202</v>
      </c>
      <c r="I12" s="615">
        <v>0.3</v>
      </c>
      <c r="J12" s="615">
        <v>2500</v>
      </c>
      <c r="K12" s="616">
        <v>756.56999999999994</v>
      </c>
    </row>
    <row r="13" spans="1:11" ht="14.4" customHeight="1" x14ac:dyDescent="0.3">
      <c r="A13" s="611" t="s">
        <v>531</v>
      </c>
      <c r="B13" s="612" t="s">
        <v>532</v>
      </c>
      <c r="C13" s="613" t="s">
        <v>537</v>
      </c>
      <c r="D13" s="614" t="s">
        <v>1103</v>
      </c>
      <c r="E13" s="613" t="s">
        <v>1593</v>
      </c>
      <c r="F13" s="614" t="s">
        <v>1594</v>
      </c>
      <c r="G13" s="613" t="s">
        <v>1203</v>
      </c>
      <c r="H13" s="613" t="s">
        <v>1204</v>
      </c>
      <c r="I13" s="615">
        <v>0.30666666666666664</v>
      </c>
      <c r="J13" s="615">
        <v>19200</v>
      </c>
      <c r="K13" s="616">
        <v>5854.4400000000005</v>
      </c>
    </row>
    <row r="14" spans="1:11" ht="14.4" customHeight="1" x14ac:dyDescent="0.3">
      <c r="A14" s="611" t="s">
        <v>531</v>
      </c>
      <c r="B14" s="612" t="s">
        <v>532</v>
      </c>
      <c r="C14" s="613" t="s">
        <v>537</v>
      </c>
      <c r="D14" s="614" t="s">
        <v>1103</v>
      </c>
      <c r="E14" s="613" t="s">
        <v>1593</v>
      </c>
      <c r="F14" s="614" t="s">
        <v>1594</v>
      </c>
      <c r="G14" s="613" t="s">
        <v>1205</v>
      </c>
      <c r="H14" s="613" t="s">
        <v>1206</v>
      </c>
      <c r="I14" s="615">
        <v>0.31</v>
      </c>
      <c r="J14" s="615">
        <v>15</v>
      </c>
      <c r="K14" s="616">
        <v>4.6500000000000004</v>
      </c>
    </row>
    <row r="15" spans="1:11" ht="14.4" customHeight="1" x14ac:dyDescent="0.3">
      <c r="A15" s="611" t="s">
        <v>531</v>
      </c>
      <c r="B15" s="612" t="s">
        <v>532</v>
      </c>
      <c r="C15" s="613" t="s">
        <v>537</v>
      </c>
      <c r="D15" s="614" t="s">
        <v>1103</v>
      </c>
      <c r="E15" s="613" t="s">
        <v>1593</v>
      </c>
      <c r="F15" s="614" t="s">
        <v>1594</v>
      </c>
      <c r="G15" s="613" t="s">
        <v>1207</v>
      </c>
      <c r="H15" s="613" t="s">
        <v>1208</v>
      </c>
      <c r="I15" s="615">
        <v>5.919999999999999</v>
      </c>
      <c r="J15" s="615">
        <v>4</v>
      </c>
      <c r="K15" s="616">
        <v>23.68</v>
      </c>
    </row>
    <row r="16" spans="1:11" ht="14.4" customHeight="1" x14ac:dyDescent="0.3">
      <c r="A16" s="611" t="s">
        <v>531</v>
      </c>
      <c r="B16" s="612" t="s">
        <v>532</v>
      </c>
      <c r="C16" s="613" t="s">
        <v>537</v>
      </c>
      <c r="D16" s="614" t="s">
        <v>1103</v>
      </c>
      <c r="E16" s="613" t="s">
        <v>1593</v>
      </c>
      <c r="F16" s="614" t="s">
        <v>1594</v>
      </c>
      <c r="G16" s="613" t="s">
        <v>1209</v>
      </c>
      <c r="H16" s="613" t="s">
        <v>1210</v>
      </c>
      <c r="I16" s="615">
        <v>2.67</v>
      </c>
      <c r="J16" s="615">
        <v>12</v>
      </c>
      <c r="K16" s="616">
        <v>32.04</v>
      </c>
    </row>
    <row r="17" spans="1:11" ht="14.4" customHeight="1" x14ac:dyDescent="0.3">
      <c r="A17" s="611" t="s">
        <v>531</v>
      </c>
      <c r="B17" s="612" t="s">
        <v>532</v>
      </c>
      <c r="C17" s="613" t="s">
        <v>537</v>
      </c>
      <c r="D17" s="614" t="s">
        <v>1103</v>
      </c>
      <c r="E17" s="613" t="s">
        <v>1595</v>
      </c>
      <c r="F17" s="614" t="s">
        <v>1596</v>
      </c>
      <c r="G17" s="613" t="s">
        <v>1211</v>
      </c>
      <c r="H17" s="613" t="s">
        <v>1212</v>
      </c>
      <c r="I17" s="615">
        <v>15.93</v>
      </c>
      <c r="J17" s="615">
        <v>50</v>
      </c>
      <c r="K17" s="616">
        <v>796.5</v>
      </c>
    </row>
    <row r="18" spans="1:11" ht="14.4" customHeight="1" x14ac:dyDescent="0.3">
      <c r="A18" s="611" t="s">
        <v>531</v>
      </c>
      <c r="B18" s="612" t="s">
        <v>532</v>
      </c>
      <c r="C18" s="613" t="s">
        <v>537</v>
      </c>
      <c r="D18" s="614" t="s">
        <v>1103</v>
      </c>
      <c r="E18" s="613" t="s">
        <v>1595</v>
      </c>
      <c r="F18" s="614" t="s">
        <v>1596</v>
      </c>
      <c r="G18" s="613" t="s">
        <v>1213</v>
      </c>
      <c r="H18" s="613" t="s">
        <v>1214</v>
      </c>
      <c r="I18" s="615">
        <v>2.5099999999999998</v>
      </c>
      <c r="J18" s="615">
        <v>150</v>
      </c>
      <c r="K18" s="616">
        <v>377.5</v>
      </c>
    </row>
    <row r="19" spans="1:11" ht="14.4" customHeight="1" x14ac:dyDescent="0.3">
      <c r="A19" s="611" t="s">
        <v>531</v>
      </c>
      <c r="B19" s="612" t="s">
        <v>532</v>
      </c>
      <c r="C19" s="613" t="s">
        <v>537</v>
      </c>
      <c r="D19" s="614" t="s">
        <v>1103</v>
      </c>
      <c r="E19" s="613" t="s">
        <v>1595</v>
      </c>
      <c r="F19" s="614" t="s">
        <v>1596</v>
      </c>
      <c r="G19" s="613" t="s">
        <v>1215</v>
      </c>
      <c r="H19" s="613" t="s">
        <v>1216</v>
      </c>
      <c r="I19" s="615">
        <v>30.25</v>
      </c>
      <c r="J19" s="615">
        <v>100</v>
      </c>
      <c r="K19" s="616">
        <v>3025</v>
      </c>
    </row>
    <row r="20" spans="1:11" ht="14.4" customHeight="1" x14ac:dyDescent="0.3">
      <c r="A20" s="611" t="s">
        <v>531</v>
      </c>
      <c r="B20" s="612" t="s">
        <v>532</v>
      </c>
      <c r="C20" s="613" t="s">
        <v>537</v>
      </c>
      <c r="D20" s="614" t="s">
        <v>1103</v>
      </c>
      <c r="E20" s="613" t="s">
        <v>1595</v>
      </c>
      <c r="F20" s="614" t="s">
        <v>1596</v>
      </c>
      <c r="G20" s="613" t="s">
        <v>1217</v>
      </c>
      <c r="H20" s="613" t="s">
        <v>1218</v>
      </c>
      <c r="I20" s="615">
        <v>4.1900000000000004</v>
      </c>
      <c r="J20" s="615">
        <v>50</v>
      </c>
      <c r="K20" s="616">
        <v>209.5</v>
      </c>
    </row>
    <row r="21" spans="1:11" ht="14.4" customHeight="1" x14ac:dyDescent="0.3">
      <c r="A21" s="611" t="s">
        <v>531</v>
      </c>
      <c r="B21" s="612" t="s">
        <v>532</v>
      </c>
      <c r="C21" s="613" t="s">
        <v>537</v>
      </c>
      <c r="D21" s="614" t="s">
        <v>1103</v>
      </c>
      <c r="E21" s="613" t="s">
        <v>1595</v>
      </c>
      <c r="F21" s="614" t="s">
        <v>1596</v>
      </c>
      <c r="G21" s="613" t="s">
        <v>1219</v>
      </c>
      <c r="H21" s="613" t="s">
        <v>1220</v>
      </c>
      <c r="I21" s="615">
        <v>1.0940000000000001</v>
      </c>
      <c r="J21" s="615">
        <v>1100</v>
      </c>
      <c r="K21" s="616">
        <v>1203</v>
      </c>
    </row>
    <row r="22" spans="1:11" ht="14.4" customHeight="1" x14ac:dyDescent="0.3">
      <c r="A22" s="611" t="s">
        <v>531</v>
      </c>
      <c r="B22" s="612" t="s">
        <v>532</v>
      </c>
      <c r="C22" s="613" t="s">
        <v>537</v>
      </c>
      <c r="D22" s="614" t="s">
        <v>1103</v>
      </c>
      <c r="E22" s="613" t="s">
        <v>1595</v>
      </c>
      <c r="F22" s="614" t="s">
        <v>1596</v>
      </c>
      <c r="G22" s="613" t="s">
        <v>1221</v>
      </c>
      <c r="H22" s="613" t="s">
        <v>1222</v>
      </c>
      <c r="I22" s="615">
        <v>1.67</v>
      </c>
      <c r="J22" s="615">
        <v>3700</v>
      </c>
      <c r="K22" s="616">
        <v>6179</v>
      </c>
    </row>
    <row r="23" spans="1:11" ht="14.4" customHeight="1" x14ac:dyDescent="0.3">
      <c r="A23" s="611" t="s">
        <v>531</v>
      </c>
      <c r="B23" s="612" t="s">
        <v>532</v>
      </c>
      <c r="C23" s="613" t="s">
        <v>537</v>
      </c>
      <c r="D23" s="614" t="s">
        <v>1103</v>
      </c>
      <c r="E23" s="613" t="s">
        <v>1595</v>
      </c>
      <c r="F23" s="614" t="s">
        <v>1596</v>
      </c>
      <c r="G23" s="613" t="s">
        <v>1223</v>
      </c>
      <c r="H23" s="613" t="s">
        <v>1224</v>
      </c>
      <c r="I23" s="615">
        <v>0.47666666666666663</v>
      </c>
      <c r="J23" s="615">
        <v>400</v>
      </c>
      <c r="K23" s="616">
        <v>191</v>
      </c>
    </row>
    <row r="24" spans="1:11" ht="14.4" customHeight="1" x14ac:dyDescent="0.3">
      <c r="A24" s="611" t="s">
        <v>531</v>
      </c>
      <c r="B24" s="612" t="s">
        <v>532</v>
      </c>
      <c r="C24" s="613" t="s">
        <v>537</v>
      </c>
      <c r="D24" s="614" t="s">
        <v>1103</v>
      </c>
      <c r="E24" s="613" t="s">
        <v>1595</v>
      </c>
      <c r="F24" s="614" t="s">
        <v>1596</v>
      </c>
      <c r="G24" s="613" t="s">
        <v>1225</v>
      </c>
      <c r="H24" s="613" t="s">
        <v>1226</v>
      </c>
      <c r="I24" s="615">
        <v>0.67</v>
      </c>
      <c r="J24" s="615">
        <v>800</v>
      </c>
      <c r="K24" s="616">
        <v>536</v>
      </c>
    </row>
    <row r="25" spans="1:11" ht="14.4" customHeight="1" x14ac:dyDescent="0.3">
      <c r="A25" s="611" t="s">
        <v>531</v>
      </c>
      <c r="B25" s="612" t="s">
        <v>532</v>
      </c>
      <c r="C25" s="613" t="s">
        <v>537</v>
      </c>
      <c r="D25" s="614" t="s">
        <v>1103</v>
      </c>
      <c r="E25" s="613" t="s">
        <v>1595</v>
      </c>
      <c r="F25" s="614" t="s">
        <v>1596</v>
      </c>
      <c r="G25" s="613" t="s">
        <v>1227</v>
      </c>
      <c r="H25" s="613" t="s">
        <v>1228</v>
      </c>
      <c r="I25" s="615">
        <v>3.4800000000000004</v>
      </c>
      <c r="J25" s="615">
        <v>500</v>
      </c>
      <c r="K25" s="616">
        <v>1765.6</v>
      </c>
    </row>
    <row r="26" spans="1:11" ht="14.4" customHeight="1" x14ac:dyDescent="0.3">
      <c r="A26" s="611" t="s">
        <v>531</v>
      </c>
      <c r="B26" s="612" t="s">
        <v>532</v>
      </c>
      <c r="C26" s="613" t="s">
        <v>537</v>
      </c>
      <c r="D26" s="614" t="s">
        <v>1103</v>
      </c>
      <c r="E26" s="613" t="s">
        <v>1595</v>
      </c>
      <c r="F26" s="614" t="s">
        <v>1596</v>
      </c>
      <c r="G26" s="613" t="s">
        <v>1229</v>
      </c>
      <c r="H26" s="613" t="s">
        <v>1230</v>
      </c>
      <c r="I26" s="615">
        <v>2.46</v>
      </c>
      <c r="J26" s="615">
        <v>400</v>
      </c>
      <c r="K26" s="616">
        <v>984</v>
      </c>
    </row>
    <row r="27" spans="1:11" ht="14.4" customHeight="1" x14ac:dyDescent="0.3">
      <c r="A27" s="611" t="s">
        <v>531</v>
      </c>
      <c r="B27" s="612" t="s">
        <v>532</v>
      </c>
      <c r="C27" s="613" t="s">
        <v>537</v>
      </c>
      <c r="D27" s="614" t="s">
        <v>1103</v>
      </c>
      <c r="E27" s="613" t="s">
        <v>1595</v>
      </c>
      <c r="F27" s="614" t="s">
        <v>1596</v>
      </c>
      <c r="G27" s="613" t="s">
        <v>1231</v>
      </c>
      <c r="H27" s="613" t="s">
        <v>1232</v>
      </c>
      <c r="I27" s="615">
        <v>32.67</v>
      </c>
      <c r="J27" s="615">
        <v>50</v>
      </c>
      <c r="K27" s="616">
        <v>1633.5</v>
      </c>
    </row>
    <row r="28" spans="1:11" ht="14.4" customHeight="1" x14ac:dyDescent="0.3">
      <c r="A28" s="611" t="s">
        <v>531</v>
      </c>
      <c r="B28" s="612" t="s">
        <v>532</v>
      </c>
      <c r="C28" s="613" t="s">
        <v>537</v>
      </c>
      <c r="D28" s="614" t="s">
        <v>1103</v>
      </c>
      <c r="E28" s="613" t="s">
        <v>1595</v>
      </c>
      <c r="F28" s="614" t="s">
        <v>1596</v>
      </c>
      <c r="G28" s="613" t="s">
        <v>1233</v>
      </c>
      <c r="H28" s="613" t="s">
        <v>1234</v>
      </c>
      <c r="I28" s="615">
        <v>25.93</v>
      </c>
      <c r="J28" s="615">
        <v>40</v>
      </c>
      <c r="K28" s="616">
        <v>1037</v>
      </c>
    </row>
    <row r="29" spans="1:11" ht="14.4" customHeight="1" x14ac:dyDescent="0.3">
      <c r="A29" s="611" t="s">
        <v>531</v>
      </c>
      <c r="B29" s="612" t="s">
        <v>532</v>
      </c>
      <c r="C29" s="613" t="s">
        <v>537</v>
      </c>
      <c r="D29" s="614" t="s">
        <v>1103</v>
      </c>
      <c r="E29" s="613" t="s">
        <v>1595</v>
      </c>
      <c r="F29" s="614" t="s">
        <v>1596</v>
      </c>
      <c r="G29" s="613" t="s">
        <v>1235</v>
      </c>
      <c r="H29" s="613" t="s">
        <v>1236</v>
      </c>
      <c r="I29" s="615">
        <v>5.41</v>
      </c>
      <c r="J29" s="615">
        <v>100</v>
      </c>
      <c r="K29" s="616">
        <v>541</v>
      </c>
    </row>
    <row r="30" spans="1:11" ht="14.4" customHeight="1" x14ac:dyDescent="0.3">
      <c r="A30" s="611" t="s">
        <v>531</v>
      </c>
      <c r="B30" s="612" t="s">
        <v>532</v>
      </c>
      <c r="C30" s="613" t="s">
        <v>537</v>
      </c>
      <c r="D30" s="614" t="s">
        <v>1103</v>
      </c>
      <c r="E30" s="613" t="s">
        <v>1595</v>
      </c>
      <c r="F30" s="614" t="s">
        <v>1596</v>
      </c>
      <c r="G30" s="613" t="s">
        <v>1237</v>
      </c>
      <c r="H30" s="613" t="s">
        <v>1238</v>
      </c>
      <c r="I30" s="615">
        <v>1326.2</v>
      </c>
      <c r="J30" s="615">
        <v>2</v>
      </c>
      <c r="K30" s="616">
        <v>2652.4</v>
      </c>
    </row>
    <row r="31" spans="1:11" ht="14.4" customHeight="1" x14ac:dyDescent="0.3">
      <c r="A31" s="611" t="s">
        <v>531</v>
      </c>
      <c r="B31" s="612" t="s">
        <v>532</v>
      </c>
      <c r="C31" s="613" t="s">
        <v>537</v>
      </c>
      <c r="D31" s="614" t="s">
        <v>1103</v>
      </c>
      <c r="E31" s="613" t="s">
        <v>1595</v>
      </c>
      <c r="F31" s="614" t="s">
        <v>1596</v>
      </c>
      <c r="G31" s="613" t="s">
        <v>1239</v>
      </c>
      <c r="H31" s="613" t="s">
        <v>1240</v>
      </c>
      <c r="I31" s="615">
        <v>58.784999999999997</v>
      </c>
      <c r="J31" s="615">
        <v>24</v>
      </c>
      <c r="K31" s="616">
        <v>1410.8400000000001</v>
      </c>
    </row>
    <row r="32" spans="1:11" ht="14.4" customHeight="1" x14ac:dyDescent="0.3">
      <c r="A32" s="611" t="s">
        <v>531</v>
      </c>
      <c r="B32" s="612" t="s">
        <v>532</v>
      </c>
      <c r="C32" s="613" t="s">
        <v>537</v>
      </c>
      <c r="D32" s="614" t="s">
        <v>1103</v>
      </c>
      <c r="E32" s="613" t="s">
        <v>1595</v>
      </c>
      <c r="F32" s="614" t="s">
        <v>1596</v>
      </c>
      <c r="G32" s="613" t="s">
        <v>1241</v>
      </c>
      <c r="H32" s="613" t="s">
        <v>1242</v>
      </c>
      <c r="I32" s="615">
        <v>2.0649999999999999</v>
      </c>
      <c r="J32" s="615">
        <v>20</v>
      </c>
      <c r="K32" s="616">
        <v>41.3</v>
      </c>
    </row>
    <row r="33" spans="1:11" ht="14.4" customHeight="1" x14ac:dyDescent="0.3">
      <c r="A33" s="611" t="s">
        <v>531</v>
      </c>
      <c r="B33" s="612" t="s">
        <v>532</v>
      </c>
      <c r="C33" s="613" t="s">
        <v>537</v>
      </c>
      <c r="D33" s="614" t="s">
        <v>1103</v>
      </c>
      <c r="E33" s="613" t="s">
        <v>1595</v>
      </c>
      <c r="F33" s="614" t="s">
        <v>1596</v>
      </c>
      <c r="G33" s="613" t="s">
        <v>1243</v>
      </c>
      <c r="H33" s="613" t="s">
        <v>1244</v>
      </c>
      <c r="I33" s="615">
        <v>2.46</v>
      </c>
      <c r="J33" s="615">
        <v>2000</v>
      </c>
      <c r="K33" s="616">
        <v>4920.8099999999995</v>
      </c>
    </row>
    <row r="34" spans="1:11" ht="14.4" customHeight="1" x14ac:dyDescent="0.3">
      <c r="A34" s="611" t="s">
        <v>531</v>
      </c>
      <c r="B34" s="612" t="s">
        <v>532</v>
      </c>
      <c r="C34" s="613" t="s">
        <v>537</v>
      </c>
      <c r="D34" s="614" t="s">
        <v>1103</v>
      </c>
      <c r="E34" s="613" t="s">
        <v>1595</v>
      </c>
      <c r="F34" s="614" t="s">
        <v>1596</v>
      </c>
      <c r="G34" s="613" t="s">
        <v>1245</v>
      </c>
      <c r="H34" s="613" t="s">
        <v>1246</v>
      </c>
      <c r="I34" s="615">
        <v>4.7433333333333332</v>
      </c>
      <c r="J34" s="615">
        <v>180</v>
      </c>
      <c r="K34" s="616">
        <v>853.9</v>
      </c>
    </row>
    <row r="35" spans="1:11" ht="14.4" customHeight="1" x14ac:dyDescent="0.3">
      <c r="A35" s="611" t="s">
        <v>531</v>
      </c>
      <c r="B35" s="612" t="s">
        <v>532</v>
      </c>
      <c r="C35" s="613" t="s">
        <v>537</v>
      </c>
      <c r="D35" s="614" t="s">
        <v>1103</v>
      </c>
      <c r="E35" s="613" t="s">
        <v>1595</v>
      </c>
      <c r="F35" s="614" t="s">
        <v>1596</v>
      </c>
      <c r="G35" s="613" t="s">
        <v>1247</v>
      </c>
      <c r="H35" s="613" t="s">
        <v>1248</v>
      </c>
      <c r="I35" s="615">
        <v>12.108000000000001</v>
      </c>
      <c r="J35" s="615">
        <v>300</v>
      </c>
      <c r="K35" s="616">
        <v>3632.3999999999996</v>
      </c>
    </row>
    <row r="36" spans="1:11" ht="14.4" customHeight="1" x14ac:dyDescent="0.3">
      <c r="A36" s="611" t="s">
        <v>531</v>
      </c>
      <c r="B36" s="612" t="s">
        <v>532</v>
      </c>
      <c r="C36" s="613" t="s">
        <v>537</v>
      </c>
      <c r="D36" s="614" t="s">
        <v>1103</v>
      </c>
      <c r="E36" s="613" t="s">
        <v>1595</v>
      </c>
      <c r="F36" s="614" t="s">
        <v>1596</v>
      </c>
      <c r="G36" s="613" t="s">
        <v>1249</v>
      </c>
      <c r="H36" s="613" t="s">
        <v>1250</v>
      </c>
      <c r="I36" s="615">
        <v>2.5099999999999998</v>
      </c>
      <c r="J36" s="615">
        <v>50</v>
      </c>
      <c r="K36" s="616">
        <v>125.5</v>
      </c>
    </row>
    <row r="37" spans="1:11" ht="14.4" customHeight="1" x14ac:dyDescent="0.3">
      <c r="A37" s="611" t="s">
        <v>531</v>
      </c>
      <c r="B37" s="612" t="s">
        <v>532</v>
      </c>
      <c r="C37" s="613" t="s">
        <v>537</v>
      </c>
      <c r="D37" s="614" t="s">
        <v>1103</v>
      </c>
      <c r="E37" s="613" t="s">
        <v>1595</v>
      </c>
      <c r="F37" s="614" t="s">
        <v>1596</v>
      </c>
      <c r="G37" s="613" t="s">
        <v>1251</v>
      </c>
      <c r="H37" s="613" t="s">
        <v>1252</v>
      </c>
      <c r="I37" s="615">
        <v>1.27</v>
      </c>
      <c r="J37" s="615">
        <v>75</v>
      </c>
      <c r="K37" s="616">
        <v>95.25</v>
      </c>
    </row>
    <row r="38" spans="1:11" ht="14.4" customHeight="1" x14ac:dyDescent="0.3">
      <c r="A38" s="611" t="s">
        <v>531</v>
      </c>
      <c r="B38" s="612" t="s">
        <v>532</v>
      </c>
      <c r="C38" s="613" t="s">
        <v>537</v>
      </c>
      <c r="D38" s="614" t="s">
        <v>1103</v>
      </c>
      <c r="E38" s="613" t="s">
        <v>1595</v>
      </c>
      <c r="F38" s="614" t="s">
        <v>1596</v>
      </c>
      <c r="G38" s="613" t="s">
        <v>1253</v>
      </c>
      <c r="H38" s="613" t="s">
        <v>1254</v>
      </c>
      <c r="I38" s="615">
        <v>21.24</v>
      </c>
      <c r="J38" s="615">
        <v>50</v>
      </c>
      <c r="K38" s="616">
        <v>1062</v>
      </c>
    </row>
    <row r="39" spans="1:11" ht="14.4" customHeight="1" x14ac:dyDescent="0.3">
      <c r="A39" s="611" t="s">
        <v>531</v>
      </c>
      <c r="B39" s="612" t="s">
        <v>532</v>
      </c>
      <c r="C39" s="613" t="s">
        <v>537</v>
      </c>
      <c r="D39" s="614" t="s">
        <v>1103</v>
      </c>
      <c r="E39" s="613" t="s">
        <v>1595</v>
      </c>
      <c r="F39" s="614" t="s">
        <v>1596</v>
      </c>
      <c r="G39" s="613" t="s">
        <v>1255</v>
      </c>
      <c r="H39" s="613" t="s">
        <v>1256</v>
      </c>
      <c r="I39" s="615">
        <v>3.14</v>
      </c>
      <c r="J39" s="615">
        <v>100</v>
      </c>
      <c r="K39" s="616">
        <v>314.07</v>
      </c>
    </row>
    <row r="40" spans="1:11" ht="14.4" customHeight="1" x14ac:dyDescent="0.3">
      <c r="A40" s="611" t="s">
        <v>531</v>
      </c>
      <c r="B40" s="612" t="s">
        <v>532</v>
      </c>
      <c r="C40" s="613" t="s">
        <v>537</v>
      </c>
      <c r="D40" s="614" t="s">
        <v>1103</v>
      </c>
      <c r="E40" s="613" t="s">
        <v>1595</v>
      </c>
      <c r="F40" s="614" t="s">
        <v>1596</v>
      </c>
      <c r="G40" s="613" t="s">
        <v>1257</v>
      </c>
      <c r="H40" s="613" t="s">
        <v>1258</v>
      </c>
      <c r="I40" s="615">
        <v>9.1999999999999993</v>
      </c>
      <c r="J40" s="615">
        <v>900</v>
      </c>
      <c r="K40" s="616">
        <v>8280</v>
      </c>
    </row>
    <row r="41" spans="1:11" ht="14.4" customHeight="1" x14ac:dyDescent="0.3">
      <c r="A41" s="611" t="s">
        <v>531</v>
      </c>
      <c r="B41" s="612" t="s">
        <v>532</v>
      </c>
      <c r="C41" s="613" t="s">
        <v>537</v>
      </c>
      <c r="D41" s="614" t="s">
        <v>1103</v>
      </c>
      <c r="E41" s="613" t="s">
        <v>1595</v>
      </c>
      <c r="F41" s="614" t="s">
        <v>1596</v>
      </c>
      <c r="G41" s="613" t="s">
        <v>1259</v>
      </c>
      <c r="H41" s="613" t="s">
        <v>1260</v>
      </c>
      <c r="I41" s="615">
        <v>172.5</v>
      </c>
      <c r="J41" s="615">
        <v>2</v>
      </c>
      <c r="K41" s="616">
        <v>345</v>
      </c>
    </row>
    <row r="42" spans="1:11" ht="14.4" customHeight="1" x14ac:dyDescent="0.3">
      <c r="A42" s="611" t="s">
        <v>531</v>
      </c>
      <c r="B42" s="612" t="s">
        <v>532</v>
      </c>
      <c r="C42" s="613" t="s">
        <v>537</v>
      </c>
      <c r="D42" s="614" t="s">
        <v>1103</v>
      </c>
      <c r="E42" s="613" t="s">
        <v>1595</v>
      </c>
      <c r="F42" s="614" t="s">
        <v>1596</v>
      </c>
      <c r="G42" s="613" t="s">
        <v>1261</v>
      </c>
      <c r="H42" s="613" t="s">
        <v>1262</v>
      </c>
      <c r="I42" s="615">
        <v>403.77799999999996</v>
      </c>
      <c r="J42" s="615">
        <v>100</v>
      </c>
      <c r="K42" s="616">
        <v>40377.760000000002</v>
      </c>
    </row>
    <row r="43" spans="1:11" ht="14.4" customHeight="1" x14ac:dyDescent="0.3">
      <c r="A43" s="611" t="s">
        <v>531</v>
      </c>
      <c r="B43" s="612" t="s">
        <v>532</v>
      </c>
      <c r="C43" s="613" t="s">
        <v>537</v>
      </c>
      <c r="D43" s="614" t="s">
        <v>1103</v>
      </c>
      <c r="E43" s="613" t="s">
        <v>1595</v>
      </c>
      <c r="F43" s="614" t="s">
        <v>1596</v>
      </c>
      <c r="G43" s="613" t="s">
        <v>1263</v>
      </c>
      <c r="H43" s="613" t="s">
        <v>1264</v>
      </c>
      <c r="I43" s="615">
        <v>17.059999999999999</v>
      </c>
      <c r="J43" s="615">
        <v>10</v>
      </c>
      <c r="K43" s="616">
        <v>170.61</v>
      </c>
    </row>
    <row r="44" spans="1:11" ht="14.4" customHeight="1" x14ac:dyDescent="0.3">
      <c r="A44" s="611" t="s">
        <v>531</v>
      </c>
      <c r="B44" s="612" t="s">
        <v>532</v>
      </c>
      <c r="C44" s="613" t="s">
        <v>537</v>
      </c>
      <c r="D44" s="614" t="s">
        <v>1103</v>
      </c>
      <c r="E44" s="613" t="s">
        <v>1595</v>
      </c>
      <c r="F44" s="614" t="s">
        <v>1596</v>
      </c>
      <c r="G44" s="613" t="s">
        <v>1265</v>
      </c>
      <c r="H44" s="613" t="s">
        <v>1266</v>
      </c>
      <c r="I44" s="615">
        <v>5.81</v>
      </c>
      <c r="J44" s="615">
        <v>50</v>
      </c>
      <c r="K44" s="616">
        <v>290.39999999999998</v>
      </c>
    </row>
    <row r="45" spans="1:11" ht="14.4" customHeight="1" x14ac:dyDescent="0.3">
      <c r="A45" s="611" t="s">
        <v>531</v>
      </c>
      <c r="B45" s="612" t="s">
        <v>532</v>
      </c>
      <c r="C45" s="613" t="s">
        <v>537</v>
      </c>
      <c r="D45" s="614" t="s">
        <v>1103</v>
      </c>
      <c r="E45" s="613" t="s">
        <v>1595</v>
      </c>
      <c r="F45" s="614" t="s">
        <v>1596</v>
      </c>
      <c r="G45" s="613" t="s">
        <v>1267</v>
      </c>
      <c r="H45" s="613" t="s">
        <v>1268</v>
      </c>
      <c r="I45" s="615">
        <v>285.71500000000003</v>
      </c>
      <c r="J45" s="615">
        <v>10</v>
      </c>
      <c r="K45" s="616">
        <v>2857.12</v>
      </c>
    </row>
    <row r="46" spans="1:11" ht="14.4" customHeight="1" x14ac:dyDescent="0.3">
      <c r="A46" s="611" t="s">
        <v>531</v>
      </c>
      <c r="B46" s="612" t="s">
        <v>532</v>
      </c>
      <c r="C46" s="613" t="s">
        <v>537</v>
      </c>
      <c r="D46" s="614" t="s">
        <v>1103</v>
      </c>
      <c r="E46" s="613" t="s">
        <v>1595</v>
      </c>
      <c r="F46" s="614" t="s">
        <v>1596</v>
      </c>
      <c r="G46" s="613" t="s">
        <v>1269</v>
      </c>
      <c r="H46" s="613" t="s">
        <v>1270</v>
      </c>
      <c r="I46" s="615">
        <v>105.94</v>
      </c>
      <c r="J46" s="615">
        <v>16</v>
      </c>
      <c r="K46" s="616">
        <v>1695</v>
      </c>
    </row>
    <row r="47" spans="1:11" ht="14.4" customHeight="1" x14ac:dyDescent="0.3">
      <c r="A47" s="611" t="s">
        <v>531</v>
      </c>
      <c r="B47" s="612" t="s">
        <v>532</v>
      </c>
      <c r="C47" s="613" t="s">
        <v>537</v>
      </c>
      <c r="D47" s="614" t="s">
        <v>1103</v>
      </c>
      <c r="E47" s="613" t="s">
        <v>1595</v>
      </c>
      <c r="F47" s="614" t="s">
        <v>1596</v>
      </c>
      <c r="G47" s="613" t="s">
        <v>1271</v>
      </c>
      <c r="H47" s="613" t="s">
        <v>1272</v>
      </c>
      <c r="I47" s="615">
        <v>350.9</v>
      </c>
      <c r="J47" s="615">
        <v>2</v>
      </c>
      <c r="K47" s="616">
        <v>701.8</v>
      </c>
    </row>
    <row r="48" spans="1:11" ht="14.4" customHeight="1" x14ac:dyDescent="0.3">
      <c r="A48" s="611" t="s">
        <v>531</v>
      </c>
      <c r="B48" s="612" t="s">
        <v>532</v>
      </c>
      <c r="C48" s="613" t="s">
        <v>537</v>
      </c>
      <c r="D48" s="614" t="s">
        <v>1103</v>
      </c>
      <c r="E48" s="613" t="s">
        <v>1595</v>
      </c>
      <c r="F48" s="614" t="s">
        <v>1596</v>
      </c>
      <c r="G48" s="613" t="s">
        <v>1273</v>
      </c>
      <c r="H48" s="613" t="s">
        <v>1274</v>
      </c>
      <c r="I48" s="615">
        <v>14.31</v>
      </c>
      <c r="J48" s="615">
        <v>10</v>
      </c>
      <c r="K48" s="616">
        <v>143.06</v>
      </c>
    </row>
    <row r="49" spans="1:11" ht="14.4" customHeight="1" x14ac:dyDescent="0.3">
      <c r="A49" s="611" t="s">
        <v>531</v>
      </c>
      <c r="B49" s="612" t="s">
        <v>532</v>
      </c>
      <c r="C49" s="613" t="s">
        <v>537</v>
      </c>
      <c r="D49" s="614" t="s">
        <v>1103</v>
      </c>
      <c r="E49" s="613" t="s">
        <v>1595</v>
      </c>
      <c r="F49" s="614" t="s">
        <v>1596</v>
      </c>
      <c r="G49" s="613" t="s">
        <v>1275</v>
      </c>
      <c r="H49" s="613" t="s">
        <v>1276</v>
      </c>
      <c r="I49" s="615">
        <v>196</v>
      </c>
      <c r="J49" s="615">
        <v>1</v>
      </c>
      <c r="K49" s="616">
        <v>196</v>
      </c>
    </row>
    <row r="50" spans="1:11" ht="14.4" customHeight="1" x14ac:dyDescent="0.3">
      <c r="A50" s="611" t="s">
        <v>531</v>
      </c>
      <c r="B50" s="612" t="s">
        <v>532</v>
      </c>
      <c r="C50" s="613" t="s">
        <v>537</v>
      </c>
      <c r="D50" s="614" t="s">
        <v>1103</v>
      </c>
      <c r="E50" s="613" t="s">
        <v>1595</v>
      </c>
      <c r="F50" s="614" t="s">
        <v>1596</v>
      </c>
      <c r="G50" s="613" t="s">
        <v>1277</v>
      </c>
      <c r="H50" s="613" t="s">
        <v>1278</v>
      </c>
      <c r="I50" s="615">
        <v>87.545000000000002</v>
      </c>
      <c r="J50" s="615">
        <v>20</v>
      </c>
      <c r="K50" s="616">
        <v>1750.88</v>
      </c>
    </row>
    <row r="51" spans="1:11" ht="14.4" customHeight="1" x14ac:dyDescent="0.3">
      <c r="A51" s="611" t="s">
        <v>531</v>
      </c>
      <c r="B51" s="612" t="s">
        <v>532</v>
      </c>
      <c r="C51" s="613" t="s">
        <v>537</v>
      </c>
      <c r="D51" s="614" t="s">
        <v>1103</v>
      </c>
      <c r="E51" s="613" t="s">
        <v>1595</v>
      </c>
      <c r="F51" s="614" t="s">
        <v>1596</v>
      </c>
      <c r="G51" s="613" t="s">
        <v>1279</v>
      </c>
      <c r="H51" s="613" t="s">
        <v>1280</v>
      </c>
      <c r="I51" s="615">
        <v>1</v>
      </c>
      <c r="J51" s="615">
        <v>200</v>
      </c>
      <c r="K51" s="616">
        <v>200</v>
      </c>
    </row>
    <row r="52" spans="1:11" ht="14.4" customHeight="1" x14ac:dyDescent="0.3">
      <c r="A52" s="611" t="s">
        <v>531</v>
      </c>
      <c r="B52" s="612" t="s">
        <v>532</v>
      </c>
      <c r="C52" s="613" t="s">
        <v>537</v>
      </c>
      <c r="D52" s="614" t="s">
        <v>1103</v>
      </c>
      <c r="E52" s="613" t="s">
        <v>1595</v>
      </c>
      <c r="F52" s="614" t="s">
        <v>1596</v>
      </c>
      <c r="G52" s="613" t="s">
        <v>1281</v>
      </c>
      <c r="H52" s="613" t="s">
        <v>1282</v>
      </c>
      <c r="I52" s="615">
        <v>209.94</v>
      </c>
      <c r="J52" s="615">
        <v>10</v>
      </c>
      <c r="K52" s="616">
        <v>2099.35</v>
      </c>
    </row>
    <row r="53" spans="1:11" ht="14.4" customHeight="1" x14ac:dyDescent="0.3">
      <c r="A53" s="611" t="s">
        <v>531</v>
      </c>
      <c r="B53" s="612" t="s">
        <v>532</v>
      </c>
      <c r="C53" s="613" t="s">
        <v>537</v>
      </c>
      <c r="D53" s="614" t="s">
        <v>1103</v>
      </c>
      <c r="E53" s="613" t="s">
        <v>1595</v>
      </c>
      <c r="F53" s="614" t="s">
        <v>1596</v>
      </c>
      <c r="G53" s="613" t="s">
        <v>1283</v>
      </c>
      <c r="H53" s="613" t="s">
        <v>1284</v>
      </c>
      <c r="I53" s="615">
        <v>63</v>
      </c>
      <c r="J53" s="615">
        <v>1</v>
      </c>
      <c r="K53" s="616">
        <v>63</v>
      </c>
    </row>
    <row r="54" spans="1:11" ht="14.4" customHeight="1" x14ac:dyDescent="0.3">
      <c r="A54" s="611" t="s">
        <v>531</v>
      </c>
      <c r="B54" s="612" t="s">
        <v>532</v>
      </c>
      <c r="C54" s="613" t="s">
        <v>537</v>
      </c>
      <c r="D54" s="614" t="s">
        <v>1103</v>
      </c>
      <c r="E54" s="613" t="s">
        <v>1595</v>
      </c>
      <c r="F54" s="614" t="s">
        <v>1596</v>
      </c>
      <c r="G54" s="613" t="s">
        <v>1285</v>
      </c>
      <c r="H54" s="613" t="s">
        <v>1286</v>
      </c>
      <c r="I54" s="615">
        <v>27.83</v>
      </c>
      <c r="J54" s="615">
        <v>10</v>
      </c>
      <c r="K54" s="616">
        <v>278.3</v>
      </c>
    </row>
    <row r="55" spans="1:11" ht="14.4" customHeight="1" x14ac:dyDescent="0.3">
      <c r="A55" s="611" t="s">
        <v>531</v>
      </c>
      <c r="B55" s="612" t="s">
        <v>532</v>
      </c>
      <c r="C55" s="613" t="s">
        <v>537</v>
      </c>
      <c r="D55" s="614" t="s">
        <v>1103</v>
      </c>
      <c r="E55" s="613" t="s">
        <v>1595</v>
      </c>
      <c r="F55" s="614" t="s">
        <v>1596</v>
      </c>
      <c r="G55" s="613" t="s">
        <v>1287</v>
      </c>
      <c r="H55" s="613" t="s">
        <v>1288</v>
      </c>
      <c r="I55" s="615">
        <v>9.0500000000000007</v>
      </c>
      <c r="J55" s="615">
        <v>40</v>
      </c>
      <c r="K55" s="616">
        <v>362</v>
      </c>
    </row>
    <row r="56" spans="1:11" ht="14.4" customHeight="1" x14ac:dyDescent="0.3">
      <c r="A56" s="611" t="s">
        <v>531</v>
      </c>
      <c r="B56" s="612" t="s">
        <v>532</v>
      </c>
      <c r="C56" s="613" t="s">
        <v>537</v>
      </c>
      <c r="D56" s="614" t="s">
        <v>1103</v>
      </c>
      <c r="E56" s="613" t="s">
        <v>1595</v>
      </c>
      <c r="F56" s="614" t="s">
        <v>1596</v>
      </c>
      <c r="G56" s="613" t="s">
        <v>1289</v>
      </c>
      <c r="H56" s="613" t="s">
        <v>1290</v>
      </c>
      <c r="I56" s="615">
        <v>114</v>
      </c>
      <c r="J56" s="615">
        <v>1</v>
      </c>
      <c r="K56" s="616">
        <v>114</v>
      </c>
    </row>
    <row r="57" spans="1:11" ht="14.4" customHeight="1" x14ac:dyDescent="0.3">
      <c r="A57" s="611" t="s">
        <v>531</v>
      </c>
      <c r="B57" s="612" t="s">
        <v>532</v>
      </c>
      <c r="C57" s="613" t="s">
        <v>537</v>
      </c>
      <c r="D57" s="614" t="s">
        <v>1103</v>
      </c>
      <c r="E57" s="613" t="s">
        <v>1595</v>
      </c>
      <c r="F57" s="614" t="s">
        <v>1596</v>
      </c>
      <c r="G57" s="613" t="s">
        <v>1291</v>
      </c>
      <c r="H57" s="613" t="s">
        <v>1292</v>
      </c>
      <c r="I57" s="615">
        <v>134.86000000000001</v>
      </c>
      <c r="J57" s="615">
        <v>20</v>
      </c>
      <c r="K57" s="616">
        <v>2697.21</v>
      </c>
    </row>
    <row r="58" spans="1:11" ht="14.4" customHeight="1" x14ac:dyDescent="0.3">
      <c r="A58" s="611" t="s">
        <v>531</v>
      </c>
      <c r="B58" s="612" t="s">
        <v>532</v>
      </c>
      <c r="C58" s="613" t="s">
        <v>537</v>
      </c>
      <c r="D58" s="614" t="s">
        <v>1103</v>
      </c>
      <c r="E58" s="613" t="s">
        <v>1595</v>
      </c>
      <c r="F58" s="614" t="s">
        <v>1596</v>
      </c>
      <c r="G58" s="613" t="s">
        <v>1293</v>
      </c>
      <c r="H58" s="613" t="s">
        <v>1294</v>
      </c>
      <c r="I58" s="615">
        <v>1.05</v>
      </c>
      <c r="J58" s="615">
        <v>700</v>
      </c>
      <c r="K58" s="616">
        <v>735</v>
      </c>
    </row>
    <row r="59" spans="1:11" ht="14.4" customHeight="1" x14ac:dyDescent="0.3">
      <c r="A59" s="611" t="s">
        <v>531</v>
      </c>
      <c r="B59" s="612" t="s">
        <v>532</v>
      </c>
      <c r="C59" s="613" t="s">
        <v>537</v>
      </c>
      <c r="D59" s="614" t="s">
        <v>1103</v>
      </c>
      <c r="E59" s="613" t="s">
        <v>1597</v>
      </c>
      <c r="F59" s="614" t="s">
        <v>1598</v>
      </c>
      <c r="G59" s="613" t="s">
        <v>1295</v>
      </c>
      <c r="H59" s="613" t="s">
        <v>1296</v>
      </c>
      <c r="I59" s="615">
        <v>0.3</v>
      </c>
      <c r="J59" s="615">
        <v>100</v>
      </c>
      <c r="K59" s="616">
        <v>30</v>
      </c>
    </row>
    <row r="60" spans="1:11" ht="14.4" customHeight="1" x14ac:dyDescent="0.3">
      <c r="A60" s="611" t="s">
        <v>531</v>
      </c>
      <c r="B60" s="612" t="s">
        <v>532</v>
      </c>
      <c r="C60" s="613" t="s">
        <v>537</v>
      </c>
      <c r="D60" s="614" t="s">
        <v>1103</v>
      </c>
      <c r="E60" s="613" t="s">
        <v>1597</v>
      </c>
      <c r="F60" s="614" t="s">
        <v>1598</v>
      </c>
      <c r="G60" s="613" t="s">
        <v>1297</v>
      </c>
      <c r="H60" s="613" t="s">
        <v>1298</v>
      </c>
      <c r="I60" s="615">
        <v>0.30199999999999999</v>
      </c>
      <c r="J60" s="615">
        <v>700</v>
      </c>
      <c r="K60" s="616">
        <v>211</v>
      </c>
    </row>
    <row r="61" spans="1:11" ht="14.4" customHeight="1" x14ac:dyDescent="0.3">
      <c r="A61" s="611" t="s">
        <v>531</v>
      </c>
      <c r="B61" s="612" t="s">
        <v>532</v>
      </c>
      <c r="C61" s="613" t="s">
        <v>537</v>
      </c>
      <c r="D61" s="614" t="s">
        <v>1103</v>
      </c>
      <c r="E61" s="613" t="s">
        <v>1597</v>
      </c>
      <c r="F61" s="614" t="s">
        <v>1598</v>
      </c>
      <c r="G61" s="613" t="s">
        <v>1299</v>
      </c>
      <c r="H61" s="613" t="s">
        <v>1300</v>
      </c>
      <c r="I61" s="615">
        <v>0.49</v>
      </c>
      <c r="J61" s="615">
        <v>100</v>
      </c>
      <c r="K61" s="616">
        <v>49</v>
      </c>
    </row>
    <row r="62" spans="1:11" ht="14.4" customHeight="1" x14ac:dyDescent="0.3">
      <c r="A62" s="611" t="s">
        <v>531</v>
      </c>
      <c r="B62" s="612" t="s">
        <v>532</v>
      </c>
      <c r="C62" s="613" t="s">
        <v>537</v>
      </c>
      <c r="D62" s="614" t="s">
        <v>1103</v>
      </c>
      <c r="E62" s="613" t="s">
        <v>1599</v>
      </c>
      <c r="F62" s="614" t="s">
        <v>1600</v>
      </c>
      <c r="G62" s="613" t="s">
        <v>1301</v>
      </c>
      <c r="H62" s="613" t="s">
        <v>1302</v>
      </c>
      <c r="I62" s="615">
        <v>7.5</v>
      </c>
      <c r="J62" s="615">
        <v>300</v>
      </c>
      <c r="K62" s="616">
        <v>2250</v>
      </c>
    </row>
    <row r="63" spans="1:11" ht="14.4" customHeight="1" x14ac:dyDescent="0.3">
      <c r="A63" s="611" t="s">
        <v>531</v>
      </c>
      <c r="B63" s="612" t="s">
        <v>532</v>
      </c>
      <c r="C63" s="613" t="s">
        <v>537</v>
      </c>
      <c r="D63" s="614" t="s">
        <v>1103</v>
      </c>
      <c r="E63" s="613" t="s">
        <v>1599</v>
      </c>
      <c r="F63" s="614" t="s">
        <v>1600</v>
      </c>
      <c r="G63" s="613" t="s">
        <v>1303</v>
      </c>
      <c r="H63" s="613" t="s">
        <v>1304</v>
      </c>
      <c r="I63" s="615">
        <v>7.5066666666666668</v>
      </c>
      <c r="J63" s="615">
        <v>300</v>
      </c>
      <c r="K63" s="616">
        <v>2252</v>
      </c>
    </row>
    <row r="64" spans="1:11" ht="14.4" customHeight="1" x14ac:dyDescent="0.3">
      <c r="A64" s="611" t="s">
        <v>531</v>
      </c>
      <c r="B64" s="612" t="s">
        <v>532</v>
      </c>
      <c r="C64" s="613" t="s">
        <v>537</v>
      </c>
      <c r="D64" s="614" t="s">
        <v>1103</v>
      </c>
      <c r="E64" s="613" t="s">
        <v>1599</v>
      </c>
      <c r="F64" s="614" t="s">
        <v>1600</v>
      </c>
      <c r="G64" s="613" t="s">
        <v>1305</v>
      </c>
      <c r="H64" s="613" t="s">
        <v>1306</v>
      </c>
      <c r="I64" s="615">
        <v>0.71</v>
      </c>
      <c r="J64" s="615">
        <v>10000</v>
      </c>
      <c r="K64" s="616">
        <v>7091.51</v>
      </c>
    </row>
    <row r="65" spans="1:11" ht="14.4" customHeight="1" x14ac:dyDescent="0.3">
      <c r="A65" s="611" t="s">
        <v>531</v>
      </c>
      <c r="B65" s="612" t="s">
        <v>532</v>
      </c>
      <c r="C65" s="613" t="s">
        <v>537</v>
      </c>
      <c r="D65" s="614" t="s">
        <v>1103</v>
      </c>
      <c r="E65" s="613" t="s">
        <v>1599</v>
      </c>
      <c r="F65" s="614" t="s">
        <v>1600</v>
      </c>
      <c r="G65" s="613" t="s">
        <v>1307</v>
      </c>
      <c r="H65" s="613" t="s">
        <v>1308</v>
      </c>
      <c r="I65" s="615">
        <v>12.020000000000001</v>
      </c>
      <c r="J65" s="615">
        <v>169</v>
      </c>
      <c r="K65" s="616">
        <v>2082.61</v>
      </c>
    </row>
    <row r="66" spans="1:11" ht="14.4" customHeight="1" x14ac:dyDescent="0.3">
      <c r="A66" s="611" t="s">
        <v>531</v>
      </c>
      <c r="B66" s="612" t="s">
        <v>532</v>
      </c>
      <c r="C66" s="613" t="s">
        <v>537</v>
      </c>
      <c r="D66" s="614" t="s">
        <v>1103</v>
      </c>
      <c r="E66" s="613" t="s">
        <v>1599</v>
      </c>
      <c r="F66" s="614" t="s">
        <v>1600</v>
      </c>
      <c r="G66" s="613" t="s">
        <v>1309</v>
      </c>
      <c r="H66" s="613" t="s">
        <v>1310</v>
      </c>
      <c r="I66" s="615">
        <v>12.585000000000001</v>
      </c>
      <c r="J66" s="615">
        <v>150</v>
      </c>
      <c r="K66" s="616">
        <v>1888</v>
      </c>
    </row>
    <row r="67" spans="1:11" ht="14.4" customHeight="1" x14ac:dyDescent="0.3">
      <c r="A67" s="611" t="s">
        <v>531</v>
      </c>
      <c r="B67" s="612" t="s">
        <v>532</v>
      </c>
      <c r="C67" s="613" t="s">
        <v>542</v>
      </c>
      <c r="D67" s="614" t="s">
        <v>1104</v>
      </c>
      <c r="E67" s="613" t="s">
        <v>1593</v>
      </c>
      <c r="F67" s="614" t="s">
        <v>1594</v>
      </c>
      <c r="G67" s="613" t="s">
        <v>1187</v>
      </c>
      <c r="H67" s="613" t="s">
        <v>1188</v>
      </c>
      <c r="I67" s="615">
        <v>4.3040000000000003</v>
      </c>
      <c r="J67" s="615">
        <v>120</v>
      </c>
      <c r="K67" s="616">
        <v>516.48</v>
      </c>
    </row>
    <row r="68" spans="1:11" ht="14.4" customHeight="1" x14ac:dyDescent="0.3">
      <c r="A68" s="611" t="s">
        <v>531</v>
      </c>
      <c r="B68" s="612" t="s">
        <v>532</v>
      </c>
      <c r="C68" s="613" t="s">
        <v>542</v>
      </c>
      <c r="D68" s="614" t="s">
        <v>1104</v>
      </c>
      <c r="E68" s="613" t="s">
        <v>1593</v>
      </c>
      <c r="F68" s="614" t="s">
        <v>1594</v>
      </c>
      <c r="G68" s="613" t="s">
        <v>1191</v>
      </c>
      <c r="H68" s="613" t="s">
        <v>1192</v>
      </c>
      <c r="I68" s="615">
        <v>0.40333333333333332</v>
      </c>
      <c r="J68" s="615">
        <v>600</v>
      </c>
      <c r="K68" s="616">
        <v>242</v>
      </c>
    </row>
    <row r="69" spans="1:11" ht="14.4" customHeight="1" x14ac:dyDescent="0.3">
      <c r="A69" s="611" t="s">
        <v>531</v>
      </c>
      <c r="B69" s="612" t="s">
        <v>532</v>
      </c>
      <c r="C69" s="613" t="s">
        <v>542</v>
      </c>
      <c r="D69" s="614" t="s">
        <v>1104</v>
      </c>
      <c r="E69" s="613" t="s">
        <v>1593</v>
      </c>
      <c r="F69" s="614" t="s">
        <v>1594</v>
      </c>
      <c r="G69" s="613" t="s">
        <v>1311</v>
      </c>
      <c r="H69" s="613" t="s">
        <v>1312</v>
      </c>
      <c r="I69" s="615">
        <v>0.31</v>
      </c>
      <c r="J69" s="615">
        <v>1800</v>
      </c>
      <c r="K69" s="616">
        <v>562.01</v>
      </c>
    </row>
    <row r="70" spans="1:11" ht="14.4" customHeight="1" x14ac:dyDescent="0.3">
      <c r="A70" s="611" t="s">
        <v>531</v>
      </c>
      <c r="B70" s="612" t="s">
        <v>532</v>
      </c>
      <c r="C70" s="613" t="s">
        <v>542</v>
      </c>
      <c r="D70" s="614" t="s">
        <v>1104</v>
      </c>
      <c r="E70" s="613" t="s">
        <v>1593</v>
      </c>
      <c r="F70" s="614" t="s">
        <v>1594</v>
      </c>
      <c r="G70" s="613" t="s">
        <v>1199</v>
      </c>
      <c r="H70" s="613" t="s">
        <v>1200</v>
      </c>
      <c r="I70" s="615">
        <v>2.87</v>
      </c>
      <c r="J70" s="615">
        <v>400</v>
      </c>
      <c r="K70" s="616">
        <v>1145.08</v>
      </c>
    </row>
    <row r="71" spans="1:11" ht="14.4" customHeight="1" x14ac:dyDescent="0.3">
      <c r="A71" s="611" t="s">
        <v>531</v>
      </c>
      <c r="B71" s="612" t="s">
        <v>532</v>
      </c>
      <c r="C71" s="613" t="s">
        <v>542</v>
      </c>
      <c r="D71" s="614" t="s">
        <v>1104</v>
      </c>
      <c r="E71" s="613" t="s">
        <v>1593</v>
      </c>
      <c r="F71" s="614" t="s">
        <v>1594</v>
      </c>
      <c r="G71" s="613" t="s">
        <v>1313</v>
      </c>
      <c r="H71" s="613" t="s">
        <v>1314</v>
      </c>
      <c r="I71" s="615">
        <v>0.6</v>
      </c>
      <c r="J71" s="615">
        <v>1000</v>
      </c>
      <c r="K71" s="616">
        <v>600</v>
      </c>
    </row>
    <row r="72" spans="1:11" ht="14.4" customHeight="1" x14ac:dyDescent="0.3">
      <c r="A72" s="611" t="s">
        <v>531</v>
      </c>
      <c r="B72" s="612" t="s">
        <v>532</v>
      </c>
      <c r="C72" s="613" t="s">
        <v>542</v>
      </c>
      <c r="D72" s="614" t="s">
        <v>1104</v>
      </c>
      <c r="E72" s="613" t="s">
        <v>1593</v>
      </c>
      <c r="F72" s="614" t="s">
        <v>1594</v>
      </c>
      <c r="G72" s="613" t="s">
        <v>1315</v>
      </c>
      <c r="H72" s="613" t="s">
        <v>1316</v>
      </c>
      <c r="I72" s="615">
        <v>1.29</v>
      </c>
      <c r="J72" s="615">
        <v>1200</v>
      </c>
      <c r="K72" s="616">
        <v>1548</v>
      </c>
    </row>
    <row r="73" spans="1:11" ht="14.4" customHeight="1" x14ac:dyDescent="0.3">
      <c r="A73" s="611" t="s">
        <v>531</v>
      </c>
      <c r="B73" s="612" t="s">
        <v>532</v>
      </c>
      <c r="C73" s="613" t="s">
        <v>542</v>
      </c>
      <c r="D73" s="614" t="s">
        <v>1104</v>
      </c>
      <c r="E73" s="613" t="s">
        <v>1593</v>
      </c>
      <c r="F73" s="614" t="s">
        <v>1594</v>
      </c>
      <c r="G73" s="613" t="s">
        <v>1317</v>
      </c>
      <c r="H73" s="613" t="s">
        <v>1318</v>
      </c>
      <c r="I73" s="615">
        <v>13.156000000000001</v>
      </c>
      <c r="J73" s="615">
        <v>168</v>
      </c>
      <c r="K73" s="616">
        <v>2210.0100000000002</v>
      </c>
    </row>
    <row r="74" spans="1:11" ht="14.4" customHeight="1" x14ac:dyDescent="0.3">
      <c r="A74" s="611" t="s">
        <v>531</v>
      </c>
      <c r="B74" s="612" t="s">
        <v>532</v>
      </c>
      <c r="C74" s="613" t="s">
        <v>542</v>
      </c>
      <c r="D74" s="614" t="s">
        <v>1104</v>
      </c>
      <c r="E74" s="613" t="s">
        <v>1593</v>
      </c>
      <c r="F74" s="614" t="s">
        <v>1594</v>
      </c>
      <c r="G74" s="613" t="s">
        <v>1203</v>
      </c>
      <c r="H74" s="613" t="s">
        <v>1204</v>
      </c>
      <c r="I74" s="615">
        <v>0.315</v>
      </c>
      <c r="J74" s="615">
        <v>7200</v>
      </c>
      <c r="K74" s="616">
        <v>2254.6799999999998</v>
      </c>
    </row>
    <row r="75" spans="1:11" ht="14.4" customHeight="1" x14ac:dyDescent="0.3">
      <c r="A75" s="611" t="s">
        <v>531</v>
      </c>
      <c r="B75" s="612" t="s">
        <v>532</v>
      </c>
      <c r="C75" s="613" t="s">
        <v>542</v>
      </c>
      <c r="D75" s="614" t="s">
        <v>1104</v>
      </c>
      <c r="E75" s="613" t="s">
        <v>1595</v>
      </c>
      <c r="F75" s="614" t="s">
        <v>1596</v>
      </c>
      <c r="G75" s="613" t="s">
        <v>1319</v>
      </c>
      <c r="H75" s="613" t="s">
        <v>1320</v>
      </c>
      <c r="I75" s="615">
        <v>16.398000000000003</v>
      </c>
      <c r="J75" s="615">
        <v>2000</v>
      </c>
      <c r="K75" s="616">
        <v>32796.400000000001</v>
      </c>
    </row>
    <row r="76" spans="1:11" ht="14.4" customHeight="1" x14ac:dyDescent="0.3">
      <c r="A76" s="611" t="s">
        <v>531</v>
      </c>
      <c r="B76" s="612" t="s">
        <v>532</v>
      </c>
      <c r="C76" s="613" t="s">
        <v>542</v>
      </c>
      <c r="D76" s="614" t="s">
        <v>1104</v>
      </c>
      <c r="E76" s="613" t="s">
        <v>1595</v>
      </c>
      <c r="F76" s="614" t="s">
        <v>1596</v>
      </c>
      <c r="G76" s="613" t="s">
        <v>1321</v>
      </c>
      <c r="H76" s="613" t="s">
        <v>1322</v>
      </c>
      <c r="I76" s="615">
        <v>1.42</v>
      </c>
      <c r="J76" s="615">
        <v>600</v>
      </c>
      <c r="K76" s="616">
        <v>853.90999999999985</v>
      </c>
    </row>
    <row r="77" spans="1:11" ht="14.4" customHeight="1" x14ac:dyDescent="0.3">
      <c r="A77" s="611" t="s">
        <v>531</v>
      </c>
      <c r="B77" s="612" t="s">
        <v>532</v>
      </c>
      <c r="C77" s="613" t="s">
        <v>542</v>
      </c>
      <c r="D77" s="614" t="s">
        <v>1104</v>
      </c>
      <c r="E77" s="613" t="s">
        <v>1595</v>
      </c>
      <c r="F77" s="614" t="s">
        <v>1596</v>
      </c>
      <c r="G77" s="613" t="s">
        <v>1211</v>
      </c>
      <c r="H77" s="613" t="s">
        <v>1212</v>
      </c>
      <c r="I77" s="615">
        <v>15.922500000000001</v>
      </c>
      <c r="J77" s="615">
        <v>200</v>
      </c>
      <c r="K77" s="616">
        <v>3184.5</v>
      </c>
    </row>
    <row r="78" spans="1:11" ht="14.4" customHeight="1" x14ac:dyDescent="0.3">
      <c r="A78" s="611" t="s">
        <v>531</v>
      </c>
      <c r="B78" s="612" t="s">
        <v>532</v>
      </c>
      <c r="C78" s="613" t="s">
        <v>542</v>
      </c>
      <c r="D78" s="614" t="s">
        <v>1104</v>
      </c>
      <c r="E78" s="613" t="s">
        <v>1595</v>
      </c>
      <c r="F78" s="614" t="s">
        <v>1596</v>
      </c>
      <c r="G78" s="613" t="s">
        <v>1213</v>
      </c>
      <c r="H78" s="613" t="s">
        <v>1214</v>
      </c>
      <c r="I78" s="615">
        <v>2.5099999999999998</v>
      </c>
      <c r="J78" s="615">
        <v>200</v>
      </c>
      <c r="K78" s="616">
        <v>501.91999999999996</v>
      </c>
    </row>
    <row r="79" spans="1:11" ht="14.4" customHeight="1" x14ac:dyDescent="0.3">
      <c r="A79" s="611" t="s">
        <v>531</v>
      </c>
      <c r="B79" s="612" t="s">
        <v>532</v>
      </c>
      <c r="C79" s="613" t="s">
        <v>542</v>
      </c>
      <c r="D79" s="614" t="s">
        <v>1104</v>
      </c>
      <c r="E79" s="613" t="s">
        <v>1595</v>
      </c>
      <c r="F79" s="614" t="s">
        <v>1596</v>
      </c>
      <c r="G79" s="613" t="s">
        <v>1215</v>
      </c>
      <c r="H79" s="613" t="s">
        <v>1216</v>
      </c>
      <c r="I79" s="615">
        <v>30.25</v>
      </c>
      <c r="J79" s="615">
        <v>150</v>
      </c>
      <c r="K79" s="616">
        <v>4537.5</v>
      </c>
    </row>
    <row r="80" spans="1:11" ht="14.4" customHeight="1" x14ac:dyDescent="0.3">
      <c r="A80" s="611" t="s">
        <v>531</v>
      </c>
      <c r="B80" s="612" t="s">
        <v>532</v>
      </c>
      <c r="C80" s="613" t="s">
        <v>542</v>
      </c>
      <c r="D80" s="614" t="s">
        <v>1104</v>
      </c>
      <c r="E80" s="613" t="s">
        <v>1595</v>
      </c>
      <c r="F80" s="614" t="s">
        <v>1596</v>
      </c>
      <c r="G80" s="613" t="s">
        <v>1323</v>
      </c>
      <c r="H80" s="613" t="s">
        <v>1324</v>
      </c>
      <c r="I80" s="615">
        <v>2.7533333333333334</v>
      </c>
      <c r="J80" s="615">
        <v>300</v>
      </c>
      <c r="K80" s="616">
        <v>826</v>
      </c>
    </row>
    <row r="81" spans="1:11" ht="14.4" customHeight="1" x14ac:dyDescent="0.3">
      <c r="A81" s="611" t="s">
        <v>531</v>
      </c>
      <c r="B81" s="612" t="s">
        <v>532</v>
      </c>
      <c r="C81" s="613" t="s">
        <v>542</v>
      </c>
      <c r="D81" s="614" t="s">
        <v>1104</v>
      </c>
      <c r="E81" s="613" t="s">
        <v>1595</v>
      </c>
      <c r="F81" s="614" t="s">
        <v>1596</v>
      </c>
      <c r="G81" s="613" t="s">
        <v>1219</v>
      </c>
      <c r="H81" s="613" t="s">
        <v>1220</v>
      </c>
      <c r="I81" s="615">
        <v>1.1000000000000001</v>
      </c>
      <c r="J81" s="615">
        <v>100</v>
      </c>
      <c r="K81" s="616">
        <v>110</v>
      </c>
    </row>
    <row r="82" spans="1:11" ht="14.4" customHeight="1" x14ac:dyDescent="0.3">
      <c r="A82" s="611" t="s">
        <v>531</v>
      </c>
      <c r="B82" s="612" t="s">
        <v>532</v>
      </c>
      <c r="C82" s="613" t="s">
        <v>542</v>
      </c>
      <c r="D82" s="614" t="s">
        <v>1104</v>
      </c>
      <c r="E82" s="613" t="s">
        <v>1595</v>
      </c>
      <c r="F82" s="614" t="s">
        <v>1596</v>
      </c>
      <c r="G82" s="613" t="s">
        <v>1221</v>
      </c>
      <c r="H82" s="613" t="s">
        <v>1222</v>
      </c>
      <c r="I82" s="615">
        <v>1.6719999999999999</v>
      </c>
      <c r="J82" s="615">
        <v>7200</v>
      </c>
      <c r="K82" s="616">
        <v>12044</v>
      </c>
    </row>
    <row r="83" spans="1:11" ht="14.4" customHeight="1" x14ac:dyDescent="0.3">
      <c r="A83" s="611" t="s">
        <v>531</v>
      </c>
      <c r="B83" s="612" t="s">
        <v>532</v>
      </c>
      <c r="C83" s="613" t="s">
        <v>542</v>
      </c>
      <c r="D83" s="614" t="s">
        <v>1104</v>
      </c>
      <c r="E83" s="613" t="s">
        <v>1595</v>
      </c>
      <c r="F83" s="614" t="s">
        <v>1596</v>
      </c>
      <c r="G83" s="613" t="s">
        <v>1223</v>
      </c>
      <c r="H83" s="613" t="s">
        <v>1224</v>
      </c>
      <c r="I83" s="615">
        <v>0.47666666666666657</v>
      </c>
      <c r="J83" s="615">
        <v>2700</v>
      </c>
      <c r="K83" s="616">
        <v>1286</v>
      </c>
    </row>
    <row r="84" spans="1:11" ht="14.4" customHeight="1" x14ac:dyDescent="0.3">
      <c r="A84" s="611" t="s">
        <v>531</v>
      </c>
      <c r="B84" s="612" t="s">
        <v>532</v>
      </c>
      <c r="C84" s="613" t="s">
        <v>542</v>
      </c>
      <c r="D84" s="614" t="s">
        <v>1104</v>
      </c>
      <c r="E84" s="613" t="s">
        <v>1595</v>
      </c>
      <c r="F84" s="614" t="s">
        <v>1596</v>
      </c>
      <c r="G84" s="613" t="s">
        <v>1225</v>
      </c>
      <c r="H84" s="613" t="s">
        <v>1226</v>
      </c>
      <c r="I84" s="615">
        <v>0.67</v>
      </c>
      <c r="J84" s="615">
        <v>400</v>
      </c>
      <c r="K84" s="616">
        <v>268</v>
      </c>
    </row>
    <row r="85" spans="1:11" ht="14.4" customHeight="1" x14ac:dyDescent="0.3">
      <c r="A85" s="611" t="s">
        <v>531</v>
      </c>
      <c r="B85" s="612" t="s">
        <v>532</v>
      </c>
      <c r="C85" s="613" t="s">
        <v>542</v>
      </c>
      <c r="D85" s="614" t="s">
        <v>1104</v>
      </c>
      <c r="E85" s="613" t="s">
        <v>1595</v>
      </c>
      <c r="F85" s="614" t="s">
        <v>1596</v>
      </c>
      <c r="G85" s="613" t="s">
        <v>1227</v>
      </c>
      <c r="H85" s="613" t="s">
        <v>1228</v>
      </c>
      <c r="I85" s="615">
        <v>3.74</v>
      </c>
      <c r="J85" s="615">
        <v>250</v>
      </c>
      <c r="K85" s="616">
        <v>935</v>
      </c>
    </row>
    <row r="86" spans="1:11" ht="14.4" customHeight="1" x14ac:dyDescent="0.3">
      <c r="A86" s="611" t="s">
        <v>531</v>
      </c>
      <c r="B86" s="612" t="s">
        <v>532</v>
      </c>
      <c r="C86" s="613" t="s">
        <v>542</v>
      </c>
      <c r="D86" s="614" t="s">
        <v>1104</v>
      </c>
      <c r="E86" s="613" t="s">
        <v>1595</v>
      </c>
      <c r="F86" s="614" t="s">
        <v>1596</v>
      </c>
      <c r="G86" s="613" t="s">
        <v>1325</v>
      </c>
      <c r="H86" s="613" t="s">
        <v>1326</v>
      </c>
      <c r="I86" s="615">
        <v>30.25</v>
      </c>
      <c r="J86" s="615">
        <v>50</v>
      </c>
      <c r="K86" s="616">
        <v>1512.5</v>
      </c>
    </row>
    <row r="87" spans="1:11" ht="14.4" customHeight="1" x14ac:dyDescent="0.3">
      <c r="A87" s="611" t="s">
        <v>531</v>
      </c>
      <c r="B87" s="612" t="s">
        <v>532</v>
      </c>
      <c r="C87" s="613" t="s">
        <v>542</v>
      </c>
      <c r="D87" s="614" t="s">
        <v>1104</v>
      </c>
      <c r="E87" s="613" t="s">
        <v>1595</v>
      </c>
      <c r="F87" s="614" t="s">
        <v>1596</v>
      </c>
      <c r="G87" s="613" t="s">
        <v>1231</v>
      </c>
      <c r="H87" s="613" t="s">
        <v>1232</v>
      </c>
      <c r="I87" s="615">
        <v>32.67</v>
      </c>
      <c r="J87" s="615">
        <v>100</v>
      </c>
      <c r="K87" s="616">
        <v>3267</v>
      </c>
    </row>
    <row r="88" spans="1:11" ht="14.4" customHeight="1" x14ac:dyDescent="0.3">
      <c r="A88" s="611" t="s">
        <v>531</v>
      </c>
      <c r="B88" s="612" t="s">
        <v>532</v>
      </c>
      <c r="C88" s="613" t="s">
        <v>542</v>
      </c>
      <c r="D88" s="614" t="s">
        <v>1104</v>
      </c>
      <c r="E88" s="613" t="s">
        <v>1595</v>
      </c>
      <c r="F88" s="614" t="s">
        <v>1596</v>
      </c>
      <c r="G88" s="613" t="s">
        <v>1233</v>
      </c>
      <c r="H88" s="613" t="s">
        <v>1234</v>
      </c>
      <c r="I88" s="615">
        <v>25.982500000000002</v>
      </c>
      <c r="J88" s="615">
        <v>280</v>
      </c>
      <c r="K88" s="616">
        <v>7279.6</v>
      </c>
    </row>
    <row r="89" spans="1:11" ht="14.4" customHeight="1" x14ac:dyDescent="0.3">
      <c r="A89" s="611" t="s">
        <v>531</v>
      </c>
      <c r="B89" s="612" t="s">
        <v>532</v>
      </c>
      <c r="C89" s="613" t="s">
        <v>542</v>
      </c>
      <c r="D89" s="614" t="s">
        <v>1104</v>
      </c>
      <c r="E89" s="613" t="s">
        <v>1595</v>
      </c>
      <c r="F89" s="614" t="s">
        <v>1596</v>
      </c>
      <c r="G89" s="613" t="s">
        <v>1327</v>
      </c>
      <c r="H89" s="613" t="s">
        <v>1328</v>
      </c>
      <c r="I89" s="615">
        <v>14.3</v>
      </c>
      <c r="J89" s="615">
        <v>20</v>
      </c>
      <c r="K89" s="616">
        <v>286.04000000000002</v>
      </c>
    </row>
    <row r="90" spans="1:11" ht="14.4" customHeight="1" x14ac:dyDescent="0.3">
      <c r="A90" s="611" t="s">
        <v>531</v>
      </c>
      <c r="B90" s="612" t="s">
        <v>532</v>
      </c>
      <c r="C90" s="613" t="s">
        <v>542</v>
      </c>
      <c r="D90" s="614" t="s">
        <v>1104</v>
      </c>
      <c r="E90" s="613" t="s">
        <v>1595</v>
      </c>
      <c r="F90" s="614" t="s">
        <v>1596</v>
      </c>
      <c r="G90" s="613" t="s">
        <v>1329</v>
      </c>
      <c r="H90" s="613" t="s">
        <v>1330</v>
      </c>
      <c r="I90" s="615">
        <v>9.15</v>
      </c>
      <c r="J90" s="615">
        <v>100</v>
      </c>
      <c r="K90" s="616">
        <v>914.65</v>
      </c>
    </row>
    <row r="91" spans="1:11" ht="14.4" customHeight="1" x14ac:dyDescent="0.3">
      <c r="A91" s="611" t="s">
        <v>531</v>
      </c>
      <c r="B91" s="612" t="s">
        <v>532</v>
      </c>
      <c r="C91" s="613" t="s">
        <v>542</v>
      </c>
      <c r="D91" s="614" t="s">
        <v>1104</v>
      </c>
      <c r="E91" s="613" t="s">
        <v>1595</v>
      </c>
      <c r="F91" s="614" t="s">
        <v>1596</v>
      </c>
      <c r="G91" s="613" t="s">
        <v>1235</v>
      </c>
      <c r="H91" s="613" t="s">
        <v>1236</v>
      </c>
      <c r="I91" s="615">
        <v>5.1660000000000004</v>
      </c>
      <c r="J91" s="615">
        <v>500</v>
      </c>
      <c r="K91" s="616">
        <v>2582.77</v>
      </c>
    </row>
    <row r="92" spans="1:11" ht="14.4" customHeight="1" x14ac:dyDescent="0.3">
      <c r="A92" s="611" t="s">
        <v>531</v>
      </c>
      <c r="B92" s="612" t="s">
        <v>532</v>
      </c>
      <c r="C92" s="613" t="s">
        <v>542</v>
      </c>
      <c r="D92" s="614" t="s">
        <v>1104</v>
      </c>
      <c r="E92" s="613" t="s">
        <v>1595</v>
      </c>
      <c r="F92" s="614" t="s">
        <v>1596</v>
      </c>
      <c r="G92" s="613" t="s">
        <v>1239</v>
      </c>
      <c r="H92" s="613" t="s">
        <v>1240</v>
      </c>
      <c r="I92" s="615">
        <v>58.784999999999997</v>
      </c>
      <c r="J92" s="615">
        <v>24</v>
      </c>
      <c r="K92" s="616">
        <v>1410.8600000000001</v>
      </c>
    </row>
    <row r="93" spans="1:11" ht="14.4" customHeight="1" x14ac:dyDescent="0.3">
      <c r="A93" s="611" t="s">
        <v>531</v>
      </c>
      <c r="B93" s="612" t="s">
        <v>532</v>
      </c>
      <c r="C93" s="613" t="s">
        <v>542</v>
      </c>
      <c r="D93" s="614" t="s">
        <v>1104</v>
      </c>
      <c r="E93" s="613" t="s">
        <v>1595</v>
      </c>
      <c r="F93" s="614" t="s">
        <v>1596</v>
      </c>
      <c r="G93" s="613" t="s">
        <v>1241</v>
      </c>
      <c r="H93" s="613" t="s">
        <v>1242</v>
      </c>
      <c r="I93" s="615">
        <v>2.12</v>
      </c>
      <c r="J93" s="615">
        <v>20</v>
      </c>
      <c r="K93" s="616">
        <v>42.4</v>
      </c>
    </row>
    <row r="94" spans="1:11" ht="14.4" customHeight="1" x14ac:dyDescent="0.3">
      <c r="A94" s="611" t="s">
        <v>531</v>
      </c>
      <c r="B94" s="612" t="s">
        <v>532</v>
      </c>
      <c r="C94" s="613" t="s">
        <v>542</v>
      </c>
      <c r="D94" s="614" t="s">
        <v>1104</v>
      </c>
      <c r="E94" s="613" t="s">
        <v>1595</v>
      </c>
      <c r="F94" s="614" t="s">
        <v>1596</v>
      </c>
      <c r="G94" s="613" t="s">
        <v>1243</v>
      </c>
      <c r="H94" s="613" t="s">
        <v>1244</v>
      </c>
      <c r="I94" s="615">
        <v>2.46</v>
      </c>
      <c r="J94" s="615">
        <v>200</v>
      </c>
      <c r="K94" s="616">
        <v>492.5</v>
      </c>
    </row>
    <row r="95" spans="1:11" ht="14.4" customHeight="1" x14ac:dyDescent="0.3">
      <c r="A95" s="611" t="s">
        <v>531</v>
      </c>
      <c r="B95" s="612" t="s">
        <v>532</v>
      </c>
      <c r="C95" s="613" t="s">
        <v>542</v>
      </c>
      <c r="D95" s="614" t="s">
        <v>1104</v>
      </c>
      <c r="E95" s="613" t="s">
        <v>1595</v>
      </c>
      <c r="F95" s="614" t="s">
        <v>1596</v>
      </c>
      <c r="G95" s="613" t="s">
        <v>1247</v>
      </c>
      <c r="H95" s="613" t="s">
        <v>1248</v>
      </c>
      <c r="I95" s="615">
        <v>12.106</v>
      </c>
      <c r="J95" s="615">
        <v>150</v>
      </c>
      <c r="K95" s="616">
        <v>1815.8999999999999</v>
      </c>
    </row>
    <row r="96" spans="1:11" ht="14.4" customHeight="1" x14ac:dyDescent="0.3">
      <c r="A96" s="611" t="s">
        <v>531</v>
      </c>
      <c r="B96" s="612" t="s">
        <v>532</v>
      </c>
      <c r="C96" s="613" t="s">
        <v>542</v>
      </c>
      <c r="D96" s="614" t="s">
        <v>1104</v>
      </c>
      <c r="E96" s="613" t="s">
        <v>1595</v>
      </c>
      <c r="F96" s="614" t="s">
        <v>1596</v>
      </c>
      <c r="G96" s="613" t="s">
        <v>1253</v>
      </c>
      <c r="H96" s="613" t="s">
        <v>1254</v>
      </c>
      <c r="I96" s="615">
        <v>21.24</v>
      </c>
      <c r="J96" s="615">
        <v>50</v>
      </c>
      <c r="K96" s="616">
        <v>1062</v>
      </c>
    </row>
    <row r="97" spans="1:11" ht="14.4" customHeight="1" x14ac:dyDescent="0.3">
      <c r="A97" s="611" t="s">
        <v>531</v>
      </c>
      <c r="B97" s="612" t="s">
        <v>532</v>
      </c>
      <c r="C97" s="613" t="s">
        <v>542</v>
      </c>
      <c r="D97" s="614" t="s">
        <v>1104</v>
      </c>
      <c r="E97" s="613" t="s">
        <v>1595</v>
      </c>
      <c r="F97" s="614" t="s">
        <v>1596</v>
      </c>
      <c r="G97" s="613" t="s">
        <v>1255</v>
      </c>
      <c r="H97" s="613" t="s">
        <v>1256</v>
      </c>
      <c r="I97" s="615">
        <v>3.24</v>
      </c>
      <c r="J97" s="615">
        <v>100</v>
      </c>
      <c r="K97" s="616">
        <v>323.61</v>
      </c>
    </row>
    <row r="98" spans="1:11" ht="14.4" customHeight="1" x14ac:dyDescent="0.3">
      <c r="A98" s="611" t="s">
        <v>531</v>
      </c>
      <c r="B98" s="612" t="s">
        <v>532</v>
      </c>
      <c r="C98" s="613" t="s">
        <v>542</v>
      </c>
      <c r="D98" s="614" t="s">
        <v>1104</v>
      </c>
      <c r="E98" s="613" t="s">
        <v>1595</v>
      </c>
      <c r="F98" s="614" t="s">
        <v>1596</v>
      </c>
      <c r="G98" s="613" t="s">
        <v>1331</v>
      </c>
      <c r="H98" s="613" t="s">
        <v>1332</v>
      </c>
      <c r="I98" s="615">
        <v>1.44</v>
      </c>
      <c r="J98" s="615">
        <v>500</v>
      </c>
      <c r="K98" s="616">
        <v>720.39</v>
      </c>
    </row>
    <row r="99" spans="1:11" ht="14.4" customHeight="1" x14ac:dyDescent="0.3">
      <c r="A99" s="611" t="s">
        <v>531</v>
      </c>
      <c r="B99" s="612" t="s">
        <v>532</v>
      </c>
      <c r="C99" s="613" t="s">
        <v>542</v>
      </c>
      <c r="D99" s="614" t="s">
        <v>1104</v>
      </c>
      <c r="E99" s="613" t="s">
        <v>1595</v>
      </c>
      <c r="F99" s="614" t="s">
        <v>1596</v>
      </c>
      <c r="G99" s="613" t="s">
        <v>1333</v>
      </c>
      <c r="H99" s="613" t="s">
        <v>1334</v>
      </c>
      <c r="I99" s="615">
        <v>0.47400000000000003</v>
      </c>
      <c r="J99" s="615">
        <v>1900</v>
      </c>
      <c r="K99" s="616">
        <v>900</v>
      </c>
    </row>
    <row r="100" spans="1:11" ht="14.4" customHeight="1" x14ac:dyDescent="0.3">
      <c r="A100" s="611" t="s">
        <v>531</v>
      </c>
      <c r="B100" s="612" t="s">
        <v>532</v>
      </c>
      <c r="C100" s="613" t="s">
        <v>542</v>
      </c>
      <c r="D100" s="614" t="s">
        <v>1104</v>
      </c>
      <c r="E100" s="613" t="s">
        <v>1595</v>
      </c>
      <c r="F100" s="614" t="s">
        <v>1596</v>
      </c>
      <c r="G100" s="613" t="s">
        <v>1335</v>
      </c>
      <c r="H100" s="613" t="s">
        <v>1336</v>
      </c>
      <c r="I100" s="615">
        <v>12.1</v>
      </c>
      <c r="J100" s="615">
        <v>60</v>
      </c>
      <c r="K100" s="616">
        <v>726</v>
      </c>
    </row>
    <row r="101" spans="1:11" ht="14.4" customHeight="1" x14ac:dyDescent="0.3">
      <c r="A101" s="611" t="s">
        <v>531</v>
      </c>
      <c r="B101" s="612" t="s">
        <v>532</v>
      </c>
      <c r="C101" s="613" t="s">
        <v>542</v>
      </c>
      <c r="D101" s="614" t="s">
        <v>1104</v>
      </c>
      <c r="E101" s="613" t="s">
        <v>1595</v>
      </c>
      <c r="F101" s="614" t="s">
        <v>1596</v>
      </c>
      <c r="G101" s="613" t="s">
        <v>1261</v>
      </c>
      <c r="H101" s="613" t="s">
        <v>1262</v>
      </c>
      <c r="I101" s="615">
        <v>403.77666666666664</v>
      </c>
      <c r="J101" s="615">
        <v>120</v>
      </c>
      <c r="K101" s="616">
        <v>48453.18</v>
      </c>
    </row>
    <row r="102" spans="1:11" ht="14.4" customHeight="1" x14ac:dyDescent="0.3">
      <c r="A102" s="611" t="s">
        <v>531</v>
      </c>
      <c r="B102" s="612" t="s">
        <v>532</v>
      </c>
      <c r="C102" s="613" t="s">
        <v>542</v>
      </c>
      <c r="D102" s="614" t="s">
        <v>1104</v>
      </c>
      <c r="E102" s="613" t="s">
        <v>1595</v>
      </c>
      <c r="F102" s="614" t="s">
        <v>1596</v>
      </c>
      <c r="G102" s="613" t="s">
        <v>1337</v>
      </c>
      <c r="H102" s="613" t="s">
        <v>1338</v>
      </c>
      <c r="I102" s="615">
        <v>5</v>
      </c>
      <c r="J102" s="615">
        <v>100</v>
      </c>
      <c r="K102" s="616">
        <v>500.08</v>
      </c>
    </row>
    <row r="103" spans="1:11" ht="14.4" customHeight="1" x14ac:dyDescent="0.3">
      <c r="A103" s="611" t="s">
        <v>531</v>
      </c>
      <c r="B103" s="612" t="s">
        <v>532</v>
      </c>
      <c r="C103" s="613" t="s">
        <v>542</v>
      </c>
      <c r="D103" s="614" t="s">
        <v>1104</v>
      </c>
      <c r="E103" s="613" t="s">
        <v>1595</v>
      </c>
      <c r="F103" s="614" t="s">
        <v>1596</v>
      </c>
      <c r="G103" s="613" t="s">
        <v>1265</v>
      </c>
      <c r="H103" s="613" t="s">
        <v>1266</v>
      </c>
      <c r="I103" s="615">
        <v>5.81</v>
      </c>
      <c r="J103" s="615">
        <v>40</v>
      </c>
      <c r="K103" s="616">
        <v>232.32</v>
      </c>
    </row>
    <row r="104" spans="1:11" ht="14.4" customHeight="1" x14ac:dyDescent="0.3">
      <c r="A104" s="611" t="s">
        <v>531</v>
      </c>
      <c r="B104" s="612" t="s">
        <v>532</v>
      </c>
      <c r="C104" s="613" t="s">
        <v>542</v>
      </c>
      <c r="D104" s="614" t="s">
        <v>1104</v>
      </c>
      <c r="E104" s="613" t="s">
        <v>1595</v>
      </c>
      <c r="F104" s="614" t="s">
        <v>1596</v>
      </c>
      <c r="G104" s="613" t="s">
        <v>1269</v>
      </c>
      <c r="H104" s="613" t="s">
        <v>1270</v>
      </c>
      <c r="I104" s="615">
        <v>113</v>
      </c>
      <c r="J104" s="615">
        <v>10</v>
      </c>
      <c r="K104" s="616">
        <v>1130</v>
      </c>
    </row>
    <row r="105" spans="1:11" ht="14.4" customHeight="1" x14ac:dyDescent="0.3">
      <c r="A105" s="611" t="s">
        <v>531</v>
      </c>
      <c r="B105" s="612" t="s">
        <v>532</v>
      </c>
      <c r="C105" s="613" t="s">
        <v>542</v>
      </c>
      <c r="D105" s="614" t="s">
        <v>1104</v>
      </c>
      <c r="E105" s="613" t="s">
        <v>1595</v>
      </c>
      <c r="F105" s="614" t="s">
        <v>1596</v>
      </c>
      <c r="G105" s="613" t="s">
        <v>1339</v>
      </c>
      <c r="H105" s="613" t="s">
        <v>1340</v>
      </c>
      <c r="I105" s="615">
        <v>1316</v>
      </c>
      <c r="J105" s="615">
        <v>5</v>
      </c>
      <c r="K105" s="616">
        <v>6580</v>
      </c>
    </row>
    <row r="106" spans="1:11" ht="14.4" customHeight="1" x14ac:dyDescent="0.3">
      <c r="A106" s="611" t="s">
        <v>531</v>
      </c>
      <c r="B106" s="612" t="s">
        <v>532</v>
      </c>
      <c r="C106" s="613" t="s">
        <v>542</v>
      </c>
      <c r="D106" s="614" t="s">
        <v>1104</v>
      </c>
      <c r="E106" s="613" t="s">
        <v>1595</v>
      </c>
      <c r="F106" s="614" t="s">
        <v>1596</v>
      </c>
      <c r="G106" s="613" t="s">
        <v>1341</v>
      </c>
      <c r="H106" s="613" t="s">
        <v>1342</v>
      </c>
      <c r="I106" s="615">
        <v>20.29</v>
      </c>
      <c r="J106" s="615">
        <v>1344</v>
      </c>
      <c r="K106" s="616">
        <v>27271.879999999997</v>
      </c>
    </row>
    <row r="107" spans="1:11" ht="14.4" customHeight="1" x14ac:dyDescent="0.3">
      <c r="A107" s="611" t="s">
        <v>531</v>
      </c>
      <c r="B107" s="612" t="s">
        <v>532</v>
      </c>
      <c r="C107" s="613" t="s">
        <v>542</v>
      </c>
      <c r="D107" s="614" t="s">
        <v>1104</v>
      </c>
      <c r="E107" s="613" t="s">
        <v>1595</v>
      </c>
      <c r="F107" s="614" t="s">
        <v>1596</v>
      </c>
      <c r="G107" s="613" t="s">
        <v>1343</v>
      </c>
      <c r="H107" s="613" t="s">
        <v>1344</v>
      </c>
      <c r="I107" s="615">
        <v>14.16</v>
      </c>
      <c r="J107" s="615">
        <v>1824</v>
      </c>
      <c r="K107" s="616">
        <v>25822.399999999998</v>
      </c>
    </row>
    <row r="108" spans="1:11" ht="14.4" customHeight="1" x14ac:dyDescent="0.3">
      <c r="A108" s="611" t="s">
        <v>531</v>
      </c>
      <c r="B108" s="612" t="s">
        <v>532</v>
      </c>
      <c r="C108" s="613" t="s">
        <v>542</v>
      </c>
      <c r="D108" s="614" t="s">
        <v>1104</v>
      </c>
      <c r="E108" s="613" t="s">
        <v>1595</v>
      </c>
      <c r="F108" s="614" t="s">
        <v>1596</v>
      </c>
      <c r="G108" s="613" t="s">
        <v>1345</v>
      </c>
      <c r="H108" s="613" t="s">
        <v>1346</v>
      </c>
      <c r="I108" s="615">
        <v>12.27</v>
      </c>
      <c r="J108" s="615">
        <v>600</v>
      </c>
      <c r="K108" s="616">
        <v>7361.6</v>
      </c>
    </row>
    <row r="109" spans="1:11" ht="14.4" customHeight="1" x14ac:dyDescent="0.3">
      <c r="A109" s="611" t="s">
        <v>531</v>
      </c>
      <c r="B109" s="612" t="s">
        <v>532</v>
      </c>
      <c r="C109" s="613" t="s">
        <v>542</v>
      </c>
      <c r="D109" s="614" t="s">
        <v>1104</v>
      </c>
      <c r="E109" s="613" t="s">
        <v>1595</v>
      </c>
      <c r="F109" s="614" t="s">
        <v>1596</v>
      </c>
      <c r="G109" s="613" t="s">
        <v>1347</v>
      </c>
      <c r="H109" s="613" t="s">
        <v>1348</v>
      </c>
      <c r="I109" s="615">
        <v>18.400000000000002</v>
      </c>
      <c r="J109" s="615">
        <v>7140</v>
      </c>
      <c r="K109" s="616">
        <v>131405.19999999998</v>
      </c>
    </row>
    <row r="110" spans="1:11" ht="14.4" customHeight="1" x14ac:dyDescent="0.3">
      <c r="A110" s="611" t="s">
        <v>531</v>
      </c>
      <c r="B110" s="612" t="s">
        <v>532</v>
      </c>
      <c r="C110" s="613" t="s">
        <v>542</v>
      </c>
      <c r="D110" s="614" t="s">
        <v>1104</v>
      </c>
      <c r="E110" s="613" t="s">
        <v>1595</v>
      </c>
      <c r="F110" s="614" t="s">
        <v>1596</v>
      </c>
      <c r="G110" s="613" t="s">
        <v>1349</v>
      </c>
      <c r="H110" s="613" t="s">
        <v>1350</v>
      </c>
      <c r="I110" s="615">
        <v>12.269999999999998</v>
      </c>
      <c r="J110" s="615">
        <v>11550</v>
      </c>
      <c r="K110" s="616">
        <v>141711.5</v>
      </c>
    </row>
    <row r="111" spans="1:11" ht="14.4" customHeight="1" x14ac:dyDescent="0.3">
      <c r="A111" s="611" t="s">
        <v>531</v>
      </c>
      <c r="B111" s="612" t="s">
        <v>532</v>
      </c>
      <c r="C111" s="613" t="s">
        <v>542</v>
      </c>
      <c r="D111" s="614" t="s">
        <v>1104</v>
      </c>
      <c r="E111" s="613" t="s">
        <v>1595</v>
      </c>
      <c r="F111" s="614" t="s">
        <v>1596</v>
      </c>
      <c r="G111" s="613" t="s">
        <v>1271</v>
      </c>
      <c r="H111" s="613" t="s">
        <v>1272</v>
      </c>
      <c r="I111" s="615">
        <v>350.9</v>
      </c>
      <c r="J111" s="615">
        <v>4</v>
      </c>
      <c r="K111" s="616">
        <v>1403.6</v>
      </c>
    </row>
    <row r="112" spans="1:11" ht="14.4" customHeight="1" x14ac:dyDescent="0.3">
      <c r="A112" s="611" t="s">
        <v>531</v>
      </c>
      <c r="B112" s="612" t="s">
        <v>532</v>
      </c>
      <c r="C112" s="613" t="s">
        <v>542</v>
      </c>
      <c r="D112" s="614" t="s">
        <v>1104</v>
      </c>
      <c r="E112" s="613" t="s">
        <v>1601</v>
      </c>
      <c r="F112" s="614" t="s">
        <v>1602</v>
      </c>
      <c r="G112" s="613" t="s">
        <v>1351</v>
      </c>
      <c r="H112" s="613" t="s">
        <v>1352</v>
      </c>
      <c r="I112" s="615">
        <v>7</v>
      </c>
      <c r="J112" s="615">
        <v>20</v>
      </c>
      <c r="K112" s="616">
        <v>140</v>
      </c>
    </row>
    <row r="113" spans="1:11" ht="14.4" customHeight="1" x14ac:dyDescent="0.3">
      <c r="A113" s="611" t="s">
        <v>531</v>
      </c>
      <c r="B113" s="612" t="s">
        <v>532</v>
      </c>
      <c r="C113" s="613" t="s">
        <v>542</v>
      </c>
      <c r="D113" s="614" t="s">
        <v>1104</v>
      </c>
      <c r="E113" s="613" t="s">
        <v>1597</v>
      </c>
      <c r="F113" s="614" t="s">
        <v>1598</v>
      </c>
      <c r="G113" s="613" t="s">
        <v>1299</v>
      </c>
      <c r="H113" s="613" t="s">
        <v>1300</v>
      </c>
      <c r="I113" s="615">
        <v>0.48499999999999999</v>
      </c>
      <c r="J113" s="615">
        <v>200</v>
      </c>
      <c r="K113" s="616">
        <v>97</v>
      </c>
    </row>
    <row r="114" spans="1:11" ht="14.4" customHeight="1" x14ac:dyDescent="0.3">
      <c r="A114" s="611" t="s">
        <v>531</v>
      </c>
      <c r="B114" s="612" t="s">
        <v>532</v>
      </c>
      <c r="C114" s="613" t="s">
        <v>542</v>
      </c>
      <c r="D114" s="614" t="s">
        <v>1104</v>
      </c>
      <c r="E114" s="613" t="s">
        <v>1597</v>
      </c>
      <c r="F114" s="614" t="s">
        <v>1598</v>
      </c>
      <c r="G114" s="613" t="s">
        <v>1353</v>
      </c>
      <c r="H114" s="613" t="s">
        <v>1354</v>
      </c>
      <c r="I114" s="615">
        <v>0.3</v>
      </c>
      <c r="J114" s="615">
        <v>600</v>
      </c>
      <c r="K114" s="616">
        <v>182.16</v>
      </c>
    </row>
    <row r="115" spans="1:11" ht="14.4" customHeight="1" x14ac:dyDescent="0.3">
      <c r="A115" s="611" t="s">
        <v>531</v>
      </c>
      <c r="B115" s="612" t="s">
        <v>532</v>
      </c>
      <c r="C115" s="613" t="s">
        <v>542</v>
      </c>
      <c r="D115" s="614" t="s">
        <v>1104</v>
      </c>
      <c r="E115" s="613" t="s">
        <v>1599</v>
      </c>
      <c r="F115" s="614" t="s">
        <v>1600</v>
      </c>
      <c r="G115" s="613" t="s">
        <v>1305</v>
      </c>
      <c r="H115" s="613" t="s">
        <v>1306</v>
      </c>
      <c r="I115" s="615">
        <v>0.71</v>
      </c>
      <c r="J115" s="615">
        <v>14000</v>
      </c>
      <c r="K115" s="616">
        <v>9940</v>
      </c>
    </row>
    <row r="116" spans="1:11" ht="14.4" customHeight="1" x14ac:dyDescent="0.3">
      <c r="A116" s="611" t="s">
        <v>531</v>
      </c>
      <c r="B116" s="612" t="s">
        <v>532</v>
      </c>
      <c r="C116" s="613" t="s">
        <v>542</v>
      </c>
      <c r="D116" s="614" t="s">
        <v>1104</v>
      </c>
      <c r="E116" s="613" t="s">
        <v>1599</v>
      </c>
      <c r="F116" s="614" t="s">
        <v>1600</v>
      </c>
      <c r="G116" s="613" t="s">
        <v>1355</v>
      </c>
      <c r="H116" s="613" t="s">
        <v>1356</v>
      </c>
      <c r="I116" s="615">
        <v>12.58</v>
      </c>
      <c r="J116" s="615">
        <v>20</v>
      </c>
      <c r="K116" s="616">
        <v>251.6</v>
      </c>
    </row>
    <row r="117" spans="1:11" ht="14.4" customHeight="1" x14ac:dyDescent="0.3">
      <c r="A117" s="611" t="s">
        <v>531</v>
      </c>
      <c r="B117" s="612" t="s">
        <v>532</v>
      </c>
      <c r="C117" s="613" t="s">
        <v>542</v>
      </c>
      <c r="D117" s="614" t="s">
        <v>1104</v>
      </c>
      <c r="E117" s="613" t="s">
        <v>1603</v>
      </c>
      <c r="F117" s="614" t="s">
        <v>1604</v>
      </c>
      <c r="G117" s="613" t="s">
        <v>1357</v>
      </c>
      <c r="H117" s="613" t="s">
        <v>1358</v>
      </c>
      <c r="I117" s="615">
        <v>3341.9</v>
      </c>
      <c r="J117" s="615">
        <v>4</v>
      </c>
      <c r="K117" s="616">
        <v>13367.6</v>
      </c>
    </row>
    <row r="118" spans="1:11" ht="14.4" customHeight="1" x14ac:dyDescent="0.3">
      <c r="A118" s="611" t="s">
        <v>531</v>
      </c>
      <c r="B118" s="612" t="s">
        <v>532</v>
      </c>
      <c r="C118" s="613" t="s">
        <v>545</v>
      </c>
      <c r="D118" s="614" t="s">
        <v>1105</v>
      </c>
      <c r="E118" s="613" t="s">
        <v>1593</v>
      </c>
      <c r="F118" s="614" t="s">
        <v>1594</v>
      </c>
      <c r="G118" s="613" t="s">
        <v>1187</v>
      </c>
      <c r="H118" s="613" t="s">
        <v>1188</v>
      </c>
      <c r="I118" s="615">
        <v>4.3</v>
      </c>
      <c r="J118" s="615">
        <v>144</v>
      </c>
      <c r="K118" s="616">
        <v>619.20000000000005</v>
      </c>
    </row>
    <row r="119" spans="1:11" ht="14.4" customHeight="1" x14ac:dyDescent="0.3">
      <c r="A119" s="611" t="s">
        <v>531</v>
      </c>
      <c r="B119" s="612" t="s">
        <v>532</v>
      </c>
      <c r="C119" s="613" t="s">
        <v>545</v>
      </c>
      <c r="D119" s="614" t="s">
        <v>1105</v>
      </c>
      <c r="E119" s="613" t="s">
        <v>1593</v>
      </c>
      <c r="F119" s="614" t="s">
        <v>1594</v>
      </c>
      <c r="G119" s="613" t="s">
        <v>1191</v>
      </c>
      <c r="H119" s="613" t="s">
        <v>1192</v>
      </c>
      <c r="I119" s="615">
        <v>0.4</v>
      </c>
      <c r="J119" s="615">
        <v>100</v>
      </c>
      <c r="K119" s="616">
        <v>40</v>
      </c>
    </row>
    <row r="120" spans="1:11" ht="14.4" customHeight="1" x14ac:dyDescent="0.3">
      <c r="A120" s="611" t="s">
        <v>531</v>
      </c>
      <c r="B120" s="612" t="s">
        <v>532</v>
      </c>
      <c r="C120" s="613" t="s">
        <v>545</v>
      </c>
      <c r="D120" s="614" t="s">
        <v>1105</v>
      </c>
      <c r="E120" s="613" t="s">
        <v>1593</v>
      </c>
      <c r="F120" s="614" t="s">
        <v>1594</v>
      </c>
      <c r="G120" s="613" t="s">
        <v>1193</v>
      </c>
      <c r="H120" s="613" t="s">
        <v>1194</v>
      </c>
      <c r="I120" s="615">
        <v>28.05</v>
      </c>
      <c r="J120" s="615">
        <v>2</v>
      </c>
      <c r="K120" s="616">
        <v>56.1</v>
      </c>
    </row>
    <row r="121" spans="1:11" ht="14.4" customHeight="1" x14ac:dyDescent="0.3">
      <c r="A121" s="611" t="s">
        <v>531</v>
      </c>
      <c r="B121" s="612" t="s">
        <v>532</v>
      </c>
      <c r="C121" s="613" t="s">
        <v>545</v>
      </c>
      <c r="D121" s="614" t="s">
        <v>1105</v>
      </c>
      <c r="E121" s="613" t="s">
        <v>1593</v>
      </c>
      <c r="F121" s="614" t="s">
        <v>1594</v>
      </c>
      <c r="G121" s="613" t="s">
        <v>1195</v>
      </c>
      <c r="H121" s="613" t="s">
        <v>1196</v>
      </c>
      <c r="I121" s="615">
        <v>1.4266666666666667</v>
      </c>
      <c r="J121" s="615">
        <v>2400</v>
      </c>
      <c r="K121" s="616">
        <v>3419.2300000000005</v>
      </c>
    </row>
    <row r="122" spans="1:11" ht="14.4" customHeight="1" x14ac:dyDescent="0.3">
      <c r="A122" s="611" t="s">
        <v>531</v>
      </c>
      <c r="B122" s="612" t="s">
        <v>532</v>
      </c>
      <c r="C122" s="613" t="s">
        <v>545</v>
      </c>
      <c r="D122" s="614" t="s">
        <v>1105</v>
      </c>
      <c r="E122" s="613" t="s">
        <v>1593</v>
      </c>
      <c r="F122" s="614" t="s">
        <v>1594</v>
      </c>
      <c r="G122" s="613" t="s">
        <v>1311</v>
      </c>
      <c r="H122" s="613" t="s">
        <v>1312</v>
      </c>
      <c r="I122" s="615">
        <v>0.31</v>
      </c>
      <c r="J122" s="615">
        <v>2700</v>
      </c>
      <c r="K122" s="616">
        <v>836.28</v>
      </c>
    </row>
    <row r="123" spans="1:11" ht="14.4" customHeight="1" x14ac:dyDescent="0.3">
      <c r="A123" s="611" t="s">
        <v>531</v>
      </c>
      <c r="B123" s="612" t="s">
        <v>532</v>
      </c>
      <c r="C123" s="613" t="s">
        <v>545</v>
      </c>
      <c r="D123" s="614" t="s">
        <v>1105</v>
      </c>
      <c r="E123" s="613" t="s">
        <v>1593</v>
      </c>
      <c r="F123" s="614" t="s">
        <v>1594</v>
      </c>
      <c r="G123" s="613" t="s">
        <v>1359</v>
      </c>
      <c r="H123" s="613" t="s">
        <v>1360</v>
      </c>
      <c r="I123" s="615">
        <v>27.57</v>
      </c>
      <c r="J123" s="615">
        <v>24</v>
      </c>
      <c r="K123" s="616">
        <v>661.65</v>
      </c>
    </row>
    <row r="124" spans="1:11" ht="14.4" customHeight="1" x14ac:dyDescent="0.3">
      <c r="A124" s="611" t="s">
        <v>531</v>
      </c>
      <c r="B124" s="612" t="s">
        <v>532</v>
      </c>
      <c r="C124" s="613" t="s">
        <v>545</v>
      </c>
      <c r="D124" s="614" t="s">
        <v>1105</v>
      </c>
      <c r="E124" s="613" t="s">
        <v>1593</v>
      </c>
      <c r="F124" s="614" t="s">
        <v>1594</v>
      </c>
      <c r="G124" s="613" t="s">
        <v>1199</v>
      </c>
      <c r="H124" s="613" t="s">
        <v>1200</v>
      </c>
      <c r="I124" s="615">
        <v>2.9083333333333332</v>
      </c>
      <c r="J124" s="615">
        <v>1860</v>
      </c>
      <c r="K124" s="616">
        <v>5397.85</v>
      </c>
    </row>
    <row r="125" spans="1:11" ht="14.4" customHeight="1" x14ac:dyDescent="0.3">
      <c r="A125" s="611" t="s">
        <v>531</v>
      </c>
      <c r="B125" s="612" t="s">
        <v>532</v>
      </c>
      <c r="C125" s="613" t="s">
        <v>545</v>
      </c>
      <c r="D125" s="614" t="s">
        <v>1105</v>
      </c>
      <c r="E125" s="613" t="s">
        <v>1593</v>
      </c>
      <c r="F125" s="614" t="s">
        <v>1594</v>
      </c>
      <c r="G125" s="613" t="s">
        <v>1313</v>
      </c>
      <c r="H125" s="613" t="s">
        <v>1314</v>
      </c>
      <c r="I125" s="615">
        <v>0.59833333333333327</v>
      </c>
      <c r="J125" s="615">
        <v>2300</v>
      </c>
      <c r="K125" s="616">
        <v>1377</v>
      </c>
    </row>
    <row r="126" spans="1:11" ht="14.4" customHeight="1" x14ac:dyDescent="0.3">
      <c r="A126" s="611" t="s">
        <v>531</v>
      </c>
      <c r="B126" s="612" t="s">
        <v>532</v>
      </c>
      <c r="C126" s="613" t="s">
        <v>545</v>
      </c>
      <c r="D126" s="614" t="s">
        <v>1105</v>
      </c>
      <c r="E126" s="613" t="s">
        <v>1593</v>
      </c>
      <c r="F126" s="614" t="s">
        <v>1594</v>
      </c>
      <c r="G126" s="613" t="s">
        <v>1361</v>
      </c>
      <c r="H126" s="613" t="s">
        <v>1362</v>
      </c>
      <c r="I126" s="615">
        <v>51.75</v>
      </c>
      <c r="J126" s="615">
        <v>90</v>
      </c>
      <c r="K126" s="616">
        <v>4668.34</v>
      </c>
    </row>
    <row r="127" spans="1:11" ht="14.4" customHeight="1" x14ac:dyDescent="0.3">
      <c r="A127" s="611" t="s">
        <v>531</v>
      </c>
      <c r="B127" s="612" t="s">
        <v>532</v>
      </c>
      <c r="C127" s="613" t="s">
        <v>545</v>
      </c>
      <c r="D127" s="614" t="s">
        <v>1105</v>
      </c>
      <c r="E127" s="613" t="s">
        <v>1593</v>
      </c>
      <c r="F127" s="614" t="s">
        <v>1594</v>
      </c>
      <c r="G127" s="613" t="s">
        <v>1363</v>
      </c>
      <c r="H127" s="613" t="s">
        <v>1364</v>
      </c>
      <c r="I127" s="615">
        <v>8.58</v>
      </c>
      <c r="J127" s="615">
        <v>48</v>
      </c>
      <c r="K127" s="616">
        <v>411.84</v>
      </c>
    </row>
    <row r="128" spans="1:11" ht="14.4" customHeight="1" x14ac:dyDescent="0.3">
      <c r="A128" s="611" t="s">
        <v>531</v>
      </c>
      <c r="B128" s="612" t="s">
        <v>532</v>
      </c>
      <c r="C128" s="613" t="s">
        <v>545</v>
      </c>
      <c r="D128" s="614" t="s">
        <v>1105</v>
      </c>
      <c r="E128" s="613" t="s">
        <v>1593</v>
      </c>
      <c r="F128" s="614" t="s">
        <v>1594</v>
      </c>
      <c r="G128" s="613" t="s">
        <v>1365</v>
      </c>
      <c r="H128" s="613" t="s">
        <v>1366</v>
      </c>
      <c r="I128" s="615">
        <v>159.55000000000001</v>
      </c>
      <c r="J128" s="615">
        <v>15</v>
      </c>
      <c r="K128" s="616">
        <v>2393.2600000000002</v>
      </c>
    </row>
    <row r="129" spans="1:11" ht="14.4" customHeight="1" x14ac:dyDescent="0.3">
      <c r="A129" s="611" t="s">
        <v>531</v>
      </c>
      <c r="B129" s="612" t="s">
        <v>532</v>
      </c>
      <c r="C129" s="613" t="s">
        <v>545</v>
      </c>
      <c r="D129" s="614" t="s">
        <v>1105</v>
      </c>
      <c r="E129" s="613" t="s">
        <v>1593</v>
      </c>
      <c r="F129" s="614" t="s">
        <v>1594</v>
      </c>
      <c r="G129" s="613" t="s">
        <v>1367</v>
      </c>
      <c r="H129" s="613" t="s">
        <v>1368</v>
      </c>
      <c r="I129" s="615">
        <v>120.69</v>
      </c>
      <c r="J129" s="615">
        <v>40</v>
      </c>
      <c r="K129" s="616">
        <v>4827.7</v>
      </c>
    </row>
    <row r="130" spans="1:11" ht="14.4" customHeight="1" x14ac:dyDescent="0.3">
      <c r="A130" s="611" t="s">
        <v>531</v>
      </c>
      <c r="B130" s="612" t="s">
        <v>532</v>
      </c>
      <c r="C130" s="613" t="s">
        <v>545</v>
      </c>
      <c r="D130" s="614" t="s">
        <v>1105</v>
      </c>
      <c r="E130" s="613" t="s">
        <v>1593</v>
      </c>
      <c r="F130" s="614" t="s">
        <v>1594</v>
      </c>
      <c r="G130" s="613" t="s">
        <v>1369</v>
      </c>
      <c r="H130" s="613" t="s">
        <v>1370</v>
      </c>
      <c r="I130" s="615">
        <v>85.42</v>
      </c>
      <c r="J130" s="615">
        <v>30</v>
      </c>
      <c r="K130" s="616">
        <v>2562.66</v>
      </c>
    </row>
    <row r="131" spans="1:11" ht="14.4" customHeight="1" x14ac:dyDescent="0.3">
      <c r="A131" s="611" t="s">
        <v>531</v>
      </c>
      <c r="B131" s="612" t="s">
        <v>532</v>
      </c>
      <c r="C131" s="613" t="s">
        <v>545</v>
      </c>
      <c r="D131" s="614" t="s">
        <v>1105</v>
      </c>
      <c r="E131" s="613" t="s">
        <v>1593</v>
      </c>
      <c r="F131" s="614" t="s">
        <v>1594</v>
      </c>
      <c r="G131" s="613" t="s">
        <v>1317</v>
      </c>
      <c r="H131" s="613" t="s">
        <v>1318</v>
      </c>
      <c r="I131" s="615">
        <v>13.16</v>
      </c>
      <c r="J131" s="615">
        <v>96</v>
      </c>
      <c r="K131" s="616">
        <v>1262.98</v>
      </c>
    </row>
    <row r="132" spans="1:11" ht="14.4" customHeight="1" x14ac:dyDescent="0.3">
      <c r="A132" s="611" t="s">
        <v>531</v>
      </c>
      <c r="B132" s="612" t="s">
        <v>532</v>
      </c>
      <c r="C132" s="613" t="s">
        <v>545</v>
      </c>
      <c r="D132" s="614" t="s">
        <v>1105</v>
      </c>
      <c r="E132" s="613" t="s">
        <v>1593</v>
      </c>
      <c r="F132" s="614" t="s">
        <v>1594</v>
      </c>
      <c r="G132" s="613" t="s">
        <v>1371</v>
      </c>
      <c r="H132" s="613" t="s">
        <v>1372</v>
      </c>
      <c r="I132" s="615">
        <v>124.41</v>
      </c>
      <c r="J132" s="615">
        <v>10</v>
      </c>
      <c r="K132" s="616">
        <v>1244.0999999999999</v>
      </c>
    </row>
    <row r="133" spans="1:11" ht="14.4" customHeight="1" x14ac:dyDescent="0.3">
      <c r="A133" s="611" t="s">
        <v>531</v>
      </c>
      <c r="B133" s="612" t="s">
        <v>532</v>
      </c>
      <c r="C133" s="613" t="s">
        <v>545</v>
      </c>
      <c r="D133" s="614" t="s">
        <v>1105</v>
      </c>
      <c r="E133" s="613" t="s">
        <v>1593</v>
      </c>
      <c r="F133" s="614" t="s">
        <v>1594</v>
      </c>
      <c r="G133" s="613" t="s">
        <v>1373</v>
      </c>
      <c r="H133" s="613" t="s">
        <v>1374</v>
      </c>
      <c r="I133" s="615">
        <v>0.85</v>
      </c>
      <c r="J133" s="615">
        <v>50</v>
      </c>
      <c r="K133" s="616">
        <v>42.5</v>
      </c>
    </row>
    <row r="134" spans="1:11" ht="14.4" customHeight="1" x14ac:dyDescent="0.3">
      <c r="A134" s="611" t="s">
        <v>531</v>
      </c>
      <c r="B134" s="612" t="s">
        <v>532</v>
      </c>
      <c r="C134" s="613" t="s">
        <v>545</v>
      </c>
      <c r="D134" s="614" t="s">
        <v>1105</v>
      </c>
      <c r="E134" s="613" t="s">
        <v>1593</v>
      </c>
      <c r="F134" s="614" t="s">
        <v>1594</v>
      </c>
      <c r="G134" s="613" t="s">
        <v>1203</v>
      </c>
      <c r="H134" s="613" t="s">
        <v>1204</v>
      </c>
      <c r="I134" s="615">
        <v>0.31</v>
      </c>
      <c r="J134" s="615">
        <v>7200</v>
      </c>
      <c r="K134" s="616">
        <v>2214.6</v>
      </c>
    </row>
    <row r="135" spans="1:11" ht="14.4" customHeight="1" x14ac:dyDescent="0.3">
      <c r="A135" s="611" t="s">
        <v>531</v>
      </c>
      <c r="B135" s="612" t="s">
        <v>532</v>
      </c>
      <c r="C135" s="613" t="s">
        <v>545</v>
      </c>
      <c r="D135" s="614" t="s">
        <v>1105</v>
      </c>
      <c r="E135" s="613" t="s">
        <v>1593</v>
      </c>
      <c r="F135" s="614" t="s">
        <v>1594</v>
      </c>
      <c r="G135" s="613" t="s">
        <v>1375</v>
      </c>
      <c r="H135" s="613" t="s">
        <v>1376</v>
      </c>
      <c r="I135" s="615">
        <v>17.63</v>
      </c>
      <c r="J135" s="615">
        <v>30</v>
      </c>
      <c r="K135" s="616">
        <v>529</v>
      </c>
    </row>
    <row r="136" spans="1:11" ht="14.4" customHeight="1" x14ac:dyDescent="0.3">
      <c r="A136" s="611" t="s">
        <v>531</v>
      </c>
      <c r="B136" s="612" t="s">
        <v>532</v>
      </c>
      <c r="C136" s="613" t="s">
        <v>545</v>
      </c>
      <c r="D136" s="614" t="s">
        <v>1105</v>
      </c>
      <c r="E136" s="613" t="s">
        <v>1593</v>
      </c>
      <c r="F136" s="614" t="s">
        <v>1594</v>
      </c>
      <c r="G136" s="613" t="s">
        <v>1377</v>
      </c>
      <c r="H136" s="613" t="s">
        <v>1378</v>
      </c>
      <c r="I136" s="615">
        <v>0.36</v>
      </c>
      <c r="J136" s="615">
        <v>1000</v>
      </c>
      <c r="K136" s="616">
        <v>362</v>
      </c>
    </row>
    <row r="137" spans="1:11" ht="14.4" customHeight="1" x14ac:dyDescent="0.3">
      <c r="A137" s="611" t="s">
        <v>531</v>
      </c>
      <c r="B137" s="612" t="s">
        <v>532</v>
      </c>
      <c r="C137" s="613" t="s">
        <v>545</v>
      </c>
      <c r="D137" s="614" t="s">
        <v>1105</v>
      </c>
      <c r="E137" s="613" t="s">
        <v>1593</v>
      </c>
      <c r="F137" s="614" t="s">
        <v>1594</v>
      </c>
      <c r="G137" s="613" t="s">
        <v>1379</v>
      </c>
      <c r="H137" s="613" t="s">
        <v>1380</v>
      </c>
      <c r="I137" s="615">
        <v>61.753999999999998</v>
      </c>
      <c r="J137" s="615">
        <v>50</v>
      </c>
      <c r="K137" s="616">
        <v>3087.7599999999993</v>
      </c>
    </row>
    <row r="138" spans="1:11" ht="14.4" customHeight="1" x14ac:dyDescent="0.3">
      <c r="A138" s="611" t="s">
        <v>531</v>
      </c>
      <c r="B138" s="612" t="s">
        <v>532</v>
      </c>
      <c r="C138" s="613" t="s">
        <v>545</v>
      </c>
      <c r="D138" s="614" t="s">
        <v>1105</v>
      </c>
      <c r="E138" s="613" t="s">
        <v>1593</v>
      </c>
      <c r="F138" s="614" t="s">
        <v>1594</v>
      </c>
      <c r="G138" s="613" t="s">
        <v>1381</v>
      </c>
      <c r="H138" s="613" t="s">
        <v>1382</v>
      </c>
      <c r="I138" s="615">
        <v>17.420000000000002</v>
      </c>
      <c r="J138" s="615">
        <v>50</v>
      </c>
      <c r="K138" s="616">
        <v>871.2</v>
      </c>
    </row>
    <row r="139" spans="1:11" ht="14.4" customHeight="1" x14ac:dyDescent="0.3">
      <c r="A139" s="611" t="s">
        <v>531</v>
      </c>
      <c r="B139" s="612" t="s">
        <v>532</v>
      </c>
      <c r="C139" s="613" t="s">
        <v>545</v>
      </c>
      <c r="D139" s="614" t="s">
        <v>1105</v>
      </c>
      <c r="E139" s="613" t="s">
        <v>1593</v>
      </c>
      <c r="F139" s="614" t="s">
        <v>1594</v>
      </c>
      <c r="G139" s="613" t="s">
        <v>1383</v>
      </c>
      <c r="H139" s="613" t="s">
        <v>1384</v>
      </c>
      <c r="I139" s="615">
        <v>21.78</v>
      </c>
      <c r="J139" s="615">
        <v>100</v>
      </c>
      <c r="K139" s="616">
        <v>2178</v>
      </c>
    </row>
    <row r="140" spans="1:11" ht="14.4" customHeight="1" x14ac:dyDescent="0.3">
      <c r="A140" s="611" t="s">
        <v>531</v>
      </c>
      <c r="B140" s="612" t="s">
        <v>532</v>
      </c>
      <c r="C140" s="613" t="s">
        <v>545</v>
      </c>
      <c r="D140" s="614" t="s">
        <v>1105</v>
      </c>
      <c r="E140" s="613" t="s">
        <v>1595</v>
      </c>
      <c r="F140" s="614" t="s">
        <v>1596</v>
      </c>
      <c r="G140" s="613" t="s">
        <v>1385</v>
      </c>
      <c r="H140" s="613" t="s">
        <v>1386</v>
      </c>
      <c r="I140" s="615">
        <v>11.670000000000002</v>
      </c>
      <c r="J140" s="615">
        <v>80</v>
      </c>
      <c r="K140" s="616">
        <v>933.29</v>
      </c>
    </row>
    <row r="141" spans="1:11" ht="14.4" customHeight="1" x14ac:dyDescent="0.3">
      <c r="A141" s="611" t="s">
        <v>531</v>
      </c>
      <c r="B141" s="612" t="s">
        <v>532</v>
      </c>
      <c r="C141" s="613" t="s">
        <v>545</v>
      </c>
      <c r="D141" s="614" t="s">
        <v>1105</v>
      </c>
      <c r="E141" s="613" t="s">
        <v>1595</v>
      </c>
      <c r="F141" s="614" t="s">
        <v>1596</v>
      </c>
      <c r="G141" s="613" t="s">
        <v>1319</v>
      </c>
      <c r="H141" s="613" t="s">
        <v>1320</v>
      </c>
      <c r="I141" s="615">
        <v>16.395</v>
      </c>
      <c r="J141" s="615">
        <v>2400</v>
      </c>
      <c r="K141" s="616">
        <v>39345.61</v>
      </c>
    </row>
    <row r="142" spans="1:11" ht="14.4" customHeight="1" x14ac:dyDescent="0.3">
      <c r="A142" s="611" t="s">
        <v>531</v>
      </c>
      <c r="B142" s="612" t="s">
        <v>532</v>
      </c>
      <c r="C142" s="613" t="s">
        <v>545</v>
      </c>
      <c r="D142" s="614" t="s">
        <v>1105</v>
      </c>
      <c r="E142" s="613" t="s">
        <v>1595</v>
      </c>
      <c r="F142" s="614" t="s">
        <v>1596</v>
      </c>
      <c r="G142" s="613" t="s">
        <v>1387</v>
      </c>
      <c r="H142" s="613" t="s">
        <v>1388</v>
      </c>
      <c r="I142" s="615">
        <v>260.14999999999998</v>
      </c>
      <c r="J142" s="615">
        <v>33</v>
      </c>
      <c r="K142" s="616">
        <v>8584.9500000000007</v>
      </c>
    </row>
    <row r="143" spans="1:11" ht="14.4" customHeight="1" x14ac:dyDescent="0.3">
      <c r="A143" s="611" t="s">
        <v>531</v>
      </c>
      <c r="B143" s="612" t="s">
        <v>532</v>
      </c>
      <c r="C143" s="613" t="s">
        <v>545</v>
      </c>
      <c r="D143" s="614" t="s">
        <v>1105</v>
      </c>
      <c r="E143" s="613" t="s">
        <v>1595</v>
      </c>
      <c r="F143" s="614" t="s">
        <v>1596</v>
      </c>
      <c r="G143" s="613" t="s">
        <v>1389</v>
      </c>
      <c r="H143" s="613" t="s">
        <v>1390</v>
      </c>
      <c r="I143" s="615">
        <v>5.21</v>
      </c>
      <c r="J143" s="615">
        <v>80</v>
      </c>
      <c r="K143" s="616">
        <v>416.8</v>
      </c>
    </row>
    <row r="144" spans="1:11" ht="14.4" customHeight="1" x14ac:dyDescent="0.3">
      <c r="A144" s="611" t="s">
        <v>531</v>
      </c>
      <c r="B144" s="612" t="s">
        <v>532</v>
      </c>
      <c r="C144" s="613" t="s">
        <v>545</v>
      </c>
      <c r="D144" s="614" t="s">
        <v>1105</v>
      </c>
      <c r="E144" s="613" t="s">
        <v>1595</v>
      </c>
      <c r="F144" s="614" t="s">
        <v>1596</v>
      </c>
      <c r="G144" s="613" t="s">
        <v>1391</v>
      </c>
      <c r="H144" s="613" t="s">
        <v>1392</v>
      </c>
      <c r="I144" s="615">
        <v>0.24</v>
      </c>
      <c r="J144" s="615">
        <v>100</v>
      </c>
      <c r="K144" s="616">
        <v>24</v>
      </c>
    </row>
    <row r="145" spans="1:11" ht="14.4" customHeight="1" x14ac:dyDescent="0.3">
      <c r="A145" s="611" t="s">
        <v>531</v>
      </c>
      <c r="B145" s="612" t="s">
        <v>532</v>
      </c>
      <c r="C145" s="613" t="s">
        <v>545</v>
      </c>
      <c r="D145" s="614" t="s">
        <v>1105</v>
      </c>
      <c r="E145" s="613" t="s">
        <v>1595</v>
      </c>
      <c r="F145" s="614" t="s">
        <v>1596</v>
      </c>
      <c r="G145" s="613" t="s">
        <v>1211</v>
      </c>
      <c r="H145" s="613" t="s">
        <v>1212</v>
      </c>
      <c r="I145" s="615">
        <v>15.924000000000001</v>
      </c>
      <c r="J145" s="615">
        <v>500</v>
      </c>
      <c r="K145" s="616">
        <v>7962</v>
      </c>
    </row>
    <row r="146" spans="1:11" ht="14.4" customHeight="1" x14ac:dyDescent="0.3">
      <c r="A146" s="611" t="s">
        <v>531</v>
      </c>
      <c r="B146" s="612" t="s">
        <v>532</v>
      </c>
      <c r="C146" s="613" t="s">
        <v>545</v>
      </c>
      <c r="D146" s="614" t="s">
        <v>1105</v>
      </c>
      <c r="E146" s="613" t="s">
        <v>1595</v>
      </c>
      <c r="F146" s="614" t="s">
        <v>1596</v>
      </c>
      <c r="G146" s="613" t="s">
        <v>1213</v>
      </c>
      <c r="H146" s="613" t="s">
        <v>1214</v>
      </c>
      <c r="I146" s="615">
        <v>2.472</v>
      </c>
      <c r="J146" s="615">
        <v>600</v>
      </c>
      <c r="K146" s="616">
        <v>1486.5</v>
      </c>
    </row>
    <row r="147" spans="1:11" ht="14.4" customHeight="1" x14ac:dyDescent="0.3">
      <c r="A147" s="611" t="s">
        <v>531</v>
      </c>
      <c r="B147" s="612" t="s">
        <v>532</v>
      </c>
      <c r="C147" s="613" t="s">
        <v>545</v>
      </c>
      <c r="D147" s="614" t="s">
        <v>1105</v>
      </c>
      <c r="E147" s="613" t="s">
        <v>1595</v>
      </c>
      <c r="F147" s="614" t="s">
        <v>1596</v>
      </c>
      <c r="G147" s="613" t="s">
        <v>1215</v>
      </c>
      <c r="H147" s="613" t="s">
        <v>1216</v>
      </c>
      <c r="I147" s="615">
        <v>30.25</v>
      </c>
      <c r="J147" s="615">
        <v>400</v>
      </c>
      <c r="K147" s="616">
        <v>12100</v>
      </c>
    </row>
    <row r="148" spans="1:11" ht="14.4" customHeight="1" x14ac:dyDescent="0.3">
      <c r="A148" s="611" t="s">
        <v>531</v>
      </c>
      <c r="B148" s="612" t="s">
        <v>532</v>
      </c>
      <c r="C148" s="613" t="s">
        <v>545</v>
      </c>
      <c r="D148" s="614" t="s">
        <v>1105</v>
      </c>
      <c r="E148" s="613" t="s">
        <v>1595</v>
      </c>
      <c r="F148" s="614" t="s">
        <v>1596</v>
      </c>
      <c r="G148" s="613" t="s">
        <v>1323</v>
      </c>
      <c r="H148" s="613" t="s">
        <v>1324</v>
      </c>
      <c r="I148" s="615">
        <v>2.7519999999999998</v>
      </c>
      <c r="J148" s="615">
        <v>3100</v>
      </c>
      <c r="K148" s="616">
        <v>8530</v>
      </c>
    </row>
    <row r="149" spans="1:11" ht="14.4" customHeight="1" x14ac:dyDescent="0.3">
      <c r="A149" s="611" t="s">
        <v>531</v>
      </c>
      <c r="B149" s="612" t="s">
        <v>532</v>
      </c>
      <c r="C149" s="613" t="s">
        <v>545</v>
      </c>
      <c r="D149" s="614" t="s">
        <v>1105</v>
      </c>
      <c r="E149" s="613" t="s">
        <v>1595</v>
      </c>
      <c r="F149" s="614" t="s">
        <v>1596</v>
      </c>
      <c r="G149" s="613" t="s">
        <v>1393</v>
      </c>
      <c r="H149" s="613" t="s">
        <v>1394</v>
      </c>
      <c r="I149" s="615">
        <v>7.43</v>
      </c>
      <c r="J149" s="615">
        <v>1313</v>
      </c>
      <c r="K149" s="616">
        <v>9753.7900000000009</v>
      </c>
    </row>
    <row r="150" spans="1:11" ht="14.4" customHeight="1" x14ac:dyDescent="0.3">
      <c r="A150" s="611" t="s">
        <v>531</v>
      </c>
      <c r="B150" s="612" t="s">
        <v>532</v>
      </c>
      <c r="C150" s="613" t="s">
        <v>545</v>
      </c>
      <c r="D150" s="614" t="s">
        <v>1105</v>
      </c>
      <c r="E150" s="613" t="s">
        <v>1595</v>
      </c>
      <c r="F150" s="614" t="s">
        <v>1596</v>
      </c>
      <c r="G150" s="613" t="s">
        <v>1395</v>
      </c>
      <c r="H150" s="613" t="s">
        <v>1396</v>
      </c>
      <c r="I150" s="615">
        <v>6.31</v>
      </c>
      <c r="J150" s="615">
        <v>1000</v>
      </c>
      <c r="K150" s="616">
        <v>6311.72</v>
      </c>
    </row>
    <row r="151" spans="1:11" ht="14.4" customHeight="1" x14ac:dyDescent="0.3">
      <c r="A151" s="611" t="s">
        <v>531</v>
      </c>
      <c r="B151" s="612" t="s">
        <v>532</v>
      </c>
      <c r="C151" s="613" t="s">
        <v>545</v>
      </c>
      <c r="D151" s="614" t="s">
        <v>1105</v>
      </c>
      <c r="E151" s="613" t="s">
        <v>1595</v>
      </c>
      <c r="F151" s="614" t="s">
        <v>1596</v>
      </c>
      <c r="G151" s="613" t="s">
        <v>1217</v>
      </c>
      <c r="H151" s="613" t="s">
        <v>1218</v>
      </c>
      <c r="I151" s="615">
        <v>4.1900000000000004</v>
      </c>
      <c r="J151" s="615">
        <v>50</v>
      </c>
      <c r="K151" s="616">
        <v>209.5</v>
      </c>
    </row>
    <row r="152" spans="1:11" ht="14.4" customHeight="1" x14ac:dyDescent="0.3">
      <c r="A152" s="611" t="s">
        <v>531</v>
      </c>
      <c r="B152" s="612" t="s">
        <v>532</v>
      </c>
      <c r="C152" s="613" t="s">
        <v>545</v>
      </c>
      <c r="D152" s="614" t="s">
        <v>1105</v>
      </c>
      <c r="E152" s="613" t="s">
        <v>1595</v>
      </c>
      <c r="F152" s="614" t="s">
        <v>1596</v>
      </c>
      <c r="G152" s="613" t="s">
        <v>1219</v>
      </c>
      <c r="H152" s="613" t="s">
        <v>1220</v>
      </c>
      <c r="I152" s="615">
        <v>1.0933333333333335</v>
      </c>
      <c r="J152" s="615">
        <v>2900</v>
      </c>
      <c r="K152" s="616">
        <v>3173</v>
      </c>
    </row>
    <row r="153" spans="1:11" ht="14.4" customHeight="1" x14ac:dyDescent="0.3">
      <c r="A153" s="611" t="s">
        <v>531</v>
      </c>
      <c r="B153" s="612" t="s">
        <v>532</v>
      </c>
      <c r="C153" s="613" t="s">
        <v>545</v>
      </c>
      <c r="D153" s="614" t="s">
        <v>1105</v>
      </c>
      <c r="E153" s="613" t="s">
        <v>1595</v>
      </c>
      <c r="F153" s="614" t="s">
        <v>1596</v>
      </c>
      <c r="G153" s="613" t="s">
        <v>1221</v>
      </c>
      <c r="H153" s="613" t="s">
        <v>1222</v>
      </c>
      <c r="I153" s="615">
        <v>1.6749999999999998</v>
      </c>
      <c r="J153" s="615">
        <v>7900</v>
      </c>
      <c r="K153" s="616">
        <v>13233</v>
      </c>
    </row>
    <row r="154" spans="1:11" ht="14.4" customHeight="1" x14ac:dyDescent="0.3">
      <c r="A154" s="611" t="s">
        <v>531</v>
      </c>
      <c r="B154" s="612" t="s">
        <v>532</v>
      </c>
      <c r="C154" s="613" t="s">
        <v>545</v>
      </c>
      <c r="D154" s="614" t="s">
        <v>1105</v>
      </c>
      <c r="E154" s="613" t="s">
        <v>1595</v>
      </c>
      <c r="F154" s="614" t="s">
        <v>1596</v>
      </c>
      <c r="G154" s="613" t="s">
        <v>1223</v>
      </c>
      <c r="H154" s="613" t="s">
        <v>1224</v>
      </c>
      <c r="I154" s="615">
        <v>0.47599999999999998</v>
      </c>
      <c r="J154" s="615">
        <v>6800</v>
      </c>
      <c r="K154" s="616">
        <v>3231</v>
      </c>
    </row>
    <row r="155" spans="1:11" ht="14.4" customHeight="1" x14ac:dyDescent="0.3">
      <c r="A155" s="611" t="s">
        <v>531</v>
      </c>
      <c r="B155" s="612" t="s">
        <v>532</v>
      </c>
      <c r="C155" s="613" t="s">
        <v>545</v>
      </c>
      <c r="D155" s="614" t="s">
        <v>1105</v>
      </c>
      <c r="E155" s="613" t="s">
        <v>1595</v>
      </c>
      <c r="F155" s="614" t="s">
        <v>1596</v>
      </c>
      <c r="G155" s="613" t="s">
        <v>1225</v>
      </c>
      <c r="H155" s="613" t="s">
        <v>1226</v>
      </c>
      <c r="I155" s="615">
        <v>0.67</v>
      </c>
      <c r="J155" s="615">
        <v>4000</v>
      </c>
      <c r="K155" s="616">
        <v>2680</v>
      </c>
    </row>
    <row r="156" spans="1:11" ht="14.4" customHeight="1" x14ac:dyDescent="0.3">
      <c r="A156" s="611" t="s">
        <v>531</v>
      </c>
      <c r="B156" s="612" t="s">
        <v>532</v>
      </c>
      <c r="C156" s="613" t="s">
        <v>545</v>
      </c>
      <c r="D156" s="614" t="s">
        <v>1105</v>
      </c>
      <c r="E156" s="613" t="s">
        <v>1595</v>
      </c>
      <c r="F156" s="614" t="s">
        <v>1596</v>
      </c>
      <c r="G156" s="613" t="s">
        <v>1227</v>
      </c>
      <c r="H156" s="613" t="s">
        <v>1228</v>
      </c>
      <c r="I156" s="615">
        <v>3.6340000000000003</v>
      </c>
      <c r="J156" s="615">
        <v>750</v>
      </c>
      <c r="K156" s="616">
        <v>2777.2799999999997</v>
      </c>
    </row>
    <row r="157" spans="1:11" ht="14.4" customHeight="1" x14ac:dyDescent="0.3">
      <c r="A157" s="611" t="s">
        <v>531</v>
      </c>
      <c r="B157" s="612" t="s">
        <v>532</v>
      </c>
      <c r="C157" s="613" t="s">
        <v>545</v>
      </c>
      <c r="D157" s="614" t="s">
        <v>1105</v>
      </c>
      <c r="E157" s="613" t="s">
        <v>1595</v>
      </c>
      <c r="F157" s="614" t="s">
        <v>1596</v>
      </c>
      <c r="G157" s="613" t="s">
        <v>1397</v>
      </c>
      <c r="H157" s="613" t="s">
        <v>1398</v>
      </c>
      <c r="I157" s="615">
        <v>81.733333333333334</v>
      </c>
      <c r="J157" s="615">
        <v>180</v>
      </c>
      <c r="K157" s="616">
        <v>14711.849999999999</v>
      </c>
    </row>
    <row r="158" spans="1:11" ht="14.4" customHeight="1" x14ac:dyDescent="0.3">
      <c r="A158" s="611" t="s">
        <v>531</v>
      </c>
      <c r="B158" s="612" t="s">
        <v>532</v>
      </c>
      <c r="C158" s="613" t="s">
        <v>545</v>
      </c>
      <c r="D158" s="614" t="s">
        <v>1105</v>
      </c>
      <c r="E158" s="613" t="s">
        <v>1595</v>
      </c>
      <c r="F158" s="614" t="s">
        <v>1596</v>
      </c>
      <c r="G158" s="613" t="s">
        <v>1399</v>
      </c>
      <c r="H158" s="613" t="s">
        <v>1400</v>
      </c>
      <c r="I158" s="615">
        <v>80.569999999999993</v>
      </c>
      <c r="J158" s="615">
        <v>20</v>
      </c>
      <c r="K158" s="616">
        <v>1611.4</v>
      </c>
    </row>
    <row r="159" spans="1:11" ht="14.4" customHeight="1" x14ac:dyDescent="0.3">
      <c r="A159" s="611" t="s">
        <v>531</v>
      </c>
      <c r="B159" s="612" t="s">
        <v>532</v>
      </c>
      <c r="C159" s="613" t="s">
        <v>545</v>
      </c>
      <c r="D159" s="614" t="s">
        <v>1105</v>
      </c>
      <c r="E159" s="613" t="s">
        <v>1595</v>
      </c>
      <c r="F159" s="614" t="s">
        <v>1596</v>
      </c>
      <c r="G159" s="613" t="s">
        <v>1325</v>
      </c>
      <c r="H159" s="613" t="s">
        <v>1326</v>
      </c>
      <c r="I159" s="615">
        <v>30.25</v>
      </c>
      <c r="J159" s="615">
        <v>100</v>
      </c>
      <c r="K159" s="616">
        <v>3025</v>
      </c>
    </row>
    <row r="160" spans="1:11" ht="14.4" customHeight="1" x14ac:dyDescent="0.3">
      <c r="A160" s="611" t="s">
        <v>531</v>
      </c>
      <c r="B160" s="612" t="s">
        <v>532</v>
      </c>
      <c r="C160" s="613" t="s">
        <v>545</v>
      </c>
      <c r="D160" s="614" t="s">
        <v>1105</v>
      </c>
      <c r="E160" s="613" t="s">
        <v>1595</v>
      </c>
      <c r="F160" s="614" t="s">
        <v>1596</v>
      </c>
      <c r="G160" s="613" t="s">
        <v>1231</v>
      </c>
      <c r="H160" s="613" t="s">
        <v>1232</v>
      </c>
      <c r="I160" s="615">
        <v>32.67</v>
      </c>
      <c r="J160" s="615">
        <v>650</v>
      </c>
      <c r="K160" s="616">
        <v>21235.5</v>
      </c>
    </row>
    <row r="161" spans="1:11" ht="14.4" customHeight="1" x14ac:dyDescent="0.3">
      <c r="A161" s="611" t="s">
        <v>531</v>
      </c>
      <c r="B161" s="612" t="s">
        <v>532</v>
      </c>
      <c r="C161" s="613" t="s">
        <v>545</v>
      </c>
      <c r="D161" s="614" t="s">
        <v>1105</v>
      </c>
      <c r="E161" s="613" t="s">
        <v>1595</v>
      </c>
      <c r="F161" s="614" t="s">
        <v>1596</v>
      </c>
      <c r="G161" s="613" t="s">
        <v>1401</v>
      </c>
      <c r="H161" s="613" t="s">
        <v>1402</v>
      </c>
      <c r="I161" s="615">
        <v>108.28</v>
      </c>
      <c r="J161" s="615">
        <v>20</v>
      </c>
      <c r="K161" s="616">
        <v>2165.6999999999998</v>
      </c>
    </row>
    <row r="162" spans="1:11" ht="14.4" customHeight="1" x14ac:dyDescent="0.3">
      <c r="A162" s="611" t="s">
        <v>531</v>
      </c>
      <c r="B162" s="612" t="s">
        <v>532</v>
      </c>
      <c r="C162" s="613" t="s">
        <v>545</v>
      </c>
      <c r="D162" s="614" t="s">
        <v>1105</v>
      </c>
      <c r="E162" s="613" t="s">
        <v>1595</v>
      </c>
      <c r="F162" s="614" t="s">
        <v>1596</v>
      </c>
      <c r="G162" s="613" t="s">
        <v>1403</v>
      </c>
      <c r="H162" s="613" t="s">
        <v>1404</v>
      </c>
      <c r="I162" s="615">
        <v>2.67</v>
      </c>
      <c r="J162" s="615">
        <v>150</v>
      </c>
      <c r="K162" s="616">
        <v>401.12</v>
      </c>
    </row>
    <row r="163" spans="1:11" ht="14.4" customHeight="1" x14ac:dyDescent="0.3">
      <c r="A163" s="611" t="s">
        <v>531</v>
      </c>
      <c r="B163" s="612" t="s">
        <v>532</v>
      </c>
      <c r="C163" s="613" t="s">
        <v>545</v>
      </c>
      <c r="D163" s="614" t="s">
        <v>1105</v>
      </c>
      <c r="E163" s="613" t="s">
        <v>1595</v>
      </c>
      <c r="F163" s="614" t="s">
        <v>1596</v>
      </c>
      <c r="G163" s="613" t="s">
        <v>1233</v>
      </c>
      <c r="H163" s="613" t="s">
        <v>1234</v>
      </c>
      <c r="I163" s="615">
        <v>26.018000000000001</v>
      </c>
      <c r="J163" s="615">
        <v>3520</v>
      </c>
      <c r="K163" s="616">
        <v>91581</v>
      </c>
    </row>
    <row r="164" spans="1:11" ht="14.4" customHeight="1" x14ac:dyDescent="0.3">
      <c r="A164" s="611" t="s">
        <v>531</v>
      </c>
      <c r="B164" s="612" t="s">
        <v>532</v>
      </c>
      <c r="C164" s="613" t="s">
        <v>545</v>
      </c>
      <c r="D164" s="614" t="s">
        <v>1105</v>
      </c>
      <c r="E164" s="613" t="s">
        <v>1595</v>
      </c>
      <c r="F164" s="614" t="s">
        <v>1596</v>
      </c>
      <c r="G164" s="613" t="s">
        <v>1327</v>
      </c>
      <c r="H164" s="613" t="s">
        <v>1328</v>
      </c>
      <c r="I164" s="615">
        <v>14.3</v>
      </c>
      <c r="J164" s="615">
        <v>120</v>
      </c>
      <c r="K164" s="616">
        <v>1716.2600000000002</v>
      </c>
    </row>
    <row r="165" spans="1:11" ht="14.4" customHeight="1" x14ac:dyDescent="0.3">
      <c r="A165" s="611" t="s">
        <v>531</v>
      </c>
      <c r="B165" s="612" t="s">
        <v>532</v>
      </c>
      <c r="C165" s="613" t="s">
        <v>545</v>
      </c>
      <c r="D165" s="614" t="s">
        <v>1105</v>
      </c>
      <c r="E165" s="613" t="s">
        <v>1595</v>
      </c>
      <c r="F165" s="614" t="s">
        <v>1596</v>
      </c>
      <c r="G165" s="613" t="s">
        <v>1329</v>
      </c>
      <c r="H165" s="613" t="s">
        <v>1330</v>
      </c>
      <c r="I165" s="615">
        <v>9.15</v>
      </c>
      <c r="J165" s="615">
        <v>2300</v>
      </c>
      <c r="K165" s="616">
        <v>21038.71</v>
      </c>
    </row>
    <row r="166" spans="1:11" ht="14.4" customHeight="1" x14ac:dyDescent="0.3">
      <c r="A166" s="611" t="s">
        <v>531</v>
      </c>
      <c r="B166" s="612" t="s">
        <v>532</v>
      </c>
      <c r="C166" s="613" t="s">
        <v>545</v>
      </c>
      <c r="D166" s="614" t="s">
        <v>1105</v>
      </c>
      <c r="E166" s="613" t="s">
        <v>1595</v>
      </c>
      <c r="F166" s="614" t="s">
        <v>1596</v>
      </c>
      <c r="G166" s="613" t="s">
        <v>1235</v>
      </c>
      <c r="H166" s="613" t="s">
        <v>1236</v>
      </c>
      <c r="I166" s="615">
        <v>5.2880000000000003</v>
      </c>
      <c r="J166" s="615">
        <v>1900</v>
      </c>
      <c r="K166" s="616">
        <v>9972.5299999999988</v>
      </c>
    </row>
    <row r="167" spans="1:11" ht="14.4" customHeight="1" x14ac:dyDescent="0.3">
      <c r="A167" s="611" t="s">
        <v>531</v>
      </c>
      <c r="B167" s="612" t="s">
        <v>532</v>
      </c>
      <c r="C167" s="613" t="s">
        <v>545</v>
      </c>
      <c r="D167" s="614" t="s">
        <v>1105</v>
      </c>
      <c r="E167" s="613" t="s">
        <v>1595</v>
      </c>
      <c r="F167" s="614" t="s">
        <v>1596</v>
      </c>
      <c r="G167" s="613" t="s">
        <v>1405</v>
      </c>
      <c r="H167" s="613" t="s">
        <v>1406</v>
      </c>
      <c r="I167" s="615">
        <v>16.456666666666667</v>
      </c>
      <c r="J167" s="615">
        <v>50</v>
      </c>
      <c r="K167" s="616">
        <v>822.9</v>
      </c>
    </row>
    <row r="168" spans="1:11" ht="14.4" customHeight="1" x14ac:dyDescent="0.3">
      <c r="A168" s="611" t="s">
        <v>531</v>
      </c>
      <c r="B168" s="612" t="s">
        <v>532</v>
      </c>
      <c r="C168" s="613" t="s">
        <v>545</v>
      </c>
      <c r="D168" s="614" t="s">
        <v>1105</v>
      </c>
      <c r="E168" s="613" t="s">
        <v>1595</v>
      </c>
      <c r="F168" s="614" t="s">
        <v>1596</v>
      </c>
      <c r="G168" s="613" t="s">
        <v>1407</v>
      </c>
      <c r="H168" s="613" t="s">
        <v>1408</v>
      </c>
      <c r="I168" s="615">
        <v>26.01</v>
      </c>
      <c r="J168" s="615">
        <v>160</v>
      </c>
      <c r="K168" s="616">
        <v>4162</v>
      </c>
    </row>
    <row r="169" spans="1:11" ht="14.4" customHeight="1" x14ac:dyDescent="0.3">
      <c r="A169" s="611" t="s">
        <v>531</v>
      </c>
      <c r="B169" s="612" t="s">
        <v>532</v>
      </c>
      <c r="C169" s="613" t="s">
        <v>545</v>
      </c>
      <c r="D169" s="614" t="s">
        <v>1105</v>
      </c>
      <c r="E169" s="613" t="s">
        <v>1595</v>
      </c>
      <c r="F169" s="614" t="s">
        <v>1596</v>
      </c>
      <c r="G169" s="613" t="s">
        <v>1409</v>
      </c>
      <c r="H169" s="613" t="s">
        <v>1410</v>
      </c>
      <c r="I169" s="615">
        <v>2.38</v>
      </c>
      <c r="J169" s="615">
        <v>50</v>
      </c>
      <c r="K169" s="616">
        <v>119</v>
      </c>
    </row>
    <row r="170" spans="1:11" ht="14.4" customHeight="1" x14ac:dyDescent="0.3">
      <c r="A170" s="611" t="s">
        <v>531</v>
      </c>
      <c r="B170" s="612" t="s">
        <v>532</v>
      </c>
      <c r="C170" s="613" t="s">
        <v>545</v>
      </c>
      <c r="D170" s="614" t="s">
        <v>1105</v>
      </c>
      <c r="E170" s="613" t="s">
        <v>1595</v>
      </c>
      <c r="F170" s="614" t="s">
        <v>1596</v>
      </c>
      <c r="G170" s="613" t="s">
        <v>1411</v>
      </c>
      <c r="H170" s="613" t="s">
        <v>1412</v>
      </c>
      <c r="I170" s="615">
        <v>2.86</v>
      </c>
      <c r="J170" s="615">
        <v>160</v>
      </c>
      <c r="K170" s="616">
        <v>457.6</v>
      </c>
    </row>
    <row r="171" spans="1:11" ht="14.4" customHeight="1" x14ac:dyDescent="0.3">
      <c r="A171" s="611" t="s">
        <v>531</v>
      </c>
      <c r="B171" s="612" t="s">
        <v>532</v>
      </c>
      <c r="C171" s="613" t="s">
        <v>545</v>
      </c>
      <c r="D171" s="614" t="s">
        <v>1105</v>
      </c>
      <c r="E171" s="613" t="s">
        <v>1595</v>
      </c>
      <c r="F171" s="614" t="s">
        <v>1596</v>
      </c>
      <c r="G171" s="613" t="s">
        <v>1239</v>
      </c>
      <c r="H171" s="613" t="s">
        <v>1240</v>
      </c>
      <c r="I171" s="615">
        <v>58.786000000000001</v>
      </c>
      <c r="J171" s="615">
        <v>60</v>
      </c>
      <c r="K171" s="616">
        <v>3527.17</v>
      </c>
    </row>
    <row r="172" spans="1:11" ht="14.4" customHeight="1" x14ac:dyDescent="0.3">
      <c r="A172" s="611" t="s">
        <v>531</v>
      </c>
      <c r="B172" s="612" t="s">
        <v>532</v>
      </c>
      <c r="C172" s="613" t="s">
        <v>545</v>
      </c>
      <c r="D172" s="614" t="s">
        <v>1105</v>
      </c>
      <c r="E172" s="613" t="s">
        <v>1595</v>
      </c>
      <c r="F172" s="614" t="s">
        <v>1596</v>
      </c>
      <c r="G172" s="613" t="s">
        <v>1241</v>
      </c>
      <c r="H172" s="613" t="s">
        <v>1242</v>
      </c>
      <c r="I172" s="615">
        <v>2.06</v>
      </c>
      <c r="J172" s="615">
        <v>50</v>
      </c>
      <c r="K172" s="616">
        <v>103</v>
      </c>
    </row>
    <row r="173" spans="1:11" ht="14.4" customHeight="1" x14ac:dyDescent="0.3">
      <c r="A173" s="611" t="s">
        <v>531</v>
      </c>
      <c r="B173" s="612" t="s">
        <v>532</v>
      </c>
      <c r="C173" s="613" t="s">
        <v>545</v>
      </c>
      <c r="D173" s="614" t="s">
        <v>1105</v>
      </c>
      <c r="E173" s="613" t="s">
        <v>1595</v>
      </c>
      <c r="F173" s="614" t="s">
        <v>1596</v>
      </c>
      <c r="G173" s="613" t="s">
        <v>1243</v>
      </c>
      <c r="H173" s="613" t="s">
        <v>1244</v>
      </c>
      <c r="I173" s="615">
        <v>2.46</v>
      </c>
      <c r="J173" s="615">
        <v>1200</v>
      </c>
      <c r="K173" s="616">
        <v>2954.0999999999995</v>
      </c>
    </row>
    <row r="174" spans="1:11" ht="14.4" customHeight="1" x14ac:dyDescent="0.3">
      <c r="A174" s="611" t="s">
        <v>531</v>
      </c>
      <c r="B174" s="612" t="s">
        <v>532</v>
      </c>
      <c r="C174" s="613" t="s">
        <v>545</v>
      </c>
      <c r="D174" s="614" t="s">
        <v>1105</v>
      </c>
      <c r="E174" s="613" t="s">
        <v>1595</v>
      </c>
      <c r="F174" s="614" t="s">
        <v>1596</v>
      </c>
      <c r="G174" s="613" t="s">
        <v>1413</v>
      </c>
      <c r="H174" s="613" t="s">
        <v>1414</v>
      </c>
      <c r="I174" s="615">
        <v>636.38</v>
      </c>
      <c r="J174" s="615">
        <v>1</v>
      </c>
      <c r="K174" s="616">
        <v>636.38</v>
      </c>
    </row>
    <row r="175" spans="1:11" ht="14.4" customHeight="1" x14ac:dyDescent="0.3">
      <c r="A175" s="611" t="s">
        <v>531</v>
      </c>
      <c r="B175" s="612" t="s">
        <v>532</v>
      </c>
      <c r="C175" s="613" t="s">
        <v>545</v>
      </c>
      <c r="D175" s="614" t="s">
        <v>1105</v>
      </c>
      <c r="E175" s="613" t="s">
        <v>1595</v>
      </c>
      <c r="F175" s="614" t="s">
        <v>1596</v>
      </c>
      <c r="G175" s="613" t="s">
        <v>1245</v>
      </c>
      <c r="H175" s="613" t="s">
        <v>1246</v>
      </c>
      <c r="I175" s="615">
        <v>4.8025000000000002</v>
      </c>
      <c r="J175" s="615">
        <v>980</v>
      </c>
      <c r="K175" s="616">
        <v>4587.8</v>
      </c>
    </row>
    <row r="176" spans="1:11" ht="14.4" customHeight="1" x14ac:dyDescent="0.3">
      <c r="A176" s="611" t="s">
        <v>531</v>
      </c>
      <c r="B176" s="612" t="s">
        <v>532</v>
      </c>
      <c r="C176" s="613" t="s">
        <v>545</v>
      </c>
      <c r="D176" s="614" t="s">
        <v>1105</v>
      </c>
      <c r="E176" s="613" t="s">
        <v>1595</v>
      </c>
      <c r="F176" s="614" t="s">
        <v>1596</v>
      </c>
      <c r="G176" s="613" t="s">
        <v>1415</v>
      </c>
      <c r="H176" s="613" t="s">
        <v>1416</v>
      </c>
      <c r="I176" s="615">
        <v>5.42</v>
      </c>
      <c r="J176" s="615">
        <v>2200</v>
      </c>
      <c r="K176" s="616">
        <v>11920.970000000001</v>
      </c>
    </row>
    <row r="177" spans="1:11" ht="14.4" customHeight="1" x14ac:dyDescent="0.3">
      <c r="A177" s="611" t="s">
        <v>531</v>
      </c>
      <c r="B177" s="612" t="s">
        <v>532</v>
      </c>
      <c r="C177" s="613" t="s">
        <v>545</v>
      </c>
      <c r="D177" s="614" t="s">
        <v>1105</v>
      </c>
      <c r="E177" s="613" t="s">
        <v>1595</v>
      </c>
      <c r="F177" s="614" t="s">
        <v>1596</v>
      </c>
      <c r="G177" s="613" t="s">
        <v>1247</v>
      </c>
      <c r="H177" s="613" t="s">
        <v>1248</v>
      </c>
      <c r="I177" s="615">
        <v>12.104000000000001</v>
      </c>
      <c r="J177" s="615">
        <v>460</v>
      </c>
      <c r="K177" s="616">
        <v>5567.8</v>
      </c>
    </row>
    <row r="178" spans="1:11" ht="14.4" customHeight="1" x14ac:dyDescent="0.3">
      <c r="A178" s="611" t="s">
        <v>531</v>
      </c>
      <c r="B178" s="612" t="s">
        <v>532</v>
      </c>
      <c r="C178" s="613" t="s">
        <v>545</v>
      </c>
      <c r="D178" s="614" t="s">
        <v>1105</v>
      </c>
      <c r="E178" s="613" t="s">
        <v>1595</v>
      </c>
      <c r="F178" s="614" t="s">
        <v>1596</v>
      </c>
      <c r="G178" s="613" t="s">
        <v>1251</v>
      </c>
      <c r="H178" s="613" t="s">
        <v>1252</v>
      </c>
      <c r="I178" s="615">
        <v>1.3839999999999999</v>
      </c>
      <c r="J178" s="615">
        <v>900</v>
      </c>
      <c r="K178" s="616">
        <v>1227.75</v>
      </c>
    </row>
    <row r="179" spans="1:11" ht="14.4" customHeight="1" x14ac:dyDescent="0.3">
      <c r="A179" s="611" t="s">
        <v>531</v>
      </c>
      <c r="B179" s="612" t="s">
        <v>532</v>
      </c>
      <c r="C179" s="613" t="s">
        <v>545</v>
      </c>
      <c r="D179" s="614" t="s">
        <v>1105</v>
      </c>
      <c r="E179" s="613" t="s">
        <v>1595</v>
      </c>
      <c r="F179" s="614" t="s">
        <v>1596</v>
      </c>
      <c r="G179" s="613" t="s">
        <v>1253</v>
      </c>
      <c r="H179" s="613" t="s">
        <v>1254</v>
      </c>
      <c r="I179" s="615">
        <v>21.237142857142857</v>
      </c>
      <c r="J179" s="615">
        <v>950</v>
      </c>
      <c r="K179" s="616">
        <v>20175.5</v>
      </c>
    </row>
    <row r="180" spans="1:11" ht="14.4" customHeight="1" x14ac:dyDescent="0.3">
      <c r="A180" s="611" t="s">
        <v>531</v>
      </c>
      <c r="B180" s="612" t="s">
        <v>532</v>
      </c>
      <c r="C180" s="613" t="s">
        <v>545</v>
      </c>
      <c r="D180" s="614" t="s">
        <v>1105</v>
      </c>
      <c r="E180" s="613" t="s">
        <v>1595</v>
      </c>
      <c r="F180" s="614" t="s">
        <v>1596</v>
      </c>
      <c r="G180" s="613" t="s">
        <v>1417</v>
      </c>
      <c r="H180" s="613" t="s">
        <v>1418</v>
      </c>
      <c r="I180" s="615">
        <v>21.24</v>
      </c>
      <c r="J180" s="615">
        <v>30</v>
      </c>
      <c r="K180" s="616">
        <v>637.20000000000005</v>
      </c>
    </row>
    <row r="181" spans="1:11" ht="14.4" customHeight="1" x14ac:dyDescent="0.3">
      <c r="A181" s="611" t="s">
        <v>531</v>
      </c>
      <c r="B181" s="612" t="s">
        <v>532</v>
      </c>
      <c r="C181" s="613" t="s">
        <v>545</v>
      </c>
      <c r="D181" s="614" t="s">
        <v>1105</v>
      </c>
      <c r="E181" s="613" t="s">
        <v>1595</v>
      </c>
      <c r="F181" s="614" t="s">
        <v>1596</v>
      </c>
      <c r="G181" s="613" t="s">
        <v>1255</v>
      </c>
      <c r="H181" s="613" t="s">
        <v>1256</v>
      </c>
      <c r="I181" s="615">
        <v>3.0339999999999998</v>
      </c>
      <c r="J181" s="615">
        <v>1500</v>
      </c>
      <c r="K181" s="616">
        <v>4552.6900000000005</v>
      </c>
    </row>
    <row r="182" spans="1:11" ht="14.4" customHeight="1" x14ac:dyDescent="0.3">
      <c r="A182" s="611" t="s">
        <v>531</v>
      </c>
      <c r="B182" s="612" t="s">
        <v>532</v>
      </c>
      <c r="C182" s="613" t="s">
        <v>545</v>
      </c>
      <c r="D182" s="614" t="s">
        <v>1105</v>
      </c>
      <c r="E182" s="613" t="s">
        <v>1595</v>
      </c>
      <c r="F182" s="614" t="s">
        <v>1596</v>
      </c>
      <c r="G182" s="613" t="s">
        <v>1331</v>
      </c>
      <c r="H182" s="613" t="s">
        <v>1332</v>
      </c>
      <c r="I182" s="615">
        <v>1.33</v>
      </c>
      <c r="J182" s="615">
        <v>1000</v>
      </c>
      <c r="K182" s="616">
        <v>1331.49</v>
      </c>
    </row>
    <row r="183" spans="1:11" ht="14.4" customHeight="1" x14ac:dyDescent="0.3">
      <c r="A183" s="611" t="s">
        <v>531</v>
      </c>
      <c r="B183" s="612" t="s">
        <v>532</v>
      </c>
      <c r="C183" s="613" t="s">
        <v>545</v>
      </c>
      <c r="D183" s="614" t="s">
        <v>1105</v>
      </c>
      <c r="E183" s="613" t="s">
        <v>1595</v>
      </c>
      <c r="F183" s="614" t="s">
        <v>1596</v>
      </c>
      <c r="G183" s="613" t="s">
        <v>1419</v>
      </c>
      <c r="H183" s="613" t="s">
        <v>1420</v>
      </c>
      <c r="I183" s="615">
        <v>18.149999999999999</v>
      </c>
      <c r="J183" s="615">
        <v>500</v>
      </c>
      <c r="K183" s="616">
        <v>9075</v>
      </c>
    </row>
    <row r="184" spans="1:11" ht="14.4" customHeight="1" x14ac:dyDescent="0.3">
      <c r="A184" s="611" t="s">
        <v>531</v>
      </c>
      <c r="B184" s="612" t="s">
        <v>532</v>
      </c>
      <c r="C184" s="613" t="s">
        <v>545</v>
      </c>
      <c r="D184" s="614" t="s">
        <v>1105</v>
      </c>
      <c r="E184" s="613" t="s">
        <v>1595</v>
      </c>
      <c r="F184" s="614" t="s">
        <v>1596</v>
      </c>
      <c r="G184" s="613" t="s">
        <v>1421</v>
      </c>
      <c r="H184" s="613" t="s">
        <v>1422</v>
      </c>
      <c r="I184" s="615">
        <v>0.47166666666666662</v>
      </c>
      <c r="J184" s="615">
        <v>3000</v>
      </c>
      <c r="K184" s="616">
        <v>1413</v>
      </c>
    </row>
    <row r="185" spans="1:11" ht="14.4" customHeight="1" x14ac:dyDescent="0.3">
      <c r="A185" s="611" t="s">
        <v>531</v>
      </c>
      <c r="B185" s="612" t="s">
        <v>532</v>
      </c>
      <c r="C185" s="613" t="s">
        <v>545</v>
      </c>
      <c r="D185" s="614" t="s">
        <v>1105</v>
      </c>
      <c r="E185" s="613" t="s">
        <v>1595</v>
      </c>
      <c r="F185" s="614" t="s">
        <v>1596</v>
      </c>
      <c r="G185" s="613" t="s">
        <v>1423</v>
      </c>
      <c r="H185" s="613" t="s">
        <v>1424</v>
      </c>
      <c r="I185" s="615">
        <v>4.0280000000000005</v>
      </c>
      <c r="J185" s="615">
        <v>1650</v>
      </c>
      <c r="K185" s="616">
        <v>6645.5</v>
      </c>
    </row>
    <row r="186" spans="1:11" ht="14.4" customHeight="1" x14ac:dyDescent="0.3">
      <c r="A186" s="611" t="s">
        <v>531</v>
      </c>
      <c r="B186" s="612" t="s">
        <v>532</v>
      </c>
      <c r="C186" s="613" t="s">
        <v>545</v>
      </c>
      <c r="D186" s="614" t="s">
        <v>1105</v>
      </c>
      <c r="E186" s="613" t="s">
        <v>1595</v>
      </c>
      <c r="F186" s="614" t="s">
        <v>1596</v>
      </c>
      <c r="G186" s="613" t="s">
        <v>1425</v>
      </c>
      <c r="H186" s="613" t="s">
        <v>1426</v>
      </c>
      <c r="I186" s="615">
        <v>5781.0499999999993</v>
      </c>
      <c r="J186" s="615">
        <v>12</v>
      </c>
      <c r="K186" s="616">
        <v>69372.63</v>
      </c>
    </row>
    <row r="187" spans="1:11" ht="14.4" customHeight="1" x14ac:dyDescent="0.3">
      <c r="A187" s="611" t="s">
        <v>531</v>
      </c>
      <c r="B187" s="612" t="s">
        <v>532</v>
      </c>
      <c r="C187" s="613" t="s">
        <v>545</v>
      </c>
      <c r="D187" s="614" t="s">
        <v>1105</v>
      </c>
      <c r="E187" s="613" t="s">
        <v>1595</v>
      </c>
      <c r="F187" s="614" t="s">
        <v>1596</v>
      </c>
      <c r="G187" s="613" t="s">
        <v>1427</v>
      </c>
      <c r="H187" s="613" t="s">
        <v>1428</v>
      </c>
      <c r="I187" s="615">
        <v>387.19874999999996</v>
      </c>
      <c r="J187" s="615">
        <v>160</v>
      </c>
      <c r="K187" s="616">
        <v>61951.76</v>
      </c>
    </row>
    <row r="188" spans="1:11" ht="14.4" customHeight="1" x14ac:dyDescent="0.3">
      <c r="A188" s="611" t="s">
        <v>531</v>
      </c>
      <c r="B188" s="612" t="s">
        <v>532</v>
      </c>
      <c r="C188" s="613" t="s">
        <v>545</v>
      </c>
      <c r="D188" s="614" t="s">
        <v>1105</v>
      </c>
      <c r="E188" s="613" t="s">
        <v>1595</v>
      </c>
      <c r="F188" s="614" t="s">
        <v>1596</v>
      </c>
      <c r="G188" s="613" t="s">
        <v>1429</v>
      </c>
      <c r="H188" s="613" t="s">
        <v>1430</v>
      </c>
      <c r="I188" s="615">
        <v>60.5</v>
      </c>
      <c r="J188" s="615">
        <v>10</v>
      </c>
      <c r="K188" s="616">
        <v>605</v>
      </c>
    </row>
    <row r="189" spans="1:11" ht="14.4" customHeight="1" x14ac:dyDescent="0.3">
      <c r="A189" s="611" t="s">
        <v>531</v>
      </c>
      <c r="B189" s="612" t="s">
        <v>532</v>
      </c>
      <c r="C189" s="613" t="s">
        <v>545</v>
      </c>
      <c r="D189" s="614" t="s">
        <v>1105</v>
      </c>
      <c r="E189" s="613" t="s">
        <v>1595</v>
      </c>
      <c r="F189" s="614" t="s">
        <v>1596</v>
      </c>
      <c r="G189" s="613" t="s">
        <v>1257</v>
      </c>
      <c r="H189" s="613" t="s">
        <v>1258</v>
      </c>
      <c r="I189" s="615">
        <v>9.1999999999999993</v>
      </c>
      <c r="J189" s="615">
        <v>150</v>
      </c>
      <c r="K189" s="616">
        <v>1380</v>
      </c>
    </row>
    <row r="190" spans="1:11" ht="14.4" customHeight="1" x14ac:dyDescent="0.3">
      <c r="A190" s="611" t="s">
        <v>531</v>
      </c>
      <c r="B190" s="612" t="s">
        <v>532</v>
      </c>
      <c r="C190" s="613" t="s">
        <v>545</v>
      </c>
      <c r="D190" s="614" t="s">
        <v>1105</v>
      </c>
      <c r="E190" s="613" t="s">
        <v>1595</v>
      </c>
      <c r="F190" s="614" t="s">
        <v>1596</v>
      </c>
      <c r="G190" s="613" t="s">
        <v>1259</v>
      </c>
      <c r="H190" s="613" t="s">
        <v>1260</v>
      </c>
      <c r="I190" s="615">
        <v>172.5</v>
      </c>
      <c r="J190" s="615">
        <v>2</v>
      </c>
      <c r="K190" s="616">
        <v>345</v>
      </c>
    </row>
    <row r="191" spans="1:11" ht="14.4" customHeight="1" x14ac:dyDescent="0.3">
      <c r="A191" s="611" t="s">
        <v>531</v>
      </c>
      <c r="B191" s="612" t="s">
        <v>532</v>
      </c>
      <c r="C191" s="613" t="s">
        <v>545</v>
      </c>
      <c r="D191" s="614" t="s">
        <v>1105</v>
      </c>
      <c r="E191" s="613" t="s">
        <v>1595</v>
      </c>
      <c r="F191" s="614" t="s">
        <v>1596</v>
      </c>
      <c r="G191" s="613" t="s">
        <v>1431</v>
      </c>
      <c r="H191" s="613" t="s">
        <v>1432</v>
      </c>
      <c r="I191" s="615">
        <v>10.83</v>
      </c>
      <c r="J191" s="615">
        <v>516</v>
      </c>
      <c r="K191" s="616">
        <v>5588.0199999999995</v>
      </c>
    </row>
    <row r="192" spans="1:11" ht="14.4" customHeight="1" x14ac:dyDescent="0.3">
      <c r="A192" s="611" t="s">
        <v>531</v>
      </c>
      <c r="B192" s="612" t="s">
        <v>532</v>
      </c>
      <c r="C192" s="613" t="s">
        <v>545</v>
      </c>
      <c r="D192" s="614" t="s">
        <v>1105</v>
      </c>
      <c r="E192" s="613" t="s">
        <v>1595</v>
      </c>
      <c r="F192" s="614" t="s">
        <v>1596</v>
      </c>
      <c r="G192" s="613" t="s">
        <v>1433</v>
      </c>
      <c r="H192" s="613" t="s">
        <v>1434</v>
      </c>
      <c r="I192" s="615">
        <v>15.73</v>
      </c>
      <c r="J192" s="615">
        <v>240</v>
      </c>
      <c r="K192" s="616">
        <v>3775.2</v>
      </c>
    </row>
    <row r="193" spans="1:11" ht="14.4" customHeight="1" x14ac:dyDescent="0.3">
      <c r="A193" s="611" t="s">
        <v>531</v>
      </c>
      <c r="B193" s="612" t="s">
        <v>532</v>
      </c>
      <c r="C193" s="613" t="s">
        <v>545</v>
      </c>
      <c r="D193" s="614" t="s">
        <v>1105</v>
      </c>
      <c r="E193" s="613" t="s">
        <v>1595</v>
      </c>
      <c r="F193" s="614" t="s">
        <v>1596</v>
      </c>
      <c r="G193" s="613" t="s">
        <v>1435</v>
      </c>
      <c r="H193" s="613" t="s">
        <v>1436</v>
      </c>
      <c r="I193" s="615">
        <v>14.160000000000002</v>
      </c>
      <c r="J193" s="615">
        <v>480</v>
      </c>
      <c r="K193" s="616">
        <v>6795.3600000000006</v>
      </c>
    </row>
    <row r="194" spans="1:11" ht="14.4" customHeight="1" x14ac:dyDescent="0.3">
      <c r="A194" s="611" t="s">
        <v>531</v>
      </c>
      <c r="B194" s="612" t="s">
        <v>532</v>
      </c>
      <c r="C194" s="613" t="s">
        <v>545</v>
      </c>
      <c r="D194" s="614" t="s">
        <v>1105</v>
      </c>
      <c r="E194" s="613" t="s">
        <v>1595</v>
      </c>
      <c r="F194" s="614" t="s">
        <v>1596</v>
      </c>
      <c r="G194" s="613" t="s">
        <v>1437</v>
      </c>
      <c r="H194" s="613" t="s">
        <v>1438</v>
      </c>
      <c r="I194" s="615">
        <v>204.49</v>
      </c>
      <c r="J194" s="615">
        <v>10</v>
      </c>
      <c r="K194" s="616">
        <v>2044.9</v>
      </c>
    </row>
    <row r="195" spans="1:11" ht="14.4" customHeight="1" x14ac:dyDescent="0.3">
      <c r="A195" s="611" t="s">
        <v>531</v>
      </c>
      <c r="B195" s="612" t="s">
        <v>532</v>
      </c>
      <c r="C195" s="613" t="s">
        <v>545</v>
      </c>
      <c r="D195" s="614" t="s">
        <v>1105</v>
      </c>
      <c r="E195" s="613" t="s">
        <v>1595</v>
      </c>
      <c r="F195" s="614" t="s">
        <v>1596</v>
      </c>
      <c r="G195" s="613" t="s">
        <v>1439</v>
      </c>
      <c r="H195" s="613" t="s">
        <v>1440</v>
      </c>
      <c r="I195" s="615">
        <v>106.48</v>
      </c>
      <c r="J195" s="615">
        <v>30</v>
      </c>
      <c r="K195" s="616">
        <v>3194.3999999999996</v>
      </c>
    </row>
    <row r="196" spans="1:11" ht="14.4" customHeight="1" x14ac:dyDescent="0.3">
      <c r="A196" s="611" t="s">
        <v>531</v>
      </c>
      <c r="B196" s="612" t="s">
        <v>532</v>
      </c>
      <c r="C196" s="613" t="s">
        <v>545</v>
      </c>
      <c r="D196" s="614" t="s">
        <v>1105</v>
      </c>
      <c r="E196" s="613" t="s">
        <v>1595</v>
      </c>
      <c r="F196" s="614" t="s">
        <v>1596</v>
      </c>
      <c r="G196" s="613" t="s">
        <v>1261</v>
      </c>
      <c r="H196" s="613" t="s">
        <v>1262</v>
      </c>
      <c r="I196" s="615">
        <v>403.77499999999998</v>
      </c>
      <c r="J196" s="615">
        <v>40</v>
      </c>
      <c r="K196" s="616">
        <v>16151.08</v>
      </c>
    </row>
    <row r="197" spans="1:11" ht="14.4" customHeight="1" x14ac:dyDescent="0.3">
      <c r="A197" s="611" t="s">
        <v>531</v>
      </c>
      <c r="B197" s="612" t="s">
        <v>532</v>
      </c>
      <c r="C197" s="613" t="s">
        <v>545</v>
      </c>
      <c r="D197" s="614" t="s">
        <v>1105</v>
      </c>
      <c r="E197" s="613" t="s">
        <v>1595</v>
      </c>
      <c r="F197" s="614" t="s">
        <v>1596</v>
      </c>
      <c r="G197" s="613" t="s">
        <v>1441</v>
      </c>
      <c r="H197" s="613" t="s">
        <v>1442</v>
      </c>
      <c r="I197" s="615">
        <v>52.004999999999995</v>
      </c>
      <c r="J197" s="615">
        <v>60</v>
      </c>
      <c r="K197" s="616">
        <v>2927.71</v>
      </c>
    </row>
    <row r="198" spans="1:11" ht="14.4" customHeight="1" x14ac:dyDescent="0.3">
      <c r="A198" s="611" t="s">
        <v>531</v>
      </c>
      <c r="B198" s="612" t="s">
        <v>532</v>
      </c>
      <c r="C198" s="613" t="s">
        <v>545</v>
      </c>
      <c r="D198" s="614" t="s">
        <v>1105</v>
      </c>
      <c r="E198" s="613" t="s">
        <v>1595</v>
      </c>
      <c r="F198" s="614" t="s">
        <v>1596</v>
      </c>
      <c r="G198" s="613" t="s">
        <v>1263</v>
      </c>
      <c r="H198" s="613" t="s">
        <v>1264</v>
      </c>
      <c r="I198" s="615">
        <v>17.059999999999999</v>
      </c>
      <c r="J198" s="615">
        <v>20</v>
      </c>
      <c r="K198" s="616">
        <v>341.22</v>
      </c>
    </row>
    <row r="199" spans="1:11" ht="14.4" customHeight="1" x14ac:dyDescent="0.3">
      <c r="A199" s="611" t="s">
        <v>531</v>
      </c>
      <c r="B199" s="612" t="s">
        <v>532</v>
      </c>
      <c r="C199" s="613" t="s">
        <v>545</v>
      </c>
      <c r="D199" s="614" t="s">
        <v>1105</v>
      </c>
      <c r="E199" s="613" t="s">
        <v>1595</v>
      </c>
      <c r="F199" s="614" t="s">
        <v>1596</v>
      </c>
      <c r="G199" s="613" t="s">
        <v>1443</v>
      </c>
      <c r="H199" s="613" t="s">
        <v>1444</v>
      </c>
      <c r="I199" s="615">
        <v>39.93</v>
      </c>
      <c r="J199" s="615">
        <v>200</v>
      </c>
      <c r="K199" s="616">
        <v>7986</v>
      </c>
    </row>
    <row r="200" spans="1:11" ht="14.4" customHeight="1" x14ac:dyDescent="0.3">
      <c r="A200" s="611" t="s">
        <v>531</v>
      </c>
      <c r="B200" s="612" t="s">
        <v>532</v>
      </c>
      <c r="C200" s="613" t="s">
        <v>545</v>
      </c>
      <c r="D200" s="614" t="s">
        <v>1105</v>
      </c>
      <c r="E200" s="613" t="s">
        <v>1595</v>
      </c>
      <c r="F200" s="614" t="s">
        <v>1596</v>
      </c>
      <c r="G200" s="613" t="s">
        <v>1445</v>
      </c>
      <c r="H200" s="613" t="s">
        <v>1446</v>
      </c>
      <c r="I200" s="615">
        <v>431.87</v>
      </c>
      <c r="J200" s="615">
        <v>30</v>
      </c>
      <c r="K200" s="616">
        <v>12956.130000000001</v>
      </c>
    </row>
    <row r="201" spans="1:11" ht="14.4" customHeight="1" x14ac:dyDescent="0.3">
      <c r="A201" s="611" t="s">
        <v>531</v>
      </c>
      <c r="B201" s="612" t="s">
        <v>532</v>
      </c>
      <c r="C201" s="613" t="s">
        <v>545</v>
      </c>
      <c r="D201" s="614" t="s">
        <v>1105</v>
      </c>
      <c r="E201" s="613" t="s">
        <v>1595</v>
      </c>
      <c r="F201" s="614" t="s">
        <v>1596</v>
      </c>
      <c r="G201" s="613" t="s">
        <v>1447</v>
      </c>
      <c r="H201" s="613" t="s">
        <v>1448</v>
      </c>
      <c r="I201" s="615">
        <v>175.45</v>
      </c>
      <c r="J201" s="615">
        <v>1</v>
      </c>
      <c r="K201" s="616">
        <v>175.45</v>
      </c>
    </row>
    <row r="202" spans="1:11" ht="14.4" customHeight="1" x14ac:dyDescent="0.3">
      <c r="A202" s="611" t="s">
        <v>531</v>
      </c>
      <c r="B202" s="612" t="s">
        <v>532</v>
      </c>
      <c r="C202" s="613" t="s">
        <v>545</v>
      </c>
      <c r="D202" s="614" t="s">
        <v>1105</v>
      </c>
      <c r="E202" s="613" t="s">
        <v>1595</v>
      </c>
      <c r="F202" s="614" t="s">
        <v>1596</v>
      </c>
      <c r="G202" s="613" t="s">
        <v>1449</v>
      </c>
      <c r="H202" s="613" t="s">
        <v>1450</v>
      </c>
      <c r="I202" s="615">
        <v>283</v>
      </c>
      <c r="J202" s="615">
        <v>2</v>
      </c>
      <c r="K202" s="616">
        <v>565.99</v>
      </c>
    </row>
    <row r="203" spans="1:11" ht="14.4" customHeight="1" x14ac:dyDescent="0.3">
      <c r="A203" s="611" t="s">
        <v>531</v>
      </c>
      <c r="B203" s="612" t="s">
        <v>532</v>
      </c>
      <c r="C203" s="613" t="s">
        <v>545</v>
      </c>
      <c r="D203" s="614" t="s">
        <v>1105</v>
      </c>
      <c r="E203" s="613" t="s">
        <v>1595</v>
      </c>
      <c r="F203" s="614" t="s">
        <v>1596</v>
      </c>
      <c r="G203" s="613" t="s">
        <v>1451</v>
      </c>
      <c r="H203" s="613" t="s">
        <v>1452</v>
      </c>
      <c r="I203" s="615">
        <v>2.0699999999999998</v>
      </c>
      <c r="J203" s="615">
        <v>400</v>
      </c>
      <c r="K203" s="616">
        <v>828</v>
      </c>
    </row>
    <row r="204" spans="1:11" ht="14.4" customHeight="1" x14ac:dyDescent="0.3">
      <c r="A204" s="611" t="s">
        <v>531</v>
      </c>
      <c r="B204" s="612" t="s">
        <v>532</v>
      </c>
      <c r="C204" s="613" t="s">
        <v>545</v>
      </c>
      <c r="D204" s="614" t="s">
        <v>1105</v>
      </c>
      <c r="E204" s="613" t="s">
        <v>1595</v>
      </c>
      <c r="F204" s="614" t="s">
        <v>1596</v>
      </c>
      <c r="G204" s="613" t="s">
        <v>1453</v>
      </c>
      <c r="H204" s="613" t="s">
        <v>1454</v>
      </c>
      <c r="I204" s="615">
        <v>117.13</v>
      </c>
      <c r="J204" s="615">
        <v>30</v>
      </c>
      <c r="K204" s="616">
        <v>3513.84</v>
      </c>
    </row>
    <row r="205" spans="1:11" ht="14.4" customHeight="1" x14ac:dyDescent="0.3">
      <c r="A205" s="611" t="s">
        <v>531</v>
      </c>
      <c r="B205" s="612" t="s">
        <v>532</v>
      </c>
      <c r="C205" s="613" t="s">
        <v>545</v>
      </c>
      <c r="D205" s="614" t="s">
        <v>1105</v>
      </c>
      <c r="E205" s="613" t="s">
        <v>1595</v>
      </c>
      <c r="F205" s="614" t="s">
        <v>1596</v>
      </c>
      <c r="G205" s="613" t="s">
        <v>1455</v>
      </c>
      <c r="H205" s="613" t="s">
        <v>1456</v>
      </c>
      <c r="I205" s="615">
        <v>204.49</v>
      </c>
      <c r="J205" s="615">
        <v>30</v>
      </c>
      <c r="K205" s="616">
        <v>6134.7000000000007</v>
      </c>
    </row>
    <row r="206" spans="1:11" ht="14.4" customHeight="1" x14ac:dyDescent="0.3">
      <c r="A206" s="611" t="s">
        <v>531</v>
      </c>
      <c r="B206" s="612" t="s">
        <v>532</v>
      </c>
      <c r="C206" s="613" t="s">
        <v>545</v>
      </c>
      <c r="D206" s="614" t="s">
        <v>1105</v>
      </c>
      <c r="E206" s="613" t="s">
        <v>1595</v>
      </c>
      <c r="F206" s="614" t="s">
        <v>1596</v>
      </c>
      <c r="G206" s="613" t="s">
        <v>1339</v>
      </c>
      <c r="H206" s="613" t="s">
        <v>1340</v>
      </c>
      <c r="I206" s="615">
        <v>1315.99</v>
      </c>
      <c r="J206" s="615">
        <v>5</v>
      </c>
      <c r="K206" s="616">
        <v>6579.96</v>
      </c>
    </row>
    <row r="207" spans="1:11" ht="14.4" customHeight="1" x14ac:dyDescent="0.3">
      <c r="A207" s="611" t="s">
        <v>531</v>
      </c>
      <c r="B207" s="612" t="s">
        <v>532</v>
      </c>
      <c r="C207" s="613" t="s">
        <v>545</v>
      </c>
      <c r="D207" s="614" t="s">
        <v>1105</v>
      </c>
      <c r="E207" s="613" t="s">
        <v>1595</v>
      </c>
      <c r="F207" s="614" t="s">
        <v>1596</v>
      </c>
      <c r="G207" s="613" t="s">
        <v>1457</v>
      </c>
      <c r="H207" s="613" t="s">
        <v>1458</v>
      </c>
      <c r="I207" s="615">
        <v>27.83</v>
      </c>
      <c r="J207" s="615">
        <v>40</v>
      </c>
      <c r="K207" s="616">
        <v>1113.2</v>
      </c>
    </row>
    <row r="208" spans="1:11" ht="14.4" customHeight="1" x14ac:dyDescent="0.3">
      <c r="A208" s="611" t="s">
        <v>531</v>
      </c>
      <c r="B208" s="612" t="s">
        <v>532</v>
      </c>
      <c r="C208" s="613" t="s">
        <v>545</v>
      </c>
      <c r="D208" s="614" t="s">
        <v>1105</v>
      </c>
      <c r="E208" s="613" t="s">
        <v>1595</v>
      </c>
      <c r="F208" s="614" t="s">
        <v>1596</v>
      </c>
      <c r="G208" s="613" t="s">
        <v>1459</v>
      </c>
      <c r="H208" s="613" t="s">
        <v>1460</v>
      </c>
      <c r="I208" s="615">
        <v>83.49</v>
      </c>
      <c r="J208" s="615">
        <v>10</v>
      </c>
      <c r="K208" s="616">
        <v>834.9</v>
      </c>
    </row>
    <row r="209" spans="1:11" ht="14.4" customHeight="1" x14ac:dyDescent="0.3">
      <c r="A209" s="611" t="s">
        <v>531</v>
      </c>
      <c r="B209" s="612" t="s">
        <v>532</v>
      </c>
      <c r="C209" s="613" t="s">
        <v>545</v>
      </c>
      <c r="D209" s="614" t="s">
        <v>1105</v>
      </c>
      <c r="E209" s="613" t="s">
        <v>1595</v>
      </c>
      <c r="F209" s="614" t="s">
        <v>1596</v>
      </c>
      <c r="G209" s="613" t="s">
        <v>1461</v>
      </c>
      <c r="H209" s="613" t="s">
        <v>1462</v>
      </c>
      <c r="I209" s="615">
        <v>204.49</v>
      </c>
      <c r="J209" s="615">
        <v>30</v>
      </c>
      <c r="K209" s="616">
        <v>6134.7000000000007</v>
      </c>
    </row>
    <row r="210" spans="1:11" ht="14.4" customHeight="1" x14ac:dyDescent="0.3">
      <c r="A210" s="611" t="s">
        <v>531</v>
      </c>
      <c r="B210" s="612" t="s">
        <v>532</v>
      </c>
      <c r="C210" s="613" t="s">
        <v>545</v>
      </c>
      <c r="D210" s="614" t="s">
        <v>1105</v>
      </c>
      <c r="E210" s="613" t="s">
        <v>1595</v>
      </c>
      <c r="F210" s="614" t="s">
        <v>1596</v>
      </c>
      <c r="G210" s="613" t="s">
        <v>1463</v>
      </c>
      <c r="H210" s="613" t="s">
        <v>1464</v>
      </c>
      <c r="I210" s="615">
        <v>307.45999999999998</v>
      </c>
      <c r="J210" s="615">
        <v>30</v>
      </c>
      <c r="K210" s="616">
        <v>9223.83</v>
      </c>
    </row>
    <row r="211" spans="1:11" ht="14.4" customHeight="1" x14ac:dyDescent="0.3">
      <c r="A211" s="611" t="s">
        <v>531</v>
      </c>
      <c r="B211" s="612" t="s">
        <v>532</v>
      </c>
      <c r="C211" s="613" t="s">
        <v>545</v>
      </c>
      <c r="D211" s="614" t="s">
        <v>1105</v>
      </c>
      <c r="E211" s="613" t="s">
        <v>1595</v>
      </c>
      <c r="F211" s="614" t="s">
        <v>1596</v>
      </c>
      <c r="G211" s="613" t="s">
        <v>1465</v>
      </c>
      <c r="H211" s="613" t="s">
        <v>1466</v>
      </c>
      <c r="I211" s="615">
        <v>373.65</v>
      </c>
      <c r="J211" s="615">
        <v>2</v>
      </c>
      <c r="K211" s="616">
        <v>747.3</v>
      </c>
    </row>
    <row r="212" spans="1:11" ht="14.4" customHeight="1" x14ac:dyDescent="0.3">
      <c r="A212" s="611" t="s">
        <v>531</v>
      </c>
      <c r="B212" s="612" t="s">
        <v>532</v>
      </c>
      <c r="C212" s="613" t="s">
        <v>545</v>
      </c>
      <c r="D212" s="614" t="s">
        <v>1105</v>
      </c>
      <c r="E212" s="613" t="s">
        <v>1595</v>
      </c>
      <c r="F212" s="614" t="s">
        <v>1596</v>
      </c>
      <c r="G212" s="613" t="s">
        <v>1467</v>
      </c>
      <c r="H212" s="613" t="s">
        <v>1468</v>
      </c>
      <c r="I212" s="615">
        <v>2290.5183333333339</v>
      </c>
      <c r="J212" s="615">
        <v>120</v>
      </c>
      <c r="K212" s="616">
        <v>273451.56</v>
      </c>
    </row>
    <row r="213" spans="1:11" ht="14.4" customHeight="1" x14ac:dyDescent="0.3">
      <c r="A213" s="611" t="s">
        <v>531</v>
      </c>
      <c r="B213" s="612" t="s">
        <v>532</v>
      </c>
      <c r="C213" s="613" t="s">
        <v>545</v>
      </c>
      <c r="D213" s="614" t="s">
        <v>1105</v>
      </c>
      <c r="E213" s="613" t="s">
        <v>1595</v>
      </c>
      <c r="F213" s="614" t="s">
        <v>1596</v>
      </c>
      <c r="G213" s="613" t="s">
        <v>1469</v>
      </c>
      <c r="H213" s="613" t="s">
        <v>1470</v>
      </c>
      <c r="I213" s="615">
        <v>414.995</v>
      </c>
      <c r="J213" s="615">
        <v>20</v>
      </c>
      <c r="K213" s="616">
        <v>8299.81</v>
      </c>
    </row>
    <row r="214" spans="1:11" ht="14.4" customHeight="1" x14ac:dyDescent="0.3">
      <c r="A214" s="611" t="s">
        <v>531</v>
      </c>
      <c r="B214" s="612" t="s">
        <v>532</v>
      </c>
      <c r="C214" s="613" t="s">
        <v>545</v>
      </c>
      <c r="D214" s="614" t="s">
        <v>1105</v>
      </c>
      <c r="E214" s="613" t="s">
        <v>1595</v>
      </c>
      <c r="F214" s="614" t="s">
        <v>1596</v>
      </c>
      <c r="G214" s="613" t="s">
        <v>1471</v>
      </c>
      <c r="H214" s="613" t="s">
        <v>1472</v>
      </c>
      <c r="I214" s="615">
        <v>414.995</v>
      </c>
      <c r="J214" s="615">
        <v>20</v>
      </c>
      <c r="K214" s="616">
        <v>8299.81</v>
      </c>
    </row>
    <row r="215" spans="1:11" ht="14.4" customHeight="1" x14ac:dyDescent="0.3">
      <c r="A215" s="611" t="s">
        <v>531</v>
      </c>
      <c r="B215" s="612" t="s">
        <v>532</v>
      </c>
      <c r="C215" s="613" t="s">
        <v>545</v>
      </c>
      <c r="D215" s="614" t="s">
        <v>1105</v>
      </c>
      <c r="E215" s="613" t="s">
        <v>1595</v>
      </c>
      <c r="F215" s="614" t="s">
        <v>1596</v>
      </c>
      <c r="G215" s="613" t="s">
        <v>1473</v>
      </c>
      <c r="H215" s="613" t="s">
        <v>1474</v>
      </c>
      <c r="I215" s="615">
        <v>425.24</v>
      </c>
      <c r="J215" s="615">
        <v>10</v>
      </c>
      <c r="K215" s="616">
        <v>4252.3599999999997</v>
      </c>
    </row>
    <row r="216" spans="1:11" ht="14.4" customHeight="1" x14ac:dyDescent="0.3">
      <c r="A216" s="611" t="s">
        <v>531</v>
      </c>
      <c r="B216" s="612" t="s">
        <v>532</v>
      </c>
      <c r="C216" s="613" t="s">
        <v>545</v>
      </c>
      <c r="D216" s="614" t="s">
        <v>1105</v>
      </c>
      <c r="E216" s="613" t="s">
        <v>1595</v>
      </c>
      <c r="F216" s="614" t="s">
        <v>1596</v>
      </c>
      <c r="G216" s="613" t="s">
        <v>1475</v>
      </c>
      <c r="H216" s="613" t="s">
        <v>1476</v>
      </c>
      <c r="I216" s="615">
        <v>245.3</v>
      </c>
      <c r="J216" s="615">
        <v>30</v>
      </c>
      <c r="K216" s="616">
        <v>7359.1</v>
      </c>
    </row>
    <row r="217" spans="1:11" ht="14.4" customHeight="1" x14ac:dyDescent="0.3">
      <c r="A217" s="611" t="s">
        <v>531</v>
      </c>
      <c r="B217" s="612" t="s">
        <v>532</v>
      </c>
      <c r="C217" s="613" t="s">
        <v>545</v>
      </c>
      <c r="D217" s="614" t="s">
        <v>1105</v>
      </c>
      <c r="E217" s="613" t="s">
        <v>1595</v>
      </c>
      <c r="F217" s="614" t="s">
        <v>1596</v>
      </c>
      <c r="G217" s="613" t="s">
        <v>1477</v>
      </c>
      <c r="H217" s="613" t="s">
        <v>1478</v>
      </c>
      <c r="I217" s="615">
        <v>4721.33</v>
      </c>
      <c r="J217" s="615">
        <v>6</v>
      </c>
      <c r="K217" s="616">
        <v>28328</v>
      </c>
    </row>
    <row r="218" spans="1:11" ht="14.4" customHeight="1" x14ac:dyDescent="0.3">
      <c r="A218" s="611" t="s">
        <v>531</v>
      </c>
      <c r="B218" s="612" t="s">
        <v>532</v>
      </c>
      <c r="C218" s="613" t="s">
        <v>545</v>
      </c>
      <c r="D218" s="614" t="s">
        <v>1105</v>
      </c>
      <c r="E218" s="613" t="s">
        <v>1595</v>
      </c>
      <c r="F218" s="614" t="s">
        <v>1596</v>
      </c>
      <c r="G218" s="613" t="s">
        <v>1479</v>
      </c>
      <c r="H218" s="613" t="s">
        <v>1480</v>
      </c>
      <c r="I218" s="615">
        <v>356.59</v>
      </c>
      <c r="J218" s="615">
        <v>10</v>
      </c>
      <c r="K218" s="616">
        <v>3565.87</v>
      </c>
    </row>
    <row r="219" spans="1:11" ht="14.4" customHeight="1" x14ac:dyDescent="0.3">
      <c r="A219" s="611" t="s">
        <v>531</v>
      </c>
      <c r="B219" s="612" t="s">
        <v>532</v>
      </c>
      <c r="C219" s="613" t="s">
        <v>545</v>
      </c>
      <c r="D219" s="614" t="s">
        <v>1105</v>
      </c>
      <c r="E219" s="613" t="s">
        <v>1595</v>
      </c>
      <c r="F219" s="614" t="s">
        <v>1596</v>
      </c>
      <c r="G219" s="613" t="s">
        <v>1481</v>
      </c>
      <c r="H219" s="613" t="s">
        <v>1482</v>
      </c>
      <c r="I219" s="615">
        <v>156.38</v>
      </c>
      <c r="J219" s="615">
        <v>25</v>
      </c>
      <c r="K219" s="616">
        <v>3909.41</v>
      </c>
    </row>
    <row r="220" spans="1:11" ht="14.4" customHeight="1" x14ac:dyDescent="0.3">
      <c r="A220" s="611" t="s">
        <v>531</v>
      </c>
      <c r="B220" s="612" t="s">
        <v>532</v>
      </c>
      <c r="C220" s="613" t="s">
        <v>545</v>
      </c>
      <c r="D220" s="614" t="s">
        <v>1105</v>
      </c>
      <c r="E220" s="613" t="s">
        <v>1595</v>
      </c>
      <c r="F220" s="614" t="s">
        <v>1596</v>
      </c>
      <c r="G220" s="613" t="s">
        <v>1483</v>
      </c>
      <c r="H220" s="613" t="s">
        <v>1484</v>
      </c>
      <c r="I220" s="615">
        <v>180.29</v>
      </c>
      <c r="J220" s="615">
        <v>1</v>
      </c>
      <c r="K220" s="616">
        <v>180.29</v>
      </c>
    </row>
    <row r="221" spans="1:11" ht="14.4" customHeight="1" x14ac:dyDescent="0.3">
      <c r="A221" s="611" t="s">
        <v>531</v>
      </c>
      <c r="B221" s="612" t="s">
        <v>532</v>
      </c>
      <c r="C221" s="613" t="s">
        <v>545</v>
      </c>
      <c r="D221" s="614" t="s">
        <v>1105</v>
      </c>
      <c r="E221" s="613" t="s">
        <v>1595</v>
      </c>
      <c r="F221" s="614" t="s">
        <v>1596</v>
      </c>
      <c r="G221" s="613" t="s">
        <v>1485</v>
      </c>
      <c r="H221" s="613" t="s">
        <v>1486</v>
      </c>
      <c r="I221" s="615">
        <v>115</v>
      </c>
      <c r="J221" s="615">
        <v>15</v>
      </c>
      <c r="K221" s="616">
        <v>1725</v>
      </c>
    </row>
    <row r="222" spans="1:11" ht="14.4" customHeight="1" x14ac:dyDescent="0.3">
      <c r="A222" s="611" t="s">
        <v>531</v>
      </c>
      <c r="B222" s="612" t="s">
        <v>532</v>
      </c>
      <c r="C222" s="613" t="s">
        <v>545</v>
      </c>
      <c r="D222" s="614" t="s">
        <v>1105</v>
      </c>
      <c r="E222" s="613" t="s">
        <v>1595</v>
      </c>
      <c r="F222" s="614" t="s">
        <v>1596</v>
      </c>
      <c r="G222" s="613" t="s">
        <v>1283</v>
      </c>
      <c r="H222" s="613" t="s">
        <v>1284</v>
      </c>
      <c r="I222" s="615">
        <v>63</v>
      </c>
      <c r="J222" s="615">
        <v>5</v>
      </c>
      <c r="K222" s="616">
        <v>315.02</v>
      </c>
    </row>
    <row r="223" spans="1:11" ht="14.4" customHeight="1" x14ac:dyDescent="0.3">
      <c r="A223" s="611" t="s">
        <v>531</v>
      </c>
      <c r="B223" s="612" t="s">
        <v>532</v>
      </c>
      <c r="C223" s="613" t="s">
        <v>545</v>
      </c>
      <c r="D223" s="614" t="s">
        <v>1105</v>
      </c>
      <c r="E223" s="613" t="s">
        <v>1595</v>
      </c>
      <c r="F223" s="614" t="s">
        <v>1596</v>
      </c>
      <c r="G223" s="613" t="s">
        <v>1285</v>
      </c>
      <c r="H223" s="613" t="s">
        <v>1286</v>
      </c>
      <c r="I223" s="615">
        <v>27.83</v>
      </c>
      <c r="J223" s="615">
        <v>10</v>
      </c>
      <c r="K223" s="616">
        <v>278.3</v>
      </c>
    </row>
    <row r="224" spans="1:11" ht="14.4" customHeight="1" x14ac:dyDescent="0.3">
      <c r="A224" s="611" t="s">
        <v>531</v>
      </c>
      <c r="B224" s="612" t="s">
        <v>532</v>
      </c>
      <c r="C224" s="613" t="s">
        <v>545</v>
      </c>
      <c r="D224" s="614" t="s">
        <v>1105</v>
      </c>
      <c r="E224" s="613" t="s">
        <v>1595</v>
      </c>
      <c r="F224" s="614" t="s">
        <v>1596</v>
      </c>
      <c r="G224" s="613" t="s">
        <v>1487</v>
      </c>
      <c r="H224" s="613" t="s">
        <v>1488</v>
      </c>
      <c r="I224" s="615">
        <v>20.97</v>
      </c>
      <c r="J224" s="615">
        <v>60</v>
      </c>
      <c r="K224" s="616">
        <v>1318.9</v>
      </c>
    </row>
    <row r="225" spans="1:11" ht="14.4" customHeight="1" x14ac:dyDescent="0.3">
      <c r="A225" s="611" t="s">
        <v>531</v>
      </c>
      <c r="B225" s="612" t="s">
        <v>532</v>
      </c>
      <c r="C225" s="613" t="s">
        <v>545</v>
      </c>
      <c r="D225" s="614" t="s">
        <v>1105</v>
      </c>
      <c r="E225" s="613" t="s">
        <v>1595</v>
      </c>
      <c r="F225" s="614" t="s">
        <v>1596</v>
      </c>
      <c r="G225" s="613" t="s">
        <v>1287</v>
      </c>
      <c r="H225" s="613" t="s">
        <v>1288</v>
      </c>
      <c r="I225" s="615">
        <v>9.0500000000000007</v>
      </c>
      <c r="J225" s="615">
        <v>40</v>
      </c>
      <c r="K225" s="616">
        <v>362</v>
      </c>
    </row>
    <row r="226" spans="1:11" ht="14.4" customHeight="1" x14ac:dyDescent="0.3">
      <c r="A226" s="611" t="s">
        <v>531</v>
      </c>
      <c r="B226" s="612" t="s">
        <v>532</v>
      </c>
      <c r="C226" s="613" t="s">
        <v>545</v>
      </c>
      <c r="D226" s="614" t="s">
        <v>1105</v>
      </c>
      <c r="E226" s="613" t="s">
        <v>1595</v>
      </c>
      <c r="F226" s="614" t="s">
        <v>1596</v>
      </c>
      <c r="G226" s="613" t="s">
        <v>1289</v>
      </c>
      <c r="H226" s="613" t="s">
        <v>1290</v>
      </c>
      <c r="I226" s="615">
        <v>113.99</v>
      </c>
      <c r="J226" s="615">
        <v>5</v>
      </c>
      <c r="K226" s="616">
        <v>569.97</v>
      </c>
    </row>
    <row r="227" spans="1:11" ht="14.4" customHeight="1" x14ac:dyDescent="0.3">
      <c r="A227" s="611" t="s">
        <v>531</v>
      </c>
      <c r="B227" s="612" t="s">
        <v>532</v>
      </c>
      <c r="C227" s="613" t="s">
        <v>545</v>
      </c>
      <c r="D227" s="614" t="s">
        <v>1105</v>
      </c>
      <c r="E227" s="613" t="s">
        <v>1595</v>
      </c>
      <c r="F227" s="614" t="s">
        <v>1596</v>
      </c>
      <c r="G227" s="613" t="s">
        <v>1489</v>
      </c>
      <c r="H227" s="613" t="s">
        <v>1490</v>
      </c>
      <c r="I227" s="615">
        <v>61.71</v>
      </c>
      <c r="J227" s="615">
        <v>10</v>
      </c>
      <c r="K227" s="616">
        <v>617.1</v>
      </c>
    </row>
    <row r="228" spans="1:11" ht="14.4" customHeight="1" x14ac:dyDescent="0.3">
      <c r="A228" s="611" t="s">
        <v>531</v>
      </c>
      <c r="B228" s="612" t="s">
        <v>532</v>
      </c>
      <c r="C228" s="613" t="s">
        <v>545</v>
      </c>
      <c r="D228" s="614" t="s">
        <v>1105</v>
      </c>
      <c r="E228" s="613" t="s">
        <v>1595</v>
      </c>
      <c r="F228" s="614" t="s">
        <v>1596</v>
      </c>
      <c r="G228" s="613" t="s">
        <v>1491</v>
      </c>
      <c r="H228" s="613" t="s">
        <v>1492</v>
      </c>
      <c r="I228" s="615">
        <v>484</v>
      </c>
      <c r="J228" s="615">
        <v>15</v>
      </c>
      <c r="K228" s="616">
        <v>7260</v>
      </c>
    </row>
    <row r="229" spans="1:11" ht="14.4" customHeight="1" x14ac:dyDescent="0.3">
      <c r="A229" s="611" t="s">
        <v>531</v>
      </c>
      <c r="B229" s="612" t="s">
        <v>532</v>
      </c>
      <c r="C229" s="613" t="s">
        <v>545</v>
      </c>
      <c r="D229" s="614" t="s">
        <v>1105</v>
      </c>
      <c r="E229" s="613" t="s">
        <v>1595</v>
      </c>
      <c r="F229" s="614" t="s">
        <v>1596</v>
      </c>
      <c r="G229" s="613" t="s">
        <v>1493</v>
      </c>
      <c r="H229" s="613" t="s">
        <v>1494</v>
      </c>
      <c r="I229" s="615">
        <v>436.8</v>
      </c>
      <c r="J229" s="615">
        <v>1</v>
      </c>
      <c r="K229" s="616">
        <v>436.8</v>
      </c>
    </row>
    <row r="230" spans="1:11" ht="14.4" customHeight="1" x14ac:dyDescent="0.3">
      <c r="A230" s="611" t="s">
        <v>531</v>
      </c>
      <c r="B230" s="612" t="s">
        <v>532</v>
      </c>
      <c r="C230" s="613" t="s">
        <v>545</v>
      </c>
      <c r="D230" s="614" t="s">
        <v>1105</v>
      </c>
      <c r="E230" s="613" t="s">
        <v>1595</v>
      </c>
      <c r="F230" s="614" t="s">
        <v>1596</v>
      </c>
      <c r="G230" s="613" t="s">
        <v>1495</v>
      </c>
      <c r="H230" s="613" t="s">
        <v>1496</v>
      </c>
      <c r="I230" s="615">
        <v>3358</v>
      </c>
      <c r="J230" s="615">
        <v>1</v>
      </c>
      <c r="K230" s="616">
        <v>3358</v>
      </c>
    </row>
    <row r="231" spans="1:11" ht="14.4" customHeight="1" x14ac:dyDescent="0.3">
      <c r="A231" s="611" t="s">
        <v>531</v>
      </c>
      <c r="B231" s="612" t="s">
        <v>532</v>
      </c>
      <c r="C231" s="613" t="s">
        <v>545</v>
      </c>
      <c r="D231" s="614" t="s">
        <v>1105</v>
      </c>
      <c r="E231" s="613" t="s">
        <v>1595</v>
      </c>
      <c r="F231" s="614" t="s">
        <v>1596</v>
      </c>
      <c r="G231" s="613" t="s">
        <v>1497</v>
      </c>
      <c r="H231" s="613" t="s">
        <v>1498</v>
      </c>
      <c r="I231" s="615">
        <v>186.1</v>
      </c>
      <c r="J231" s="615">
        <v>25</v>
      </c>
      <c r="K231" s="616">
        <v>4652.6000000000004</v>
      </c>
    </row>
    <row r="232" spans="1:11" ht="14.4" customHeight="1" x14ac:dyDescent="0.3">
      <c r="A232" s="611" t="s">
        <v>531</v>
      </c>
      <c r="B232" s="612" t="s">
        <v>532</v>
      </c>
      <c r="C232" s="613" t="s">
        <v>545</v>
      </c>
      <c r="D232" s="614" t="s">
        <v>1105</v>
      </c>
      <c r="E232" s="613" t="s">
        <v>1595</v>
      </c>
      <c r="F232" s="614" t="s">
        <v>1596</v>
      </c>
      <c r="G232" s="613" t="s">
        <v>1499</v>
      </c>
      <c r="H232" s="613" t="s">
        <v>1500</v>
      </c>
      <c r="I232" s="615">
        <v>181.5</v>
      </c>
      <c r="J232" s="615">
        <v>30</v>
      </c>
      <c r="K232" s="616">
        <v>5445</v>
      </c>
    </row>
    <row r="233" spans="1:11" ht="14.4" customHeight="1" x14ac:dyDescent="0.3">
      <c r="A233" s="611" t="s">
        <v>531</v>
      </c>
      <c r="B233" s="612" t="s">
        <v>532</v>
      </c>
      <c r="C233" s="613" t="s">
        <v>545</v>
      </c>
      <c r="D233" s="614" t="s">
        <v>1105</v>
      </c>
      <c r="E233" s="613" t="s">
        <v>1595</v>
      </c>
      <c r="F233" s="614" t="s">
        <v>1596</v>
      </c>
      <c r="G233" s="613" t="s">
        <v>1293</v>
      </c>
      <c r="H233" s="613" t="s">
        <v>1294</v>
      </c>
      <c r="I233" s="615">
        <v>1.05</v>
      </c>
      <c r="J233" s="615">
        <v>100</v>
      </c>
      <c r="K233" s="616">
        <v>105</v>
      </c>
    </row>
    <row r="234" spans="1:11" ht="14.4" customHeight="1" x14ac:dyDescent="0.3">
      <c r="A234" s="611" t="s">
        <v>531</v>
      </c>
      <c r="B234" s="612" t="s">
        <v>532</v>
      </c>
      <c r="C234" s="613" t="s">
        <v>545</v>
      </c>
      <c r="D234" s="614" t="s">
        <v>1105</v>
      </c>
      <c r="E234" s="613" t="s">
        <v>1605</v>
      </c>
      <c r="F234" s="614" t="s">
        <v>1606</v>
      </c>
      <c r="G234" s="613" t="s">
        <v>1501</v>
      </c>
      <c r="H234" s="613" t="s">
        <v>1502</v>
      </c>
      <c r="I234" s="615">
        <v>4.9950000000000001</v>
      </c>
      <c r="J234" s="615">
        <v>150</v>
      </c>
      <c r="K234" s="616">
        <v>749.54</v>
      </c>
    </row>
    <row r="235" spans="1:11" ht="14.4" customHeight="1" x14ac:dyDescent="0.3">
      <c r="A235" s="611" t="s">
        <v>531</v>
      </c>
      <c r="B235" s="612" t="s">
        <v>532</v>
      </c>
      <c r="C235" s="613" t="s">
        <v>545</v>
      </c>
      <c r="D235" s="614" t="s">
        <v>1105</v>
      </c>
      <c r="E235" s="613" t="s">
        <v>1605</v>
      </c>
      <c r="F235" s="614" t="s">
        <v>1606</v>
      </c>
      <c r="G235" s="613" t="s">
        <v>1503</v>
      </c>
      <c r="H235" s="613" t="s">
        <v>1504</v>
      </c>
      <c r="I235" s="615">
        <v>25.05</v>
      </c>
      <c r="J235" s="615">
        <v>1</v>
      </c>
      <c r="K235" s="616">
        <v>25.05</v>
      </c>
    </row>
    <row r="236" spans="1:11" ht="14.4" customHeight="1" x14ac:dyDescent="0.3">
      <c r="A236" s="611" t="s">
        <v>531</v>
      </c>
      <c r="B236" s="612" t="s">
        <v>532</v>
      </c>
      <c r="C236" s="613" t="s">
        <v>545</v>
      </c>
      <c r="D236" s="614" t="s">
        <v>1105</v>
      </c>
      <c r="E236" s="613" t="s">
        <v>1605</v>
      </c>
      <c r="F236" s="614" t="s">
        <v>1606</v>
      </c>
      <c r="G236" s="613" t="s">
        <v>1505</v>
      </c>
      <c r="H236" s="613" t="s">
        <v>1506</v>
      </c>
      <c r="I236" s="615">
        <v>49.01</v>
      </c>
      <c r="J236" s="615">
        <v>1</v>
      </c>
      <c r="K236" s="616">
        <v>49.01</v>
      </c>
    </row>
    <row r="237" spans="1:11" ht="14.4" customHeight="1" x14ac:dyDescent="0.3">
      <c r="A237" s="611" t="s">
        <v>531</v>
      </c>
      <c r="B237" s="612" t="s">
        <v>532</v>
      </c>
      <c r="C237" s="613" t="s">
        <v>545</v>
      </c>
      <c r="D237" s="614" t="s">
        <v>1105</v>
      </c>
      <c r="E237" s="613" t="s">
        <v>1607</v>
      </c>
      <c r="F237" s="614" t="s">
        <v>1608</v>
      </c>
      <c r="G237" s="613" t="s">
        <v>1507</v>
      </c>
      <c r="H237" s="613" t="s">
        <v>1508</v>
      </c>
      <c r="I237" s="615">
        <v>899.63</v>
      </c>
      <c r="J237" s="615">
        <v>10</v>
      </c>
      <c r="K237" s="616">
        <v>8996.35</v>
      </c>
    </row>
    <row r="238" spans="1:11" ht="14.4" customHeight="1" x14ac:dyDescent="0.3">
      <c r="A238" s="611" t="s">
        <v>531</v>
      </c>
      <c r="B238" s="612" t="s">
        <v>532</v>
      </c>
      <c r="C238" s="613" t="s">
        <v>545</v>
      </c>
      <c r="D238" s="614" t="s">
        <v>1105</v>
      </c>
      <c r="E238" s="613" t="s">
        <v>1607</v>
      </c>
      <c r="F238" s="614" t="s">
        <v>1608</v>
      </c>
      <c r="G238" s="613" t="s">
        <v>1509</v>
      </c>
      <c r="H238" s="613" t="s">
        <v>1510</v>
      </c>
      <c r="I238" s="615">
        <v>4620.17</v>
      </c>
      <c r="J238" s="615">
        <v>1</v>
      </c>
      <c r="K238" s="616">
        <v>4620.17</v>
      </c>
    </row>
    <row r="239" spans="1:11" ht="14.4" customHeight="1" x14ac:dyDescent="0.3">
      <c r="A239" s="611" t="s">
        <v>531</v>
      </c>
      <c r="B239" s="612" t="s">
        <v>532</v>
      </c>
      <c r="C239" s="613" t="s">
        <v>545</v>
      </c>
      <c r="D239" s="614" t="s">
        <v>1105</v>
      </c>
      <c r="E239" s="613" t="s">
        <v>1607</v>
      </c>
      <c r="F239" s="614" t="s">
        <v>1608</v>
      </c>
      <c r="G239" s="613" t="s">
        <v>1511</v>
      </c>
      <c r="H239" s="613" t="s">
        <v>1512</v>
      </c>
      <c r="I239" s="615">
        <v>629.20000000000005</v>
      </c>
      <c r="J239" s="615">
        <v>20</v>
      </c>
      <c r="K239" s="616">
        <v>12584</v>
      </c>
    </row>
    <row r="240" spans="1:11" ht="14.4" customHeight="1" x14ac:dyDescent="0.3">
      <c r="A240" s="611" t="s">
        <v>531</v>
      </c>
      <c r="B240" s="612" t="s">
        <v>532</v>
      </c>
      <c r="C240" s="613" t="s">
        <v>545</v>
      </c>
      <c r="D240" s="614" t="s">
        <v>1105</v>
      </c>
      <c r="E240" s="613" t="s">
        <v>1607</v>
      </c>
      <c r="F240" s="614" t="s">
        <v>1608</v>
      </c>
      <c r="G240" s="613" t="s">
        <v>1513</v>
      </c>
      <c r="H240" s="613" t="s">
        <v>1514</v>
      </c>
      <c r="I240" s="615">
        <v>411.4</v>
      </c>
      <c r="J240" s="615">
        <v>10</v>
      </c>
      <c r="K240" s="616">
        <v>4114</v>
      </c>
    </row>
    <row r="241" spans="1:11" ht="14.4" customHeight="1" x14ac:dyDescent="0.3">
      <c r="A241" s="611" t="s">
        <v>531</v>
      </c>
      <c r="B241" s="612" t="s">
        <v>532</v>
      </c>
      <c r="C241" s="613" t="s">
        <v>545</v>
      </c>
      <c r="D241" s="614" t="s">
        <v>1105</v>
      </c>
      <c r="E241" s="613" t="s">
        <v>1601</v>
      </c>
      <c r="F241" s="614" t="s">
        <v>1602</v>
      </c>
      <c r="G241" s="613" t="s">
        <v>1515</v>
      </c>
      <c r="H241" s="613" t="s">
        <v>1516</v>
      </c>
      <c r="I241" s="615">
        <v>24.179999999999996</v>
      </c>
      <c r="J241" s="615">
        <v>600</v>
      </c>
      <c r="K241" s="616">
        <v>14505.48</v>
      </c>
    </row>
    <row r="242" spans="1:11" ht="14.4" customHeight="1" x14ac:dyDescent="0.3">
      <c r="A242" s="611" t="s">
        <v>531</v>
      </c>
      <c r="B242" s="612" t="s">
        <v>532</v>
      </c>
      <c r="C242" s="613" t="s">
        <v>545</v>
      </c>
      <c r="D242" s="614" t="s">
        <v>1105</v>
      </c>
      <c r="E242" s="613" t="s">
        <v>1601</v>
      </c>
      <c r="F242" s="614" t="s">
        <v>1602</v>
      </c>
      <c r="G242" s="613" t="s">
        <v>1351</v>
      </c>
      <c r="H242" s="613" t="s">
        <v>1352</v>
      </c>
      <c r="I242" s="615">
        <v>7</v>
      </c>
      <c r="J242" s="615">
        <v>75</v>
      </c>
      <c r="K242" s="616">
        <v>525</v>
      </c>
    </row>
    <row r="243" spans="1:11" ht="14.4" customHeight="1" x14ac:dyDescent="0.3">
      <c r="A243" s="611" t="s">
        <v>531</v>
      </c>
      <c r="B243" s="612" t="s">
        <v>532</v>
      </c>
      <c r="C243" s="613" t="s">
        <v>545</v>
      </c>
      <c r="D243" s="614" t="s">
        <v>1105</v>
      </c>
      <c r="E243" s="613" t="s">
        <v>1609</v>
      </c>
      <c r="F243" s="614" t="s">
        <v>1610</v>
      </c>
      <c r="G243" s="613" t="s">
        <v>1517</v>
      </c>
      <c r="H243" s="613" t="s">
        <v>1518</v>
      </c>
      <c r="I243" s="615">
        <v>48.96</v>
      </c>
      <c r="J243" s="615">
        <v>48</v>
      </c>
      <c r="K243" s="616">
        <v>2349.92</v>
      </c>
    </row>
    <row r="244" spans="1:11" ht="14.4" customHeight="1" x14ac:dyDescent="0.3">
      <c r="A244" s="611" t="s">
        <v>531</v>
      </c>
      <c r="B244" s="612" t="s">
        <v>532</v>
      </c>
      <c r="C244" s="613" t="s">
        <v>545</v>
      </c>
      <c r="D244" s="614" t="s">
        <v>1105</v>
      </c>
      <c r="E244" s="613" t="s">
        <v>1597</v>
      </c>
      <c r="F244" s="614" t="s">
        <v>1598</v>
      </c>
      <c r="G244" s="613" t="s">
        <v>1297</v>
      </c>
      <c r="H244" s="613" t="s">
        <v>1298</v>
      </c>
      <c r="I244" s="615">
        <v>0.30599999999999999</v>
      </c>
      <c r="J244" s="615">
        <v>2600</v>
      </c>
      <c r="K244" s="616">
        <v>799</v>
      </c>
    </row>
    <row r="245" spans="1:11" ht="14.4" customHeight="1" x14ac:dyDescent="0.3">
      <c r="A245" s="611" t="s">
        <v>531</v>
      </c>
      <c r="B245" s="612" t="s">
        <v>532</v>
      </c>
      <c r="C245" s="613" t="s">
        <v>545</v>
      </c>
      <c r="D245" s="614" t="s">
        <v>1105</v>
      </c>
      <c r="E245" s="613" t="s">
        <v>1597</v>
      </c>
      <c r="F245" s="614" t="s">
        <v>1598</v>
      </c>
      <c r="G245" s="613" t="s">
        <v>1519</v>
      </c>
      <c r="H245" s="613" t="s">
        <v>1520</v>
      </c>
      <c r="I245" s="615">
        <v>0.3</v>
      </c>
      <c r="J245" s="615">
        <v>100</v>
      </c>
      <c r="K245" s="616">
        <v>30</v>
      </c>
    </row>
    <row r="246" spans="1:11" ht="14.4" customHeight="1" x14ac:dyDescent="0.3">
      <c r="A246" s="611" t="s">
        <v>531</v>
      </c>
      <c r="B246" s="612" t="s">
        <v>532</v>
      </c>
      <c r="C246" s="613" t="s">
        <v>545</v>
      </c>
      <c r="D246" s="614" t="s">
        <v>1105</v>
      </c>
      <c r="E246" s="613" t="s">
        <v>1597</v>
      </c>
      <c r="F246" s="614" t="s">
        <v>1598</v>
      </c>
      <c r="G246" s="613" t="s">
        <v>1521</v>
      </c>
      <c r="H246" s="613" t="s">
        <v>1522</v>
      </c>
      <c r="I246" s="615">
        <v>0.48</v>
      </c>
      <c r="J246" s="615">
        <v>600</v>
      </c>
      <c r="K246" s="616">
        <v>288</v>
      </c>
    </row>
    <row r="247" spans="1:11" ht="14.4" customHeight="1" x14ac:dyDescent="0.3">
      <c r="A247" s="611" t="s">
        <v>531</v>
      </c>
      <c r="B247" s="612" t="s">
        <v>532</v>
      </c>
      <c r="C247" s="613" t="s">
        <v>545</v>
      </c>
      <c r="D247" s="614" t="s">
        <v>1105</v>
      </c>
      <c r="E247" s="613" t="s">
        <v>1597</v>
      </c>
      <c r="F247" s="614" t="s">
        <v>1598</v>
      </c>
      <c r="G247" s="613" t="s">
        <v>1299</v>
      </c>
      <c r="H247" s="613" t="s">
        <v>1300</v>
      </c>
      <c r="I247" s="615">
        <v>0.48599999999999993</v>
      </c>
      <c r="J247" s="615">
        <v>4600</v>
      </c>
      <c r="K247" s="616">
        <v>2237</v>
      </c>
    </row>
    <row r="248" spans="1:11" ht="14.4" customHeight="1" x14ac:dyDescent="0.3">
      <c r="A248" s="611" t="s">
        <v>531</v>
      </c>
      <c r="B248" s="612" t="s">
        <v>532</v>
      </c>
      <c r="C248" s="613" t="s">
        <v>545</v>
      </c>
      <c r="D248" s="614" t="s">
        <v>1105</v>
      </c>
      <c r="E248" s="613" t="s">
        <v>1597</v>
      </c>
      <c r="F248" s="614" t="s">
        <v>1598</v>
      </c>
      <c r="G248" s="613" t="s">
        <v>1523</v>
      </c>
      <c r="H248" s="613" t="s">
        <v>1524</v>
      </c>
      <c r="I248" s="615">
        <v>48.82</v>
      </c>
      <c r="J248" s="615">
        <v>25</v>
      </c>
      <c r="K248" s="616">
        <v>1220.5899999999999</v>
      </c>
    </row>
    <row r="249" spans="1:11" ht="14.4" customHeight="1" x14ac:dyDescent="0.3">
      <c r="A249" s="611" t="s">
        <v>531</v>
      </c>
      <c r="B249" s="612" t="s">
        <v>532</v>
      </c>
      <c r="C249" s="613" t="s">
        <v>545</v>
      </c>
      <c r="D249" s="614" t="s">
        <v>1105</v>
      </c>
      <c r="E249" s="613" t="s">
        <v>1599</v>
      </c>
      <c r="F249" s="614" t="s">
        <v>1600</v>
      </c>
      <c r="G249" s="613" t="s">
        <v>1525</v>
      </c>
      <c r="H249" s="613" t="s">
        <v>1526</v>
      </c>
      <c r="I249" s="615">
        <v>11.01</v>
      </c>
      <c r="J249" s="615">
        <v>80</v>
      </c>
      <c r="K249" s="616">
        <v>880.8</v>
      </c>
    </row>
    <row r="250" spans="1:11" ht="14.4" customHeight="1" x14ac:dyDescent="0.3">
      <c r="A250" s="611" t="s">
        <v>531</v>
      </c>
      <c r="B250" s="612" t="s">
        <v>532</v>
      </c>
      <c r="C250" s="613" t="s">
        <v>545</v>
      </c>
      <c r="D250" s="614" t="s">
        <v>1105</v>
      </c>
      <c r="E250" s="613" t="s">
        <v>1599</v>
      </c>
      <c r="F250" s="614" t="s">
        <v>1600</v>
      </c>
      <c r="G250" s="613" t="s">
        <v>1527</v>
      </c>
      <c r="H250" s="613" t="s">
        <v>1528</v>
      </c>
      <c r="I250" s="615">
        <v>11.016666666666666</v>
      </c>
      <c r="J250" s="615">
        <v>320</v>
      </c>
      <c r="K250" s="616">
        <v>3526</v>
      </c>
    </row>
    <row r="251" spans="1:11" ht="14.4" customHeight="1" x14ac:dyDescent="0.3">
      <c r="A251" s="611" t="s">
        <v>531</v>
      </c>
      <c r="B251" s="612" t="s">
        <v>532</v>
      </c>
      <c r="C251" s="613" t="s">
        <v>545</v>
      </c>
      <c r="D251" s="614" t="s">
        <v>1105</v>
      </c>
      <c r="E251" s="613" t="s">
        <v>1599</v>
      </c>
      <c r="F251" s="614" t="s">
        <v>1600</v>
      </c>
      <c r="G251" s="613" t="s">
        <v>1529</v>
      </c>
      <c r="H251" s="613" t="s">
        <v>1530</v>
      </c>
      <c r="I251" s="615">
        <v>11.012499999999999</v>
      </c>
      <c r="J251" s="615">
        <v>280</v>
      </c>
      <c r="K251" s="616">
        <v>3084</v>
      </c>
    </row>
    <row r="252" spans="1:11" ht="14.4" customHeight="1" x14ac:dyDescent="0.3">
      <c r="A252" s="611" t="s">
        <v>531</v>
      </c>
      <c r="B252" s="612" t="s">
        <v>532</v>
      </c>
      <c r="C252" s="613" t="s">
        <v>545</v>
      </c>
      <c r="D252" s="614" t="s">
        <v>1105</v>
      </c>
      <c r="E252" s="613" t="s">
        <v>1599</v>
      </c>
      <c r="F252" s="614" t="s">
        <v>1600</v>
      </c>
      <c r="G252" s="613" t="s">
        <v>1531</v>
      </c>
      <c r="H252" s="613" t="s">
        <v>1532</v>
      </c>
      <c r="I252" s="615">
        <v>11.015000000000001</v>
      </c>
      <c r="J252" s="615">
        <v>120</v>
      </c>
      <c r="K252" s="616">
        <v>1321.6</v>
      </c>
    </row>
    <row r="253" spans="1:11" ht="14.4" customHeight="1" x14ac:dyDescent="0.3">
      <c r="A253" s="611" t="s">
        <v>531</v>
      </c>
      <c r="B253" s="612" t="s">
        <v>532</v>
      </c>
      <c r="C253" s="613" t="s">
        <v>545</v>
      </c>
      <c r="D253" s="614" t="s">
        <v>1105</v>
      </c>
      <c r="E253" s="613" t="s">
        <v>1599</v>
      </c>
      <c r="F253" s="614" t="s">
        <v>1600</v>
      </c>
      <c r="G253" s="613" t="s">
        <v>1533</v>
      </c>
      <c r="H253" s="613" t="s">
        <v>1534</v>
      </c>
      <c r="I253" s="615">
        <v>11.01</v>
      </c>
      <c r="J253" s="615">
        <v>80</v>
      </c>
      <c r="K253" s="616">
        <v>880.64</v>
      </c>
    </row>
    <row r="254" spans="1:11" ht="14.4" customHeight="1" x14ac:dyDescent="0.3">
      <c r="A254" s="611" t="s">
        <v>531</v>
      </c>
      <c r="B254" s="612" t="s">
        <v>532</v>
      </c>
      <c r="C254" s="613" t="s">
        <v>545</v>
      </c>
      <c r="D254" s="614" t="s">
        <v>1105</v>
      </c>
      <c r="E254" s="613" t="s">
        <v>1599</v>
      </c>
      <c r="F254" s="614" t="s">
        <v>1600</v>
      </c>
      <c r="G254" s="613" t="s">
        <v>1305</v>
      </c>
      <c r="H254" s="613" t="s">
        <v>1306</v>
      </c>
      <c r="I254" s="615">
        <v>0.71124999999999994</v>
      </c>
      <c r="J254" s="615">
        <v>35800</v>
      </c>
      <c r="K254" s="616">
        <v>25470</v>
      </c>
    </row>
    <row r="255" spans="1:11" ht="14.4" customHeight="1" x14ac:dyDescent="0.3">
      <c r="A255" s="611" t="s">
        <v>531</v>
      </c>
      <c r="B255" s="612" t="s">
        <v>532</v>
      </c>
      <c r="C255" s="613" t="s">
        <v>545</v>
      </c>
      <c r="D255" s="614" t="s">
        <v>1105</v>
      </c>
      <c r="E255" s="613" t="s">
        <v>1599</v>
      </c>
      <c r="F255" s="614" t="s">
        <v>1600</v>
      </c>
      <c r="G255" s="613" t="s">
        <v>1307</v>
      </c>
      <c r="H255" s="613" t="s">
        <v>1308</v>
      </c>
      <c r="I255" s="615">
        <v>11.986666666666666</v>
      </c>
      <c r="J255" s="615">
        <v>280</v>
      </c>
      <c r="K255" s="616">
        <v>3375.8</v>
      </c>
    </row>
    <row r="256" spans="1:11" ht="14.4" customHeight="1" x14ac:dyDescent="0.3">
      <c r="A256" s="611" t="s">
        <v>531</v>
      </c>
      <c r="B256" s="612" t="s">
        <v>532</v>
      </c>
      <c r="C256" s="613" t="s">
        <v>545</v>
      </c>
      <c r="D256" s="614" t="s">
        <v>1105</v>
      </c>
      <c r="E256" s="613" t="s">
        <v>1599</v>
      </c>
      <c r="F256" s="614" t="s">
        <v>1600</v>
      </c>
      <c r="G256" s="613" t="s">
        <v>1309</v>
      </c>
      <c r="H256" s="613" t="s">
        <v>1310</v>
      </c>
      <c r="I256" s="615">
        <v>12.585000000000001</v>
      </c>
      <c r="J256" s="615">
        <v>240</v>
      </c>
      <c r="K256" s="616">
        <v>3020.3999999999996</v>
      </c>
    </row>
    <row r="257" spans="1:11" ht="14.4" customHeight="1" x14ac:dyDescent="0.3">
      <c r="A257" s="611" t="s">
        <v>531</v>
      </c>
      <c r="B257" s="612" t="s">
        <v>532</v>
      </c>
      <c r="C257" s="613" t="s">
        <v>545</v>
      </c>
      <c r="D257" s="614" t="s">
        <v>1105</v>
      </c>
      <c r="E257" s="613" t="s">
        <v>1599</v>
      </c>
      <c r="F257" s="614" t="s">
        <v>1600</v>
      </c>
      <c r="G257" s="613" t="s">
        <v>1535</v>
      </c>
      <c r="H257" s="613" t="s">
        <v>1536</v>
      </c>
      <c r="I257" s="615">
        <v>12.585000000000001</v>
      </c>
      <c r="J257" s="615">
        <v>80</v>
      </c>
      <c r="K257" s="616">
        <v>1006.8</v>
      </c>
    </row>
    <row r="258" spans="1:11" ht="14.4" customHeight="1" x14ac:dyDescent="0.3">
      <c r="A258" s="611" t="s">
        <v>531</v>
      </c>
      <c r="B258" s="612" t="s">
        <v>532</v>
      </c>
      <c r="C258" s="613" t="s">
        <v>545</v>
      </c>
      <c r="D258" s="614" t="s">
        <v>1105</v>
      </c>
      <c r="E258" s="613" t="s">
        <v>1599</v>
      </c>
      <c r="F258" s="614" t="s">
        <v>1600</v>
      </c>
      <c r="G258" s="613" t="s">
        <v>1355</v>
      </c>
      <c r="H258" s="613" t="s">
        <v>1356</v>
      </c>
      <c r="I258" s="615">
        <v>12.585000000000001</v>
      </c>
      <c r="J258" s="615">
        <v>320</v>
      </c>
      <c r="K258" s="616">
        <v>4027.2</v>
      </c>
    </row>
    <row r="259" spans="1:11" ht="14.4" customHeight="1" x14ac:dyDescent="0.3">
      <c r="A259" s="611" t="s">
        <v>531</v>
      </c>
      <c r="B259" s="612" t="s">
        <v>532</v>
      </c>
      <c r="C259" s="613" t="s">
        <v>545</v>
      </c>
      <c r="D259" s="614" t="s">
        <v>1105</v>
      </c>
      <c r="E259" s="613" t="s">
        <v>1599</v>
      </c>
      <c r="F259" s="614" t="s">
        <v>1600</v>
      </c>
      <c r="G259" s="613" t="s">
        <v>1537</v>
      </c>
      <c r="H259" s="613" t="s">
        <v>1538</v>
      </c>
      <c r="I259" s="615">
        <v>12.09</v>
      </c>
      <c r="J259" s="615">
        <v>40</v>
      </c>
      <c r="K259" s="616">
        <v>483.6</v>
      </c>
    </row>
    <row r="260" spans="1:11" ht="14.4" customHeight="1" x14ac:dyDescent="0.3">
      <c r="A260" s="611" t="s">
        <v>531</v>
      </c>
      <c r="B260" s="612" t="s">
        <v>532</v>
      </c>
      <c r="C260" s="613" t="s">
        <v>545</v>
      </c>
      <c r="D260" s="614" t="s">
        <v>1105</v>
      </c>
      <c r="E260" s="613" t="s">
        <v>1611</v>
      </c>
      <c r="F260" s="614" t="s">
        <v>1612</v>
      </c>
      <c r="G260" s="613" t="s">
        <v>1539</v>
      </c>
      <c r="H260" s="613" t="s">
        <v>1540</v>
      </c>
      <c r="I260" s="615">
        <v>139.4314285714286</v>
      </c>
      <c r="J260" s="615">
        <v>70</v>
      </c>
      <c r="K260" s="616">
        <v>9760.2599999999984</v>
      </c>
    </row>
    <row r="261" spans="1:11" ht="14.4" customHeight="1" x14ac:dyDescent="0.3">
      <c r="A261" s="611" t="s">
        <v>531</v>
      </c>
      <c r="B261" s="612" t="s">
        <v>532</v>
      </c>
      <c r="C261" s="613" t="s">
        <v>545</v>
      </c>
      <c r="D261" s="614" t="s">
        <v>1105</v>
      </c>
      <c r="E261" s="613" t="s">
        <v>1611</v>
      </c>
      <c r="F261" s="614" t="s">
        <v>1612</v>
      </c>
      <c r="G261" s="613" t="s">
        <v>1541</v>
      </c>
      <c r="H261" s="613" t="s">
        <v>1542</v>
      </c>
      <c r="I261" s="615">
        <v>11.65</v>
      </c>
      <c r="J261" s="615">
        <v>40</v>
      </c>
      <c r="K261" s="616">
        <v>466.09</v>
      </c>
    </row>
    <row r="262" spans="1:11" ht="14.4" customHeight="1" x14ac:dyDescent="0.3">
      <c r="A262" s="611" t="s">
        <v>531</v>
      </c>
      <c r="B262" s="612" t="s">
        <v>532</v>
      </c>
      <c r="C262" s="613" t="s">
        <v>545</v>
      </c>
      <c r="D262" s="614" t="s">
        <v>1105</v>
      </c>
      <c r="E262" s="613" t="s">
        <v>1611</v>
      </c>
      <c r="F262" s="614" t="s">
        <v>1612</v>
      </c>
      <c r="G262" s="613" t="s">
        <v>1543</v>
      </c>
      <c r="H262" s="613" t="s">
        <v>1544</v>
      </c>
      <c r="I262" s="615">
        <v>152.46</v>
      </c>
      <c r="J262" s="615">
        <v>4</v>
      </c>
      <c r="K262" s="616">
        <v>609.84</v>
      </c>
    </row>
    <row r="263" spans="1:11" ht="14.4" customHeight="1" x14ac:dyDescent="0.3">
      <c r="A263" s="611" t="s">
        <v>531</v>
      </c>
      <c r="B263" s="612" t="s">
        <v>532</v>
      </c>
      <c r="C263" s="613" t="s">
        <v>545</v>
      </c>
      <c r="D263" s="614" t="s">
        <v>1105</v>
      </c>
      <c r="E263" s="613" t="s">
        <v>1611</v>
      </c>
      <c r="F263" s="614" t="s">
        <v>1612</v>
      </c>
      <c r="G263" s="613" t="s">
        <v>1545</v>
      </c>
      <c r="H263" s="613" t="s">
        <v>1546</v>
      </c>
      <c r="I263" s="615">
        <v>2746.7</v>
      </c>
      <c r="J263" s="615">
        <v>2</v>
      </c>
      <c r="K263" s="616">
        <v>5493.4</v>
      </c>
    </row>
    <row r="264" spans="1:11" ht="14.4" customHeight="1" x14ac:dyDescent="0.3">
      <c r="A264" s="611" t="s">
        <v>531</v>
      </c>
      <c r="B264" s="612" t="s">
        <v>532</v>
      </c>
      <c r="C264" s="613" t="s">
        <v>545</v>
      </c>
      <c r="D264" s="614" t="s">
        <v>1105</v>
      </c>
      <c r="E264" s="613" t="s">
        <v>1611</v>
      </c>
      <c r="F264" s="614" t="s">
        <v>1612</v>
      </c>
      <c r="G264" s="613" t="s">
        <v>1547</v>
      </c>
      <c r="H264" s="613" t="s">
        <v>1548</v>
      </c>
      <c r="I264" s="615">
        <v>6352.5</v>
      </c>
      <c r="J264" s="615">
        <v>5</v>
      </c>
      <c r="K264" s="616">
        <v>31762.5</v>
      </c>
    </row>
    <row r="265" spans="1:11" ht="14.4" customHeight="1" x14ac:dyDescent="0.3">
      <c r="A265" s="611" t="s">
        <v>531</v>
      </c>
      <c r="B265" s="612" t="s">
        <v>532</v>
      </c>
      <c r="C265" s="613" t="s">
        <v>545</v>
      </c>
      <c r="D265" s="614" t="s">
        <v>1105</v>
      </c>
      <c r="E265" s="613" t="s">
        <v>1611</v>
      </c>
      <c r="F265" s="614" t="s">
        <v>1612</v>
      </c>
      <c r="G265" s="613" t="s">
        <v>1549</v>
      </c>
      <c r="H265" s="613" t="s">
        <v>1550</v>
      </c>
      <c r="I265" s="615">
        <v>8470</v>
      </c>
      <c r="J265" s="615">
        <v>4</v>
      </c>
      <c r="K265" s="616">
        <v>33880</v>
      </c>
    </row>
    <row r="266" spans="1:11" ht="14.4" customHeight="1" x14ac:dyDescent="0.3">
      <c r="A266" s="611" t="s">
        <v>531</v>
      </c>
      <c r="B266" s="612" t="s">
        <v>532</v>
      </c>
      <c r="C266" s="613" t="s">
        <v>545</v>
      </c>
      <c r="D266" s="614" t="s">
        <v>1105</v>
      </c>
      <c r="E266" s="613" t="s">
        <v>1611</v>
      </c>
      <c r="F266" s="614" t="s">
        <v>1612</v>
      </c>
      <c r="G266" s="613" t="s">
        <v>1551</v>
      </c>
      <c r="H266" s="613" t="s">
        <v>1552</v>
      </c>
      <c r="I266" s="615">
        <v>363</v>
      </c>
      <c r="J266" s="615">
        <v>4</v>
      </c>
      <c r="K266" s="616">
        <v>1452</v>
      </c>
    </row>
    <row r="267" spans="1:11" ht="14.4" customHeight="1" x14ac:dyDescent="0.3">
      <c r="A267" s="611" t="s">
        <v>531</v>
      </c>
      <c r="B267" s="612" t="s">
        <v>532</v>
      </c>
      <c r="C267" s="613" t="s">
        <v>545</v>
      </c>
      <c r="D267" s="614" t="s">
        <v>1105</v>
      </c>
      <c r="E267" s="613" t="s">
        <v>1611</v>
      </c>
      <c r="F267" s="614" t="s">
        <v>1612</v>
      </c>
      <c r="G267" s="613" t="s">
        <v>1553</v>
      </c>
      <c r="H267" s="613" t="s">
        <v>1554</v>
      </c>
      <c r="I267" s="615">
        <v>4458.8866666666663</v>
      </c>
      <c r="J267" s="615">
        <v>8</v>
      </c>
      <c r="K267" s="616">
        <v>35660</v>
      </c>
    </row>
    <row r="268" spans="1:11" ht="14.4" customHeight="1" x14ac:dyDescent="0.3">
      <c r="A268" s="611" t="s">
        <v>531</v>
      </c>
      <c r="B268" s="612" t="s">
        <v>532</v>
      </c>
      <c r="C268" s="613" t="s">
        <v>545</v>
      </c>
      <c r="D268" s="614" t="s">
        <v>1105</v>
      </c>
      <c r="E268" s="613" t="s">
        <v>1611</v>
      </c>
      <c r="F268" s="614" t="s">
        <v>1612</v>
      </c>
      <c r="G268" s="613" t="s">
        <v>1555</v>
      </c>
      <c r="H268" s="613" t="s">
        <v>1556</v>
      </c>
      <c r="I268" s="615">
        <v>786.5</v>
      </c>
      <c r="J268" s="615">
        <v>2</v>
      </c>
      <c r="K268" s="616">
        <v>1573</v>
      </c>
    </row>
    <row r="269" spans="1:11" ht="14.4" customHeight="1" x14ac:dyDescent="0.3">
      <c r="A269" s="611" t="s">
        <v>531</v>
      </c>
      <c r="B269" s="612" t="s">
        <v>532</v>
      </c>
      <c r="C269" s="613" t="s">
        <v>545</v>
      </c>
      <c r="D269" s="614" t="s">
        <v>1105</v>
      </c>
      <c r="E269" s="613" t="s">
        <v>1611</v>
      </c>
      <c r="F269" s="614" t="s">
        <v>1612</v>
      </c>
      <c r="G269" s="613" t="s">
        <v>1557</v>
      </c>
      <c r="H269" s="613" t="s">
        <v>1558</v>
      </c>
      <c r="I269" s="615">
        <v>3630</v>
      </c>
      <c r="J269" s="615">
        <v>1</v>
      </c>
      <c r="K269" s="616">
        <v>3630</v>
      </c>
    </row>
    <row r="270" spans="1:11" ht="14.4" customHeight="1" x14ac:dyDescent="0.3">
      <c r="A270" s="611" t="s">
        <v>531</v>
      </c>
      <c r="B270" s="612" t="s">
        <v>532</v>
      </c>
      <c r="C270" s="613" t="s">
        <v>545</v>
      </c>
      <c r="D270" s="614" t="s">
        <v>1105</v>
      </c>
      <c r="E270" s="613" t="s">
        <v>1611</v>
      </c>
      <c r="F270" s="614" t="s">
        <v>1612</v>
      </c>
      <c r="G270" s="613" t="s">
        <v>1559</v>
      </c>
      <c r="H270" s="613" t="s">
        <v>1560</v>
      </c>
      <c r="I270" s="615">
        <v>847</v>
      </c>
      <c r="J270" s="615">
        <v>4</v>
      </c>
      <c r="K270" s="616">
        <v>3388</v>
      </c>
    </row>
    <row r="271" spans="1:11" ht="14.4" customHeight="1" x14ac:dyDescent="0.3">
      <c r="A271" s="611" t="s">
        <v>531</v>
      </c>
      <c r="B271" s="612" t="s">
        <v>532</v>
      </c>
      <c r="C271" s="613" t="s">
        <v>545</v>
      </c>
      <c r="D271" s="614" t="s">
        <v>1105</v>
      </c>
      <c r="E271" s="613" t="s">
        <v>1611</v>
      </c>
      <c r="F271" s="614" t="s">
        <v>1612</v>
      </c>
      <c r="G271" s="613" t="s">
        <v>1561</v>
      </c>
      <c r="H271" s="613" t="s">
        <v>1562</v>
      </c>
      <c r="I271" s="615">
        <v>60.5</v>
      </c>
      <c r="J271" s="615">
        <v>1</v>
      </c>
      <c r="K271" s="616">
        <v>60.5</v>
      </c>
    </row>
    <row r="272" spans="1:11" ht="14.4" customHeight="1" x14ac:dyDescent="0.3">
      <c r="A272" s="611" t="s">
        <v>531</v>
      </c>
      <c r="B272" s="612" t="s">
        <v>532</v>
      </c>
      <c r="C272" s="613" t="s">
        <v>545</v>
      </c>
      <c r="D272" s="614" t="s">
        <v>1105</v>
      </c>
      <c r="E272" s="613" t="s">
        <v>1603</v>
      </c>
      <c r="F272" s="614" t="s">
        <v>1604</v>
      </c>
      <c r="G272" s="613" t="s">
        <v>1563</v>
      </c>
      <c r="H272" s="613" t="s">
        <v>1564</v>
      </c>
      <c r="I272" s="615">
        <v>282.53500000000003</v>
      </c>
      <c r="J272" s="615">
        <v>30</v>
      </c>
      <c r="K272" s="616">
        <v>9002.4</v>
      </c>
    </row>
    <row r="273" spans="1:11" ht="14.4" customHeight="1" x14ac:dyDescent="0.3">
      <c r="A273" s="611" t="s">
        <v>531</v>
      </c>
      <c r="B273" s="612" t="s">
        <v>532</v>
      </c>
      <c r="C273" s="613" t="s">
        <v>545</v>
      </c>
      <c r="D273" s="614" t="s">
        <v>1105</v>
      </c>
      <c r="E273" s="613" t="s">
        <v>1603</v>
      </c>
      <c r="F273" s="614" t="s">
        <v>1604</v>
      </c>
      <c r="G273" s="613" t="s">
        <v>1565</v>
      </c>
      <c r="H273" s="613" t="s">
        <v>1566</v>
      </c>
      <c r="I273" s="615">
        <v>630</v>
      </c>
      <c r="J273" s="615">
        <v>40</v>
      </c>
      <c r="K273" s="616">
        <v>25200.2</v>
      </c>
    </row>
    <row r="274" spans="1:11" ht="14.4" customHeight="1" x14ac:dyDescent="0.3">
      <c r="A274" s="611" t="s">
        <v>531</v>
      </c>
      <c r="B274" s="612" t="s">
        <v>532</v>
      </c>
      <c r="C274" s="613" t="s">
        <v>545</v>
      </c>
      <c r="D274" s="614" t="s">
        <v>1105</v>
      </c>
      <c r="E274" s="613" t="s">
        <v>1603</v>
      </c>
      <c r="F274" s="614" t="s">
        <v>1604</v>
      </c>
      <c r="G274" s="613" t="s">
        <v>1567</v>
      </c>
      <c r="H274" s="613" t="s">
        <v>1568</v>
      </c>
      <c r="I274" s="615">
        <v>254.1</v>
      </c>
      <c r="J274" s="615">
        <v>20</v>
      </c>
      <c r="K274" s="616">
        <v>5082</v>
      </c>
    </row>
    <row r="275" spans="1:11" ht="14.4" customHeight="1" x14ac:dyDescent="0.3">
      <c r="A275" s="611" t="s">
        <v>531</v>
      </c>
      <c r="B275" s="612" t="s">
        <v>532</v>
      </c>
      <c r="C275" s="613" t="s">
        <v>545</v>
      </c>
      <c r="D275" s="614" t="s">
        <v>1105</v>
      </c>
      <c r="E275" s="613" t="s">
        <v>1603</v>
      </c>
      <c r="F275" s="614" t="s">
        <v>1604</v>
      </c>
      <c r="G275" s="613" t="s">
        <v>1569</v>
      </c>
      <c r="H275" s="613" t="s">
        <v>1570</v>
      </c>
      <c r="I275" s="615">
        <v>377.71</v>
      </c>
      <c r="J275" s="615">
        <v>10</v>
      </c>
      <c r="K275" s="616">
        <v>3777.1</v>
      </c>
    </row>
    <row r="276" spans="1:11" ht="14.4" customHeight="1" x14ac:dyDescent="0.3">
      <c r="A276" s="611" t="s">
        <v>531</v>
      </c>
      <c r="B276" s="612" t="s">
        <v>532</v>
      </c>
      <c r="C276" s="613" t="s">
        <v>545</v>
      </c>
      <c r="D276" s="614" t="s">
        <v>1105</v>
      </c>
      <c r="E276" s="613" t="s">
        <v>1603</v>
      </c>
      <c r="F276" s="614" t="s">
        <v>1604</v>
      </c>
      <c r="G276" s="613" t="s">
        <v>1571</v>
      </c>
      <c r="H276" s="613" t="s">
        <v>1572</v>
      </c>
      <c r="I276" s="615">
        <v>464.01</v>
      </c>
      <c r="J276" s="615">
        <v>10</v>
      </c>
      <c r="K276" s="616">
        <v>4640.1099999999997</v>
      </c>
    </row>
    <row r="277" spans="1:11" ht="14.4" customHeight="1" x14ac:dyDescent="0.3">
      <c r="A277" s="611" t="s">
        <v>531</v>
      </c>
      <c r="B277" s="612" t="s">
        <v>532</v>
      </c>
      <c r="C277" s="613" t="s">
        <v>545</v>
      </c>
      <c r="D277" s="614" t="s">
        <v>1105</v>
      </c>
      <c r="E277" s="613" t="s">
        <v>1603</v>
      </c>
      <c r="F277" s="614" t="s">
        <v>1604</v>
      </c>
      <c r="G277" s="613" t="s">
        <v>1573</v>
      </c>
      <c r="H277" s="613" t="s">
        <v>1574</v>
      </c>
      <c r="I277" s="615">
        <v>43.37</v>
      </c>
      <c r="J277" s="615">
        <v>25</v>
      </c>
      <c r="K277" s="616">
        <v>1084.25</v>
      </c>
    </row>
    <row r="278" spans="1:11" ht="14.4" customHeight="1" x14ac:dyDescent="0.3">
      <c r="A278" s="611" t="s">
        <v>531</v>
      </c>
      <c r="B278" s="612" t="s">
        <v>532</v>
      </c>
      <c r="C278" s="613" t="s">
        <v>545</v>
      </c>
      <c r="D278" s="614" t="s">
        <v>1105</v>
      </c>
      <c r="E278" s="613" t="s">
        <v>1603</v>
      </c>
      <c r="F278" s="614" t="s">
        <v>1604</v>
      </c>
      <c r="G278" s="613" t="s">
        <v>1575</v>
      </c>
      <c r="H278" s="613" t="s">
        <v>1576</v>
      </c>
      <c r="I278" s="615">
        <v>977.6</v>
      </c>
      <c r="J278" s="615">
        <v>1</v>
      </c>
      <c r="K278" s="616">
        <v>977.6</v>
      </c>
    </row>
    <row r="279" spans="1:11" ht="14.4" customHeight="1" x14ac:dyDescent="0.3">
      <c r="A279" s="611" t="s">
        <v>531</v>
      </c>
      <c r="B279" s="612" t="s">
        <v>532</v>
      </c>
      <c r="C279" s="613" t="s">
        <v>545</v>
      </c>
      <c r="D279" s="614" t="s">
        <v>1105</v>
      </c>
      <c r="E279" s="613" t="s">
        <v>1603</v>
      </c>
      <c r="F279" s="614" t="s">
        <v>1604</v>
      </c>
      <c r="G279" s="613" t="s">
        <v>1577</v>
      </c>
      <c r="H279" s="613" t="s">
        <v>1578</v>
      </c>
      <c r="I279" s="615">
        <v>372.70000000000005</v>
      </c>
      <c r="J279" s="615">
        <v>20</v>
      </c>
      <c r="K279" s="616">
        <v>7453.99</v>
      </c>
    </row>
    <row r="280" spans="1:11" ht="14.4" customHeight="1" x14ac:dyDescent="0.3">
      <c r="A280" s="611" t="s">
        <v>531</v>
      </c>
      <c r="B280" s="612" t="s">
        <v>532</v>
      </c>
      <c r="C280" s="613" t="s">
        <v>545</v>
      </c>
      <c r="D280" s="614" t="s">
        <v>1105</v>
      </c>
      <c r="E280" s="613" t="s">
        <v>1603</v>
      </c>
      <c r="F280" s="614" t="s">
        <v>1604</v>
      </c>
      <c r="G280" s="613" t="s">
        <v>1579</v>
      </c>
      <c r="H280" s="613" t="s">
        <v>1580</v>
      </c>
      <c r="I280" s="615">
        <v>1099.02</v>
      </c>
      <c r="J280" s="615">
        <v>20</v>
      </c>
      <c r="K280" s="616">
        <v>21980.39</v>
      </c>
    </row>
    <row r="281" spans="1:11" ht="14.4" customHeight="1" x14ac:dyDescent="0.3">
      <c r="A281" s="611" t="s">
        <v>531</v>
      </c>
      <c r="B281" s="612" t="s">
        <v>532</v>
      </c>
      <c r="C281" s="613" t="s">
        <v>545</v>
      </c>
      <c r="D281" s="614" t="s">
        <v>1105</v>
      </c>
      <c r="E281" s="613" t="s">
        <v>1603</v>
      </c>
      <c r="F281" s="614" t="s">
        <v>1604</v>
      </c>
      <c r="G281" s="613" t="s">
        <v>1581</v>
      </c>
      <c r="H281" s="613" t="s">
        <v>1582</v>
      </c>
      <c r="I281" s="615">
        <v>1050.32</v>
      </c>
      <c r="J281" s="615">
        <v>1</v>
      </c>
      <c r="K281" s="616">
        <v>1050.32</v>
      </c>
    </row>
    <row r="282" spans="1:11" ht="14.4" customHeight="1" x14ac:dyDescent="0.3">
      <c r="A282" s="611" t="s">
        <v>531</v>
      </c>
      <c r="B282" s="612" t="s">
        <v>532</v>
      </c>
      <c r="C282" s="613" t="s">
        <v>545</v>
      </c>
      <c r="D282" s="614" t="s">
        <v>1105</v>
      </c>
      <c r="E282" s="613" t="s">
        <v>1603</v>
      </c>
      <c r="F282" s="614" t="s">
        <v>1604</v>
      </c>
      <c r="G282" s="613" t="s">
        <v>1583</v>
      </c>
      <c r="H282" s="613" t="s">
        <v>1584</v>
      </c>
      <c r="I282" s="615">
        <v>6167.56</v>
      </c>
      <c r="J282" s="615">
        <v>1</v>
      </c>
      <c r="K282" s="616">
        <v>6167.56</v>
      </c>
    </row>
    <row r="283" spans="1:11" ht="14.4" customHeight="1" x14ac:dyDescent="0.3">
      <c r="A283" s="611" t="s">
        <v>531</v>
      </c>
      <c r="B283" s="612" t="s">
        <v>532</v>
      </c>
      <c r="C283" s="613" t="s">
        <v>545</v>
      </c>
      <c r="D283" s="614" t="s">
        <v>1105</v>
      </c>
      <c r="E283" s="613" t="s">
        <v>1603</v>
      </c>
      <c r="F283" s="614" t="s">
        <v>1604</v>
      </c>
      <c r="G283" s="613" t="s">
        <v>1585</v>
      </c>
      <c r="H283" s="613" t="s">
        <v>1586</v>
      </c>
      <c r="I283" s="615">
        <v>154.83000000000001</v>
      </c>
      <c r="J283" s="615">
        <v>10</v>
      </c>
      <c r="K283" s="616">
        <v>1548.28</v>
      </c>
    </row>
    <row r="284" spans="1:11" ht="14.4" customHeight="1" x14ac:dyDescent="0.3">
      <c r="A284" s="611" t="s">
        <v>531</v>
      </c>
      <c r="B284" s="612" t="s">
        <v>532</v>
      </c>
      <c r="C284" s="613" t="s">
        <v>545</v>
      </c>
      <c r="D284" s="614" t="s">
        <v>1105</v>
      </c>
      <c r="E284" s="613" t="s">
        <v>1603</v>
      </c>
      <c r="F284" s="614" t="s">
        <v>1604</v>
      </c>
      <c r="G284" s="613" t="s">
        <v>1587</v>
      </c>
      <c r="H284" s="613" t="s">
        <v>1588</v>
      </c>
      <c r="I284" s="615">
        <v>1580.28</v>
      </c>
      <c r="J284" s="615">
        <v>1</v>
      </c>
      <c r="K284" s="616">
        <v>1580.28</v>
      </c>
    </row>
    <row r="285" spans="1:11" ht="14.4" customHeight="1" x14ac:dyDescent="0.3">
      <c r="A285" s="611" t="s">
        <v>531</v>
      </c>
      <c r="B285" s="612" t="s">
        <v>532</v>
      </c>
      <c r="C285" s="613" t="s">
        <v>545</v>
      </c>
      <c r="D285" s="614" t="s">
        <v>1105</v>
      </c>
      <c r="E285" s="613" t="s">
        <v>1603</v>
      </c>
      <c r="F285" s="614" t="s">
        <v>1604</v>
      </c>
      <c r="G285" s="613" t="s">
        <v>1589</v>
      </c>
      <c r="H285" s="613" t="s">
        <v>1590</v>
      </c>
      <c r="I285" s="615">
        <v>8672.9699999999993</v>
      </c>
      <c r="J285" s="615">
        <v>1</v>
      </c>
      <c r="K285" s="616">
        <v>8672.9699999999993</v>
      </c>
    </row>
    <row r="286" spans="1:11" ht="14.4" customHeight="1" thickBot="1" x14ac:dyDescent="0.35">
      <c r="A286" s="617" t="s">
        <v>531</v>
      </c>
      <c r="B286" s="618" t="s">
        <v>532</v>
      </c>
      <c r="C286" s="619" t="s">
        <v>545</v>
      </c>
      <c r="D286" s="620" t="s">
        <v>1105</v>
      </c>
      <c r="E286" s="619" t="s">
        <v>1603</v>
      </c>
      <c r="F286" s="620" t="s">
        <v>1604</v>
      </c>
      <c r="G286" s="619" t="s">
        <v>1591</v>
      </c>
      <c r="H286" s="619" t="s">
        <v>1592</v>
      </c>
      <c r="I286" s="621">
        <v>14015.43</v>
      </c>
      <c r="J286" s="621">
        <v>3</v>
      </c>
      <c r="K286" s="622">
        <v>42046.29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06" t="s">
        <v>117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</row>
    <row r="2" spans="1:35" ht="15" thickBot="1" x14ac:dyDescent="0.35">
      <c r="A2" s="361" t="s">
        <v>306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</row>
    <row r="3" spans="1:35" x14ac:dyDescent="0.3">
      <c r="A3" s="380" t="s">
        <v>225</v>
      </c>
      <c r="B3" s="507" t="s">
        <v>206</v>
      </c>
      <c r="C3" s="363">
        <v>0</v>
      </c>
      <c r="D3" s="364">
        <v>101</v>
      </c>
      <c r="E3" s="364">
        <v>102</v>
      </c>
      <c r="F3" s="383">
        <v>305</v>
      </c>
      <c r="G3" s="383">
        <v>306</v>
      </c>
      <c r="H3" s="383">
        <v>407</v>
      </c>
      <c r="I3" s="383">
        <v>408</v>
      </c>
      <c r="J3" s="383">
        <v>409</v>
      </c>
      <c r="K3" s="383">
        <v>410</v>
      </c>
      <c r="L3" s="383">
        <v>415</v>
      </c>
      <c r="M3" s="383">
        <v>416</v>
      </c>
      <c r="N3" s="383">
        <v>418</v>
      </c>
      <c r="O3" s="383">
        <v>419</v>
      </c>
      <c r="P3" s="383">
        <v>420</v>
      </c>
      <c r="Q3" s="383">
        <v>421</v>
      </c>
      <c r="R3" s="383">
        <v>522</v>
      </c>
      <c r="S3" s="383">
        <v>523</v>
      </c>
      <c r="T3" s="383">
        <v>524</v>
      </c>
      <c r="U3" s="383">
        <v>525</v>
      </c>
      <c r="V3" s="383">
        <v>526</v>
      </c>
      <c r="W3" s="383">
        <v>527</v>
      </c>
      <c r="X3" s="383">
        <v>528</v>
      </c>
      <c r="Y3" s="383">
        <v>629</v>
      </c>
      <c r="Z3" s="383">
        <v>630</v>
      </c>
      <c r="AA3" s="383">
        <v>636</v>
      </c>
      <c r="AB3" s="383">
        <v>637</v>
      </c>
      <c r="AC3" s="383">
        <v>640</v>
      </c>
      <c r="AD3" s="383">
        <v>642</v>
      </c>
      <c r="AE3" s="383">
        <v>743</v>
      </c>
      <c r="AF3" s="364">
        <v>745</v>
      </c>
      <c r="AG3" s="364">
        <v>746</v>
      </c>
      <c r="AH3" s="674">
        <v>930</v>
      </c>
      <c r="AI3" s="690"/>
    </row>
    <row r="4" spans="1:35" ht="36.6" outlineLevel="1" thickBot="1" x14ac:dyDescent="0.35">
      <c r="A4" s="381">
        <v>2015</v>
      </c>
      <c r="B4" s="508"/>
      <c r="C4" s="365" t="s">
        <v>207</v>
      </c>
      <c r="D4" s="366" t="s">
        <v>208</v>
      </c>
      <c r="E4" s="366" t="s">
        <v>209</v>
      </c>
      <c r="F4" s="384" t="s">
        <v>237</v>
      </c>
      <c r="G4" s="384" t="s">
        <v>238</v>
      </c>
      <c r="H4" s="384" t="s">
        <v>305</v>
      </c>
      <c r="I4" s="384" t="s">
        <v>239</v>
      </c>
      <c r="J4" s="384" t="s">
        <v>240</v>
      </c>
      <c r="K4" s="384" t="s">
        <v>241</v>
      </c>
      <c r="L4" s="384" t="s">
        <v>242</v>
      </c>
      <c r="M4" s="384" t="s">
        <v>243</v>
      </c>
      <c r="N4" s="384" t="s">
        <v>244</v>
      </c>
      <c r="O4" s="384" t="s">
        <v>245</v>
      </c>
      <c r="P4" s="384" t="s">
        <v>246</v>
      </c>
      <c r="Q4" s="384" t="s">
        <v>247</v>
      </c>
      <c r="R4" s="384" t="s">
        <v>248</v>
      </c>
      <c r="S4" s="384" t="s">
        <v>249</v>
      </c>
      <c r="T4" s="384" t="s">
        <v>250</v>
      </c>
      <c r="U4" s="384" t="s">
        <v>251</v>
      </c>
      <c r="V4" s="384" t="s">
        <v>252</v>
      </c>
      <c r="W4" s="384" t="s">
        <v>253</v>
      </c>
      <c r="X4" s="384" t="s">
        <v>262</v>
      </c>
      <c r="Y4" s="384" t="s">
        <v>254</v>
      </c>
      <c r="Z4" s="384" t="s">
        <v>263</v>
      </c>
      <c r="AA4" s="384" t="s">
        <v>255</v>
      </c>
      <c r="AB4" s="384" t="s">
        <v>256</v>
      </c>
      <c r="AC4" s="384" t="s">
        <v>257</v>
      </c>
      <c r="AD4" s="384" t="s">
        <v>258</v>
      </c>
      <c r="AE4" s="384" t="s">
        <v>259</v>
      </c>
      <c r="AF4" s="366" t="s">
        <v>260</v>
      </c>
      <c r="AG4" s="366" t="s">
        <v>261</v>
      </c>
      <c r="AH4" s="675" t="s">
        <v>227</v>
      </c>
      <c r="AI4" s="690"/>
    </row>
    <row r="5" spans="1:35" x14ac:dyDescent="0.3">
      <c r="A5" s="367" t="s">
        <v>210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676"/>
      <c r="AI5" s="690"/>
    </row>
    <row r="6" spans="1:35" ht="15" collapsed="1" thickBot="1" x14ac:dyDescent="0.35">
      <c r="A6" s="368" t="s">
        <v>81</v>
      </c>
      <c r="B6" s="406">
        <f xml:space="preserve">
TRUNC(IF($A$4&lt;=12,SUMIFS('ON Data'!F:F,'ON Data'!$D:$D,$A$4,'ON Data'!$E:$E,1),SUMIFS('ON Data'!F:F,'ON Data'!$E:$E,1)/'ON Data'!$D$3),1)</f>
        <v>66.400000000000006</v>
      </c>
      <c r="C6" s="407">
        <f xml:space="preserve">
TRUNC(IF($A$4&lt;=12,SUMIFS('ON Data'!G:G,'ON Data'!$D:$D,$A$4,'ON Data'!$E:$E,1),SUMIFS('ON Data'!G:G,'ON Data'!$E:$E,1)/'ON Data'!$D$3),1)</f>
        <v>0</v>
      </c>
      <c r="D6" s="408">
        <f xml:space="preserve">
TRUNC(IF($A$4&lt;=12,SUMIFS('ON Data'!H:H,'ON Data'!$D:$D,$A$4,'ON Data'!$E:$E,1),SUMIFS('ON Data'!H:H,'ON Data'!$E:$E,1)/'ON Data'!$D$3),1)</f>
        <v>9.5</v>
      </c>
      <c r="E6" s="408">
        <f xml:space="preserve">
TRUNC(IF($A$4&lt;=12,SUMIFS('ON Data'!I:I,'ON Data'!$D:$D,$A$4,'ON Data'!$E:$E,1),SUMIFS('ON Data'!I:I,'ON Data'!$E:$E,1)/'ON Data'!$D$3),1)</f>
        <v>0</v>
      </c>
      <c r="F6" s="408">
        <f xml:space="preserve">
TRUNC(IF($A$4&lt;=12,SUMIFS('ON Data'!K:K,'ON Data'!$D:$D,$A$4,'ON Data'!$E:$E,1),SUMIFS('ON Data'!K:K,'ON Data'!$E:$E,1)/'ON Data'!$D$3),1)</f>
        <v>50.6</v>
      </c>
      <c r="G6" s="408">
        <f xml:space="preserve">
TRUNC(IF($A$4&lt;=12,SUMIFS('ON Data'!L:L,'ON Data'!$D:$D,$A$4,'ON Data'!$E:$E,1),SUMIFS('ON Data'!L:L,'ON Data'!$E:$E,1)/'ON Data'!$D$3),1)</f>
        <v>1.3</v>
      </c>
      <c r="H6" s="408">
        <f xml:space="preserve">
TRUNC(IF($A$4&lt;=12,SUMIFS('ON Data'!M:M,'ON Data'!$D:$D,$A$4,'ON Data'!$E:$E,1),SUMIFS('ON Data'!M:M,'ON Data'!$E:$E,1)/'ON Data'!$D$3),1)</f>
        <v>0</v>
      </c>
      <c r="I6" s="408">
        <f xml:space="preserve">
TRUNC(IF($A$4&lt;=12,SUMIFS('ON Data'!N:N,'ON Data'!$D:$D,$A$4,'ON Data'!$E:$E,1),SUMIFS('ON Data'!N:N,'ON Data'!$E:$E,1)/'ON Data'!$D$3),1)</f>
        <v>0</v>
      </c>
      <c r="J6" s="408">
        <f xml:space="preserve">
TRUNC(IF($A$4&lt;=12,SUMIFS('ON Data'!O:O,'ON Data'!$D:$D,$A$4,'ON Data'!$E:$E,1),SUMIFS('ON Data'!O:O,'ON Data'!$E:$E,1)/'ON Data'!$D$3),1)</f>
        <v>0</v>
      </c>
      <c r="K6" s="408">
        <f xml:space="preserve">
TRUNC(IF($A$4&lt;=12,SUMIFS('ON Data'!P:P,'ON Data'!$D:$D,$A$4,'ON Data'!$E:$E,1),SUMIFS('ON Data'!P:P,'ON Data'!$E:$E,1)/'ON Data'!$D$3),1)</f>
        <v>0</v>
      </c>
      <c r="L6" s="408">
        <f xml:space="preserve">
TRUNC(IF($A$4&lt;=12,SUMIFS('ON Data'!Q:Q,'ON Data'!$D:$D,$A$4,'ON Data'!$E:$E,1),SUMIFS('ON Data'!Q:Q,'ON Data'!$E:$E,1)/'ON Data'!$D$3),1)</f>
        <v>0</v>
      </c>
      <c r="M6" s="408">
        <f xml:space="preserve">
TRUNC(IF($A$4&lt;=12,SUMIFS('ON Data'!R:R,'ON Data'!$D:$D,$A$4,'ON Data'!$E:$E,1),SUMIFS('ON Data'!R:R,'ON Data'!$E:$E,1)/'ON Data'!$D$3),1)</f>
        <v>0</v>
      </c>
      <c r="N6" s="408">
        <f xml:space="preserve">
TRUNC(IF($A$4&lt;=12,SUMIFS('ON Data'!S:S,'ON Data'!$D:$D,$A$4,'ON Data'!$E:$E,1),SUMIFS('ON Data'!S:S,'ON Data'!$E:$E,1)/'ON Data'!$D$3),1)</f>
        <v>0</v>
      </c>
      <c r="O6" s="408">
        <f xml:space="preserve">
TRUNC(IF($A$4&lt;=12,SUMIFS('ON Data'!T:T,'ON Data'!$D:$D,$A$4,'ON Data'!$E:$E,1),SUMIFS('ON Data'!T:T,'ON Data'!$E:$E,1)/'ON Data'!$D$3),1)</f>
        <v>0</v>
      </c>
      <c r="P6" s="408">
        <f xml:space="preserve">
TRUNC(IF($A$4&lt;=12,SUMIFS('ON Data'!U:U,'ON Data'!$D:$D,$A$4,'ON Data'!$E:$E,1),SUMIFS('ON Data'!U:U,'ON Data'!$E:$E,1)/'ON Data'!$D$3),1)</f>
        <v>0</v>
      </c>
      <c r="Q6" s="408">
        <f xml:space="preserve">
TRUNC(IF($A$4&lt;=12,SUMIFS('ON Data'!V:V,'ON Data'!$D:$D,$A$4,'ON Data'!$E:$E,1),SUMIFS('ON Data'!V:V,'ON Data'!$E:$E,1)/'ON Data'!$D$3),1)</f>
        <v>0</v>
      </c>
      <c r="R6" s="408">
        <f xml:space="preserve">
TRUNC(IF($A$4&lt;=12,SUMIFS('ON Data'!W:W,'ON Data'!$D:$D,$A$4,'ON Data'!$E:$E,1),SUMIFS('ON Data'!W:W,'ON Data'!$E:$E,1)/'ON Data'!$D$3),1)</f>
        <v>0</v>
      </c>
      <c r="S6" s="408">
        <f xml:space="preserve">
TRUNC(IF($A$4&lt;=12,SUMIFS('ON Data'!X:X,'ON Data'!$D:$D,$A$4,'ON Data'!$E:$E,1),SUMIFS('ON Data'!X:X,'ON Data'!$E:$E,1)/'ON Data'!$D$3),1)</f>
        <v>0</v>
      </c>
      <c r="T6" s="408">
        <f xml:space="preserve">
TRUNC(IF($A$4&lt;=12,SUMIFS('ON Data'!Y:Y,'ON Data'!$D:$D,$A$4,'ON Data'!$E:$E,1),SUMIFS('ON Data'!Y:Y,'ON Data'!$E:$E,1)/'ON Data'!$D$3),1)</f>
        <v>0</v>
      </c>
      <c r="U6" s="408">
        <f xml:space="preserve">
TRUNC(IF($A$4&lt;=12,SUMIFS('ON Data'!Z:Z,'ON Data'!$D:$D,$A$4,'ON Data'!$E:$E,1),SUMIFS('ON Data'!Z:Z,'ON Data'!$E:$E,1)/'ON Data'!$D$3),1)</f>
        <v>0</v>
      </c>
      <c r="V6" s="408">
        <f xml:space="preserve">
TRUNC(IF($A$4&lt;=12,SUMIFS('ON Data'!AA:AA,'ON Data'!$D:$D,$A$4,'ON Data'!$E:$E,1),SUMIFS('ON Data'!AA:AA,'ON Data'!$E:$E,1)/'ON Data'!$D$3),1)</f>
        <v>0</v>
      </c>
      <c r="W6" s="408">
        <f xml:space="preserve">
TRUNC(IF($A$4&lt;=12,SUMIFS('ON Data'!AB:AB,'ON Data'!$D:$D,$A$4,'ON Data'!$E:$E,1),SUMIFS('ON Data'!AB:AB,'ON Data'!$E:$E,1)/'ON Data'!$D$3),1)</f>
        <v>0</v>
      </c>
      <c r="X6" s="408">
        <f xml:space="preserve">
TRUNC(IF($A$4&lt;=12,SUMIFS('ON Data'!AC:AC,'ON Data'!$D:$D,$A$4,'ON Data'!$E:$E,1),SUMIFS('ON Data'!AC:AC,'ON Data'!$E:$E,1)/'ON Data'!$D$3),1)</f>
        <v>0</v>
      </c>
      <c r="Y6" s="408">
        <f xml:space="preserve">
TRUNC(IF($A$4&lt;=12,SUMIFS('ON Data'!AD:AD,'ON Data'!$D:$D,$A$4,'ON Data'!$E:$E,1),SUMIFS('ON Data'!AD:AD,'ON Data'!$E:$E,1)/'ON Data'!$D$3),1)</f>
        <v>0</v>
      </c>
      <c r="Z6" s="408">
        <f xml:space="preserve">
TRUNC(IF($A$4&lt;=12,SUMIFS('ON Data'!AE:AE,'ON Data'!$D:$D,$A$4,'ON Data'!$E:$E,1),SUMIFS('ON Data'!AE:AE,'ON Data'!$E:$E,1)/'ON Data'!$D$3),1)</f>
        <v>0</v>
      </c>
      <c r="AA6" s="408">
        <f xml:space="preserve">
TRUNC(IF($A$4&lt;=12,SUMIFS('ON Data'!AF:AF,'ON Data'!$D:$D,$A$4,'ON Data'!$E:$E,1),SUMIFS('ON Data'!AF:AF,'ON Data'!$E:$E,1)/'ON Data'!$D$3),1)</f>
        <v>0</v>
      </c>
      <c r="AB6" s="408">
        <f xml:space="preserve">
TRUNC(IF($A$4&lt;=12,SUMIFS('ON Data'!AG:AG,'ON Data'!$D:$D,$A$4,'ON Data'!$E:$E,1),SUMIFS('ON Data'!AG:AG,'ON Data'!$E:$E,1)/'ON Data'!$D$3),1)</f>
        <v>0</v>
      </c>
      <c r="AC6" s="408">
        <f xml:space="preserve">
TRUNC(IF($A$4&lt;=12,SUMIFS('ON Data'!AH:AH,'ON Data'!$D:$D,$A$4,'ON Data'!$E:$E,1),SUMIFS('ON Data'!AH:AH,'ON Data'!$E:$E,1)/'ON Data'!$D$3),1)</f>
        <v>0</v>
      </c>
      <c r="AD6" s="408">
        <f xml:space="preserve">
TRUNC(IF($A$4&lt;=12,SUMIFS('ON Data'!AI:AI,'ON Data'!$D:$D,$A$4,'ON Data'!$E:$E,1),SUMIFS('ON Data'!AI:AI,'ON Data'!$E:$E,1)/'ON Data'!$D$3),1)</f>
        <v>4</v>
      </c>
      <c r="AE6" s="408">
        <f xml:space="preserve">
TRUNC(IF($A$4&lt;=12,SUMIFS('ON Data'!AJ:AJ,'ON Data'!$D:$D,$A$4,'ON Data'!$E:$E,1),SUMIFS('ON Data'!AJ:AJ,'ON Data'!$E:$E,1)/'ON Data'!$D$3),1)</f>
        <v>0</v>
      </c>
      <c r="AF6" s="408">
        <f xml:space="preserve">
TRUNC(IF($A$4&lt;=12,SUMIFS('ON Data'!AK:AK,'ON Data'!$D:$D,$A$4,'ON Data'!$E:$E,1),SUMIFS('ON Data'!AK:AK,'ON Data'!$E:$E,1)/'ON Data'!$D$3),1)</f>
        <v>0</v>
      </c>
      <c r="AG6" s="408">
        <f xml:space="preserve">
TRUNC(IF($A$4&lt;=12,SUMIFS('ON Data'!AL:AL,'ON Data'!$D:$D,$A$4,'ON Data'!$E:$E,1),SUMIFS('ON Data'!AL:AL,'ON Data'!$E:$E,1)/'ON Data'!$D$3),1)</f>
        <v>0</v>
      </c>
      <c r="AH6" s="677">
        <f xml:space="preserve">
TRUNC(IF($A$4&lt;=12,SUMIFS('ON Data'!AN:AN,'ON Data'!$D:$D,$A$4,'ON Data'!$E:$E,1),SUMIFS('ON Data'!AN:AN,'ON Data'!$E:$E,1)/'ON Data'!$D$3),1)</f>
        <v>1</v>
      </c>
      <c r="AI6" s="690"/>
    </row>
    <row r="7" spans="1:35" ht="15" hidden="1" outlineLevel="1" thickBot="1" x14ac:dyDescent="0.35">
      <c r="A7" s="368" t="s">
        <v>118</v>
      </c>
      <c r="B7" s="406"/>
      <c r="C7" s="409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677"/>
      <c r="AI7" s="690"/>
    </row>
    <row r="8" spans="1:35" ht="15" hidden="1" outlineLevel="1" thickBot="1" x14ac:dyDescent="0.35">
      <c r="A8" s="368" t="s">
        <v>83</v>
      </c>
      <c r="B8" s="406"/>
      <c r="C8" s="409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677"/>
      <c r="AI8" s="690"/>
    </row>
    <row r="9" spans="1:35" ht="15" hidden="1" outlineLevel="1" thickBot="1" x14ac:dyDescent="0.35">
      <c r="A9" s="369" t="s">
        <v>56</v>
      </c>
      <c r="B9" s="410"/>
      <c r="C9" s="411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678"/>
      <c r="AI9" s="690"/>
    </row>
    <row r="10" spans="1:35" x14ac:dyDescent="0.3">
      <c r="A10" s="370" t="s">
        <v>211</v>
      </c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679"/>
      <c r="AI10" s="690"/>
    </row>
    <row r="11" spans="1:35" x14ac:dyDescent="0.3">
      <c r="A11" s="371" t="s">
        <v>212</v>
      </c>
      <c r="B11" s="388">
        <f xml:space="preserve">
IF($A$4&lt;=12,SUMIFS('ON Data'!F:F,'ON Data'!$D:$D,$A$4,'ON Data'!$E:$E,2),SUMIFS('ON Data'!F:F,'ON Data'!$E:$E,2))</f>
        <v>46345.75</v>
      </c>
      <c r="C11" s="389">
        <f xml:space="preserve">
IF($A$4&lt;=12,SUMIFS('ON Data'!G:G,'ON Data'!$D:$D,$A$4,'ON Data'!$E:$E,2),SUMIFS('ON Data'!G:G,'ON Data'!$E:$E,2))</f>
        <v>0</v>
      </c>
      <c r="D11" s="390">
        <f xml:space="preserve">
IF($A$4&lt;=12,SUMIFS('ON Data'!H:H,'ON Data'!$D:$D,$A$4,'ON Data'!$E:$E,2),SUMIFS('ON Data'!H:H,'ON Data'!$E:$E,2))</f>
        <v>7548</v>
      </c>
      <c r="E11" s="390">
        <f xml:space="preserve">
IF($A$4&lt;=12,SUMIFS('ON Data'!I:I,'ON Data'!$D:$D,$A$4,'ON Data'!$E:$E,2),SUMIFS('ON Data'!I:I,'ON Data'!$E:$E,2))</f>
        <v>0</v>
      </c>
      <c r="F11" s="390">
        <f xml:space="preserve">
IF($A$4&lt;=12,SUMIFS('ON Data'!K:K,'ON Data'!$D:$D,$A$4,'ON Data'!$E:$E,2),SUMIFS('ON Data'!K:K,'ON Data'!$E:$E,2))</f>
        <v>35397.75</v>
      </c>
      <c r="G11" s="390">
        <f xml:space="preserve">
IF($A$4&lt;=12,SUMIFS('ON Data'!L:L,'ON Data'!$D:$D,$A$4,'ON Data'!$E:$E,2),SUMIFS('ON Data'!L:L,'ON Data'!$E:$E,2))</f>
        <v>324</v>
      </c>
      <c r="H11" s="390">
        <f xml:space="preserve">
IF($A$4&lt;=12,SUMIFS('ON Data'!M:M,'ON Data'!$D:$D,$A$4,'ON Data'!$E:$E,2),SUMIFS('ON Data'!M:M,'ON Data'!$E:$E,2))</f>
        <v>0</v>
      </c>
      <c r="I11" s="390">
        <f xml:space="preserve">
IF($A$4&lt;=12,SUMIFS('ON Data'!N:N,'ON Data'!$D:$D,$A$4,'ON Data'!$E:$E,2),SUMIFS('ON Data'!N:N,'ON Data'!$E:$E,2))</f>
        <v>0</v>
      </c>
      <c r="J11" s="390">
        <f xml:space="preserve">
IF($A$4&lt;=12,SUMIFS('ON Data'!O:O,'ON Data'!$D:$D,$A$4,'ON Data'!$E:$E,2),SUMIFS('ON Data'!O:O,'ON Data'!$E:$E,2))</f>
        <v>0</v>
      </c>
      <c r="K11" s="390">
        <f xml:space="preserve">
IF($A$4&lt;=12,SUMIFS('ON Data'!P:P,'ON Data'!$D:$D,$A$4,'ON Data'!$E:$E,2),SUMIFS('ON Data'!P:P,'ON Data'!$E:$E,2))</f>
        <v>0</v>
      </c>
      <c r="L11" s="390">
        <f xml:space="preserve">
IF($A$4&lt;=12,SUMIFS('ON Data'!Q:Q,'ON Data'!$D:$D,$A$4,'ON Data'!$E:$E,2),SUMIFS('ON Data'!Q:Q,'ON Data'!$E:$E,2))</f>
        <v>0</v>
      </c>
      <c r="M11" s="390">
        <f xml:space="preserve">
IF($A$4&lt;=12,SUMIFS('ON Data'!R:R,'ON Data'!$D:$D,$A$4,'ON Data'!$E:$E,2),SUMIFS('ON Data'!R:R,'ON Data'!$E:$E,2))</f>
        <v>0</v>
      </c>
      <c r="N11" s="390">
        <f xml:space="preserve">
IF($A$4&lt;=12,SUMIFS('ON Data'!S:S,'ON Data'!$D:$D,$A$4,'ON Data'!$E:$E,2),SUMIFS('ON Data'!S:S,'ON Data'!$E:$E,2))</f>
        <v>0</v>
      </c>
      <c r="O11" s="390">
        <f xml:space="preserve">
IF($A$4&lt;=12,SUMIFS('ON Data'!T:T,'ON Data'!$D:$D,$A$4,'ON Data'!$E:$E,2),SUMIFS('ON Data'!T:T,'ON Data'!$E:$E,2))</f>
        <v>0</v>
      </c>
      <c r="P11" s="390">
        <f xml:space="preserve">
IF($A$4&lt;=12,SUMIFS('ON Data'!U:U,'ON Data'!$D:$D,$A$4,'ON Data'!$E:$E,2),SUMIFS('ON Data'!U:U,'ON Data'!$E:$E,2))</f>
        <v>0</v>
      </c>
      <c r="Q11" s="390">
        <f xml:space="preserve">
IF($A$4&lt;=12,SUMIFS('ON Data'!V:V,'ON Data'!$D:$D,$A$4,'ON Data'!$E:$E,2),SUMIFS('ON Data'!V:V,'ON Data'!$E:$E,2))</f>
        <v>0</v>
      </c>
      <c r="R11" s="390">
        <f xml:space="preserve">
IF($A$4&lt;=12,SUMIFS('ON Data'!W:W,'ON Data'!$D:$D,$A$4,'ON Data'!$E:$E,2),SUMIFS('ON Data'!W:W,'ON Data'!$E:$E,2))</f>
        <v>0</v>
      </c>
      <c r="S11" s="390">
        <f xml:space="preserve">
IF($A$4&lt;=12,SUMIFS('ON Data'!X:X,'ON Data'!$D:$D,$A$4,'ON Data'!$E:$E,2),SUMIFS('ON Data'!X:X,'ON Data'!$E:$E,2))</f>
        <v>0</v>
      </c>
      <c r="T11" s="390">
        <f xml:space="preserve">
IF($A$4&lt;=12,SUMIFS('ON Data'!Y:Y,'ON Data'!$D:$D,$A$4,'ON Data'!$E:$E,2),SUMIFS('ON Data'!Y:Y,'ON Data'!$E:$E,2))</f>
        <v>0</v>
      </c>
      <c r="U11" s="390">
        <f xml:space="preserve">
IF($A$4&lt;=12,SUMIFS('ON Data'!Z:Z,'ON Data'!$D:$D,$A$4,'ON Data'!$E:$E,2),SUMIFS('ON Data'!Z:Z,'ON Data'!$E:$E,2))</f>
        <v>0</v>
      </c>
      <c r="V11" s="390">
        <f xml:space="preserve">
IF($A$4&lt;=12,SUMIFS('ON Data'!AA:AA,'ON Data'!$D:$D,$A$4,'ON Data'!$E:$E,2),SUMIFS('ON Data'!AA:AA,'ON Data'!$E:$E,2))</f>
        <v>0</v>
      </c>
      <c r="W11" s="390">
        <f xml:space="preserve">
IF($A$4&lt;=12,SUMIFS('ON Data'!AB:AB,'ON Data'!$D:$D,$A$4,'ON Data'!$E:$E,2),SUMIFS('ON Data'!AB:AB,'ON Data'!$E:$E,2))</f>
        <v>0</v>
      </c>
      <c r="X11" s="390">
        <f xml:space="preserve">
IF($A$4&lt;=12,SUMIFS('ON Data'!AC:AC,'ON Data'!$D:$D,$A$4,'ON Data'!$E:$E,2),SUMIFS('ON Data'!AC:AC,'ON Data'!$E:$E,2))</f>
        <v>0</v>
      </c>
      <c r="Y11" s="390">
        <f xml:space="preserve">
IF($A$4&lt;=12,SUMIFS('ON Data'!AD:AD,'ON Data'!$D:$D,$A$4,'ON Data'!$E:$E,2),SUMIFS('ON Data'!AD:AD,'ON Data'!$E:$E,2))</f>
        <v>0</v>
      </c>
      <c r="Z11" s="390">
        <f xml:space="preserve">
IF($A$4&lt;=12,SUMIFS('ON Data'!AE:AE,'ON Data'!$D:$D,$A$4,'ON Data'!$E:$E,2),SUMIFS('ON Data'!AE:AE,'ON Data'!$E:$E,2))</f>
        <v>0</v>
      </c>
      <c r="AA11" s="390">
        <f xml:space="preserve">
IF($A$4&lt;=12,SUMIFS('ON Data'!AF:AF,'ON Data'!$D:$D,$A$4,'ON Data'!$E:$E,2),SUMIFS('ON Data'!AF:AF,'ON Data'!$E:$E,2))</f>
        <v>0</v>
      </c>
      <c r="AB11" s="390">
        <f xml:space="preserve">
IF($A$4&lt;=12,SUMIFS('ON Data'!AG:AG,'ON Data'!$D:$D,$A$4,'ON Data'!$E:$E,2),SUMIFS('ON Data'!AG:AG,'ON Data'!$E:$E,2))</f>
        <v>0</v>
      </c>
      <c r="AC11" s="390">
        <f xml:space="preserve">
IF($A$4&lt;=12,SUMIFS('ON Data'!AH:AH,'ON Data'!$D:$D,$A$4,'ON Data'!$E:$E,2),SUMIFS('ON Data'!AH:AH,'ON Data'!$E:$E,2))</f>
        <v>0</v>
      </c>
      <c r="AD11" s="390">
        <f xml:space="preserve">
IF($A$4&lt;=12,SUMIFS('ON Data'!AI:AI,'ON Data'!$D:$D,$A$4,'ON Data'!$E:$E,2),SUMIFS('ON Data'!AI:AI,'ON Data'!$E:$E,2))</f>
        <v>2284</v>
      </c>
      <c r="AE11" s="390">
        <f xml:space="preserve">
IF($A$4&lt;=12,SUMIFS('ON Data'!AJ:AJ,'ON Data'!$D:$D,$A$4,'ON Data'!$E:$E,2),SUMIFS('ON Data'!AJ:AJ,'ON Data'!$E:$E,2))</f>
        <v>0</v>
      </c>
      <c r="AF11" s="390">
        <f xml:space="preserve">
IF($A$4&lt;=12,SUMIFS('ON Data'!AK:AK,'ON Data'!$D:$D,$A$4,'ON Data'!$E:$E,2),SUMIFS('ON Data'!AK:AK,'ON Data'!$E:$E,2))</f>
        <v>0</v>
      </c>
      <c r="AG11" s="390">
        <f xml:space="preserve">
IF($A$4&lt;=12,SUMIFS('ON Data'!AL:AL,'ON Data'!$D:$D,$A$4,'ON Data'!$E:$E,2),SUMIFS('ON Data'!AL:AL,'ON Data'!$E:$E,2))</f>
        <v>0</v>
      </c>
      <c r="AH11" s="680">
        <f xml:space="preserve">
IF($A$4&lt;=12,SUMIFS('ON Data'!AN:AN,'ON Data'!$D:$D,$A$4,'ON Data'!$E:$E,2),SUMIFS('ON Data'!AN:AN,'ON Data'!$E:$E,2))</f>
        <v>792</v>
      </c>
      <c r="AI11" s="690"/>
    </row>
    <row r="12" spans="1:35" x14ac:dyDescent="0.3">
      <c r="A12" s="371" t="s">
        <v>213</v>
      </c>
      <c r="B12" s="388">
        <f xml:space="preserve">
IF($A$4&lt;=12,SUMIFS('ON Data'!F:F,'ON Data'!$D:$D,$A$4,'ON Data'!$E:$E,3),SUMIFS('ON Data'!F:F,'ON Data'!$E:$E,3))</f>
        <v>3102.5</v>
      </c>
      <c r="C12" s="389">
        <f xml:space="preserve">
IF($A$4&lt;=12,SUMIFS('ON Data'!G:G,'ON Data'!$D:$D,$A$4,'ON Data'!$E:$E,3),SUMIFS('ON Data'!G:G,'ON Data'!$E:$E,3))</f>
        <v>0</v>
      </c>
      <c r="D12" s="390">
        <f xml:space="preserve">
IF($A$4&lt;=12,SUMIFS('ON Data'!H:H,'ON Data'!$D:$D,$A$4,'ON Data'!$E:$E,3),SUMIFS('ON Data'!H:H,'ON Data'!$E:$E,3))</f>
        <v>89</v>
      </c>
      <c r="E12" s="390">
        <f xml:space="preserve">
IF($A$4&lt;=12,SUMIFS('ON Data'!I:I,'ON Data'!$D:$D,$A$4,'ON Data'!$E:$E,3),SUMIFS('ON Data'!I:I,'ON Data'!$E:$E,3))</f>
        <v>0</v>
      </c>
      <c r="F12" s="390">
        <f xml:space="preserve">
IF($A$4&lt;=12,SUMIFS('ON Data'!K:K,'ON Data'!$D:$D,$A$4,'ON Data'!$E:$E,3),SUMIFS('ON Data'!K:K,'ON Data'!$E:$E,3))</f>
        <v>2878.5</v>
      </c>
      <c r="G12" s="390">
        <f xml:space="preserve">
IF($A$4&lt;=12,SUMIFS('ON Data'!L:L,'ON Data'!$D:$D,$A$4,'ON Data'!$E:$E,3),SUMIFS('ON Data'!L:L,'ON Data'!$E:$E,3))</f>
        <v>135</v>
      </c>
      <c r="H12" s="390">
        <f xml:space="preserve">
IF($A$4&lt;=12,SUMIFS('ON Data'!M:M,'ON Data'!$D:$D,$A$4,'ON Data'!$E:$E,3),SUMIFS('ON Data'!M:M,'ON Data'!$E:$E,3))</f>
        <v>0</v>
      </c>
      <c r="I12" s="390">
        <f xml:space="preserve">
IF($A$4&lt;=12,SUMIFS('ON Data'!N:N,'ON Data'!$D:$D,$A$4,'ON Data'!$E:$E,3),SUMIFS('ON Data'!N:N,'ON Data'!$E:$E,3))</f>
        <v>0</v>
      </c>
      <c r="J12" s="390">
        <f xml:space="preserve">
IF($A$4&lt;=12,SUMIFS('ON Data'!O:O,'ON Data'!$D:$D,$A$4,'ON Data'!$E:$E,3),SUMIFS('ON Data'!O:O,'ON Data'!$E:$E,3))</f>
        <v>0</v>
      </c>
      <c r="K12" s="390">
        <f xml:space="preserve">
IF($A$4&lt;=12,SUMIFS('ON Data'!P:P,'ON Data'!$D:$D,$A$4,'ON Data'!$E:$E,3),SUMIFS('ON Data'!P:P,'ON Data'!$E:$E,3))</f>
        <v>0</v>
      </c>
      <c r="L12" s="390">
        <f xml:space="preserve">
IF($A$4&lt;=12,SUMIFS('ON Data'!Q:Q,'ON Data'!$D:$D,$A$4,'ON Data'!$E:$E,3),SUMIFS('ON Data'!Q:Q,'ON Data'!$E:$E,3))</f>
        <v>0</v>
      </c>
      <c r="M12" s="390">
        <f xml:space="preserve">
IF($A$4&lt;=12,SUMIFS('ON Data'!R:R,'ON Data'!$D:$D,$A$4,'ON Data'!$E:$E,3),SUMIFS('ON Data'!R:R,'ON Data'!$E:$E,3))</f>
        <v>0</v>
      </c>
      <c r="N12" s="390">
        <f xml:space="preserve">
IF($A$4&lt;=12,SUMIFS('ON Data'!S:S,'ON Data'!$D:$D,$A$4,'ON Data'!$E:$E,3),SUMIFS('ON Data'!S:S,'ON Data'!$E:$E,3))</f>
        <v>0</v>
      </c>
      <c r="O12" s="390">
        <f xml:space="preserve">
IF($A$4&lt;=12,SUMIFS('ON Data'!T:T,'ON Data'!$D:$D,$A$4,'ON Data'!$E:$E,3),SUMIFS('ON Data'!T:T,'ON Data'!$E:$E,3))</f>
        <v>0</v>
      </c>
      <c r="P12" s="390">
        <f xml:space="preserve">
IF($A$4&lt;=12,SUMIFS('ON Data'!U:U,'ON Data'!$D:$D,$A$4,'ON Data'!$E:$E,3),SUMIFS('ON Data'!U:U,'ON Data'!$E:$E,3))</f>
        <v>0</v>
      </c>
      <c r="Q12" s="390">
        <f xml:space="preserve">
IF($A$4&lt;=12,SUMIFS('ON Data'!V:V,'ON Data'!$D:$D,$A$4,'ON Data'!$E:$E,3),SUMIFS('ON Data'!V:V,'ON Data'!$E:$E,3))</f>
        <v>0</v>
      </c>
      <c r="R12" s="390">
        <f xml:space="preserve">
IF($A$4&lt;=12,SUMIFS('ON Data'!W:W,'ON Data'!$D:$D,$A$4,'ON Data'!$E:$E,3),SUMIFS('ON Data'!W:W,'ON Data'!$E:$E,3))</f>
        <v>0</v>
      </c>
      <c r="S12" s="390">
        <f xml:space="preserve">
IF($A$4&lt;=12,SUMIFS('ON Data'!X:X,'ON Data'!$D:$D,$A$4,'ON Data'!$E:$E,3),SUMIFS('ON Data'!X:X,'ON Data'!$E:$E,3))</f>
        <v>0</v>
      </c>
      <c r="T12" s="390">
        <f xml:space="preserve">
IF($A$4&lt;=12,SUMIFS('ON Data'!Y:Y,'ON Data'!$D:$D,$A$4,'ON Data'!$E:$E,3),SUMIFS('ON Data'!Y:Y,'ON Data'!$E:$E,3))</f>
        <v>0</v>
      </c>
      <c r="U12" s="390">
        <f xml:space="preserve">
IF($A$4&lt;=12,SUMIFS('ON Data'!Z:Z,'ON Data'!$D:$D,$A$4,'ON Data'!$E:$E,3),SUMIFS('ON Data'!Z:Z,'ON Data'!$E:$E,3))</f>
        <v>0</v>
      </c>
      <c r="V12" s="390">
        <f xml:space="preserve">
IF($A$4&lt;=12,SUMIFS('ON Data'!AA:AA,'ON Data'!$D:$D,$A$4,'ON Data'!$E:$E,3),SUMIFS('ON Data'!AA:AA,'ON Data'!$E:$E,3))</f>
        <v>0</v>
      </c>
      <c r="W12" s="390">
        <f xml:space="preserve">
IF($A$4&lt;=12,SUMIFS('ON Data'!AB:AB,'ON Data'!$D:$D,$A$4,'ON Data'!$E:$E,3),SUMIFS('ON Data'!AB:AB,'ON Data'!$E:$E,3))</f>
        <v>0</v>
      </c>
      <c r="X12" s="390">
        <f xml:space="preserve">
IF($A$4&lt;=12,SUMIFS('ON Data'!AC:AC,'ON Data'!$D:$D,$A$4,'ON Data'!$E:$E,3),SUMIFS('ON Data'!AC:AC,'ON Data'!$E:$E,3))</f>
        <v>0</v>
      </c>
      <c r="Y12" s="390">
        <f xml:space="preserve">
IF($A$4&lt;=12,SUMIFS('ON Data'!AD:AD,'ON Data'!$D:$D,$A$4,'ON Data'!$E:$E,3),SUMIFS('ON Data'!AD:AD,'ON Data'!$E:$E,3))</f>
        <v>0</v>
      </c>
      <c r="Z12" s="390">
        <f xml:space="preserve">
IF($A$4&lt;=12,SUMIFS('ON Data'!AE:AE,'ON Data'!$D:$D,$A$4,'ON Data'!$E:$E,3),SUMIFS('ON Data'!AE:AE,'ON Data'!$E:$E,3))</f>
        <v>0</v>
      </c>
      <c r="AA12" s="390">
        <f xml:space="preserve">
IF($A$4&lt;=12,SUMIFS('ON Data'!AF:AF,'ON Data'!$D:$D,$A$4,'ON Data'!$E:$E,3),SUMIFS('ON Data'!AF:AF,'ON Data'!$E:$E,3))</f>
        <v>0</v>
      </c>
      <c r="AB12" s="390">
        <f xml:space="preserve">
IF($A$4&lt;=12,SUMIFS('ON Data'!AG:AG,'ON Data'!$D:$D,$A$4,'ON Data'!$E:$E,3),SUMIFS('ON Data'!AG:AG,'ON Data'!$E:$E,3))</f>
        <v>0</v>
      </c>
      <c r="AC12" s="390">
        <f xml:space="preserve">
IF($A$4&lt;=12,SUMIFS('ON Data'!AH:AH,'ON Data'!$D:$D,$A$4,'ON Data'!$E:$E,3),SUMIFS('ON Data'!AH:AH,'ON Data'!$E:$E,3))</f>
        <v>0</v>
      </c>
      <c r="AD12" s="390">
        <f xml:space="preserve">
IF($A$4&lt;=12,SUMIFS('ON Data'!AI:AI,'ON Data'!$D:$D,$A$4,'ON Data'!$E:$E,3),SUMIFS('ON Data'!AI:AI,'ON Data'!$E:$E,3))</f>
        <v>0</v>
      </c>
      <c r="AE12" s="390">
        <f xml:space="preserve">
IF($A$4&lt;=12,SUMIFS('ON Data'!AJ:AJ,'ON Data'!$D:$D,$A$4,'ON Data'!$E:$E,3),SUMIFS('ON Data'!AJ:AJ,'ON Data'!$E:$E,3))</f>
        <v>0</v>
      </c>
      <c r="AF12" s="390">
        <f xml:space="preserve">
IF($A$4&lt;=12,SUMIFS('ON Data'!AK:AK,'ON Data'!$D:$D,$A$4,'ON Data'!$E:$E,3),SUMIFS('ON Data'!AK:AK,'ON Data'!$E:$E,3))</f>
        <v>0</v>
      </c>
      <c r="AG12" s="390">
        <f xml:space="preserve">
IF($A$4&lt;=12,SUMIFS('ON Data'!AL:AL,'ON Data'!$D:$D,$A$4,'ON Data'!$E:$E,3),SUMIFS('ON Data'!AL:AL,'ON Data'!$E:$E,3))</f>
        <v>0</v>
      </c>
      <c r="AH12" s="680">
        <f xml:space="preserve">
IF($A$4&lt;=12,SUMIFS('ON Data'!AN:AN,'ON Data'!$D:$D,$A$4,'ON Data'!$E:$E,3),SUMIFS('ON Data'!AN:AN,'ON Data'!$E:$E,3))</f>
        <v>0</v>
      </c>
      <c r="AI12" s="690"/>
    </row>
    <row r="13" spans="1:35" x14ac:dyDescent="0.3">
      <c r="A13" s="371" t="s">
        <v>220</v>
      </c>
      <c r="B13" s="388">
        <f xml:space="preserve">
IF($A$4&lt;=12,SUMIFS('ON Data'!F:F,'ON Data'!$D:$D,$A$4,'ON Data'!$E:$E,4),SUMIFS('ON Data'!F:F,'ON Data'!$E:$E,4))</f>
        <v>3108.28</v>
      </c>
      <c r="C13" s="389">
        <f xml:space="preserve">
IF($A$4&lt;=12,SUMIFS('ON Data'!G:G,'ON Data'!$D:$D,$A$4,'ON Data'!$E:$E,4),SUMIFS('ON Data'!G:G,'ON Data'!$E:$E,4))</f>
        <v>0</v>
      </c>
      <c r="D13" s="390">
        <f xml:space="preserve">
IF($A$4&lt;=12,SUMIFS('ON Data'!H:H,'ON Data'!$D:$D,$A$4,'ON Data'!$E:$E,4),SUMIFS('ON Data'!H:H,'ON Data'!$E:$E,4))</f>
        <v>1323.88</v>
      </c>
      <c r="E13" s="390">
        <f xml:space="preserve">
IF($A$4&lt;=12,SUMIFS('ON Data'!I:I,'ON Data'!$D:$D,$A$4,'ON Data'!$E:$E,4),SUMIFS('ON Data'!I:I,'ON Data'!$E:$E,4))</f>
        <v>0</v>
      </c>
      <c r="F13" s="390">
        <f xml:space="preserve">
IF($A$4&lt;=12,SUMIFS('ON Data'!K:K,'ON Data'!$D:$D,$A$4,'ON Data'!$E:$E,4),SUMIFS('ON Data'!K:K,'ON Data'!$E:$E,4))</f>
        <v>1585.9</v>
      </c>
      <c r="G13" s="390">
        <f xml:space="preserve">
IF($A$4&lt;=12,SUMIFS('ON Data'!L:L,'ON Data'!$D:$D,$A$4,'ON Data'!$E:$E,4),SUMIFS('ON Data'!L:L,'ON Data'!$E:$E,4))</f>
        <v>0</v>
      </c>
      <c r="H13" s="390">
        <f xml:space="preserve">
IF($A$4&lt;=12,SUMIFS('ON Data'!M:M,'ON Data'!$D:$D,$A$4,'ON Data'!$E:$E,4),SUMIFS('ON Data'!M:M,'ON Data'!$E:$E,4))</f>
        <v>0</v>
      </c>
      <c r="I13" s="390">
        <f xml:space="preserve">
IF($A$4&lt;=12,SUMIFS('ON Data'!N:N,'ON Data'!$D:$D,$A$4,'ON Data'!$E:$E,4),SUMIFS('ON Data'!N:N,'ON Data'!$E:$E,4))</f>
        <v>0</v>
      </c>
      <c r="J13" s="390">
        <f xml:space="preserve">
IF($A$4&lt;=12,SUMIFS('ON Data'!O:O,'ON Data'!$D:$D,$A$4,'ON Data'!$E:$E,4),SUMIFS('ON Data'!O:O,'ON Data'!$E:$E,4))</f>
        <v>0</v>
      </c>
      <c r="K13" s="390">
        <f xml:space="preserve">
IF($A$4&lt;=12,SUMIFS('ON Data'!P:P,'ON Data'!$D:$D,$A$4,'ON Data'!$E:$E,4),SUMIFS('ON Data'!P:P,'ON Data'!$E:$E,4))</f>
        <v>0</v>
      </c>
      <c r="L13" s="390">
        <f xml:space="preserve">
IF($A$4&lt;=12,SUMIFS('ON Data'!Q:Q,'ON Data'!$D:$D,$A$4,'ON Data'!$E:$E,4),SUMIFS('ON Data'!Q:Q,'ON Data'!$E:$E,4))</f>
        <v>0</v>
      </c>
      <c r="M13" s="390">
        <f xml:space="preserve">
IF($A$4&lt;=12,SUMIFS('ON Data'!R:R,'ON Data'!$D:$D,$A$4,'ON Data'!$E:$E,4),SUMIFS('ON Data'!R:R,'ON Data'!$E:$E,4))</f>
        <v>0</v>
      </c>
      <c r="N13" s="390">
        <f xml:space="preserve">
IF($A$4&lt;=12,SUMIFS('ON Data'!S:S,'ON Data'!$D:$D,$A$4,'ON Data'!$E:$E,4),SUMIFS('ON Data'!S:S,'ON Data'!$E:$E,4))</f>
        <v>0</v>
      </c>
      <c r="O13" s="390">
        <f xml:space="preserve">
IF($A$4&lt;=12,SUMIFS('ON Data'!T:T,'ON Data'!$D:$D,$A$4,'ON Data'!$E:$E,4),SUMIFS('ON Data'!T:T,'ON Data'!$E:$E,4))</f>
        <v>0</v>
      </c>
      <c r="P13" s="390">
        <f xml:space="preserve">
IF($A$4&lt;=12,SUMIFS('ON Data'!U:U,'ON Data'!$D:$D,$A$4,'ON Data'!$E:$E,4),SUMIFS('ON Data'!U:U,'ON Data'!$E:$E,4))</f>
        <v>0</v>
      </c>
      <c r="Q13" s="390">
        <f xml:space="preserve">
IF($A$4&lt;=12,SUMIFS('ON Data'!V:V,'ON Data'!$D:$D,$A$4,'ON Data'!$E:$E,4),SUMIFS('ON Data'!V:V,'ON Data'!$E:$E,4))</f>
        <v>0</v>
      </c>
      <c r="R13" s="390">
        <f xml:space="preserve">
IF($A$4&lt;=12,SUMIFS('ON Data'!W:W,'ON Data'!$D:$D,$A$4,'ON Data'!$E:$E,4),SUMIFS('ON Data'!W:W,'ON Data'!$E:$E,4))</f>
        <v>0</v>
      </c>
      <c r="S13" s="390">
        <f xml:space="preserve">
IF($A$4&lt;=12,SUMIFS('ON Data'!X:X,'ON Data'!$D:$D,$A$4,'ON Data'!$E:$E,4),SUMIFS('ON Data'!X:X,'ON Data'!$E:$E,4))</f>
        <v>0</v>
      </c>
      <c r="T13" s="390">
        <f xml:space="preserve">
IF($A$4&lt;=12,SUMIFS('ON Data'!Y:Y,'ON Data'!$D:$D,$A$4,'ON Data'!$E:$E,4),SUMIFS('ON Data'!Y:Y,'ON Data'!$E:$E,4))</f>
        <v>0</v>
      </c>
      <c r="U13" s="390">
        <f xml:space="preserve">
IF($A$4&lt;=12,SUMIFS('ON Data'!Z:Z,'ON Data'!$D:$D,$A$4,'ON Data'!$E:$E,4),SUMIFS('ON Data'!Z:Z,'ON Data'!$E:$E,4))</f>
        <v>0</v>
      </c>
      <c r="V13" s="390">
        <f xml:space="preserve">
IF($A$4&lt;=12,SUMIFS('ON Data'!AA:AA,'ON Data'!$D:$D,$A$4,'ON Data'!$E:$E,4),SUMIFS('ON Data'!AA:AA,'ON Data'!$E:$E,4))</f>
        <v>0</v>
      </c>
      <c r="W13" s="390">
        <f xml:space="preserve">
IF($A$4&lt;=12,SUMIFS('ON Data'!AB:AB,'ON Data'!$D:$D,$A$4,'ON Data'!$E:$E,4),SUMIFS('ON Data'!AB:AB,'ON Data'!$E:$E,4))</f>
        <v>0</v>
      </c>
      <c r="X13" s="390">
        <f xml:space="preserve">
IF($A$4&lt;=12,SUMIFS('ON Data'!AC:AC,'ON Data'!$D:$D,$A$4,'ON Data'!$E:$E,4),SUMIFS('ON Data'!AC:AC,'ON Data'!$E:$E,4))</f>
        <v>0</v>
      </c>
      <c r="Y13" s="390">
        <f xml:space="preserve">
IF($A$4&lt;=12,SUMIFS('ON Data'!AD:AD,'ON Data'!$D:$D,$A$4,'ON Data'!$E:$E,4),SUMIFS('ON Data'!AD:AD,'ON Data'!$E:$E,4))</f>
        <v>0</v>
      </c>
      <c r="Z13" s="390">
        <f xml:space="preserve">
IF($A$4&lt;=12,SUMIFS('ON Data'!AE:AE,'ON Data'!$D:$D,$A$4,'ON Data'!$E:$E,4),SUMIFS('ON Data'!AE:AE,'ON Data'!$E:$E,4))</f>
        <v>0</v>
      </c>
      <c r="AA13" s="390">
        <f xml:space="preserve">
IF($A$4&lt;=12,SUMIFS('ON Data'!AF:AF,'ON Data'!$D:$D,$A$4,'ON Data'!$E:$E,4),SUMIFS('ON Data'!AF:AF,'ON Data'!$E:$E,4))</f>
        <v>0</v>
      </c>
      <c r="AB13" s="390">
        <f xml:space="preserve">
IF($A$4&lt;=12,SUMIFS('ON Data'!AG:AG,'ON Data'!$D:$D,$A$4,'ON Data'!$E:$E,4),SUMIFS('ON Data'!AG:AG,'ON Data'!$E:$E,4))</f>
        <v>0</v>
      </c>
      <c r="AC13" s="390">
        <f xml:space="preserve">
IF($A$4&lt;=12,SUMIFS('ON Data'!AH:AH,'ON Data'!$D:$D,$A$4,'ON Data'!$E:$E,4),SUMIFS('ON Data'!AH:AH,'ON Data'!$E:$E,4))</f>
        <v>0</v>
      </c>
      <c r="AD13" s="390">
        <f xml:space="preserve">
IF($A$4&lt;=12,SUMIFS('ON Data'!AI:AI,'ON Data'!$D:$D,$A$4,'ON Data'!$E:$E,4),SUMIFS('ON Data'!AI:AI,'ON Data'!$E:$E,4))</f>
        <v>198.5</v>
      </c>
      <c r="AE13" s="390">
        <f xml:space="preserve">
IF($A$4&lt;=12,SUMIFS('ON Data'!AJ:AJ,'ON Data'!$D:$D,$A$4,'ON Data'!$E:$E,4),SUMIFS('ON Data'!AJ:AJ,'ON Data'!$E:$E,4))</f>
        <v>0</v>
      </c>
      <c r="AF13" s="390">
        <f xml:space="preserve">
IF($A$4&lt;=12,SUMIFS('ON Data'!AK:AK,'ON Data'!$D:$D,$A$4,'ON Data'!$E:$E,4),SUMIFS('ON Data'!AK:AK,'ON Data'!$E:$E,4))</f>
        <v>0</v>
      </c>
      <c r="AG13" s="390">
        <f xml:space="preserve">
IF($A$4&lt;=12,SUMIFS('ON Data'!AL:AL,'ON Data'!$D:$D,$A$4,'ON Data'!$E:$E,4),SUMIFS('ON Data'!AL:AL,'ON Data'!$E:$E,4))</f>
        <v>0</v>
      </c>
      <c r="AH13" s="680">
        <f xml:space="preserve">
IF($A$4&lt;=12,SUMIFS('ON Data'!AN:AN,'ON Data'!$D:$D,$A$4,'ON Data'!$E:$E,4),SUMIFS('ON Data'!AN:AN,'ON Data'!$E:$E,4))</f>
        <v>0</v>
      </c>
      <c r="AI13" s="690"/>
    </row>
    <row r="14" spans="1:35" ht="15" thickBot="1" x14ac:dyDescent="0.35">
      <c r="A14" s="372" t="s">
        <v>214</v>
      </c>
      <c r="B14" s="391">
        <f xml:space="preserve">
IF($A$4&lt;=12,SUMIFS('ON Data'!F:F,'ON Data'!$D:$D,$A$4,'ON Data'!$E:$E,5),SUMIFS('ON Data'!F:F,'ON Data'!$E:$E,5))</f>
        <v>350.5</v>
      </c>
      <c r="C14" s="392">
        <f xml:space="preserve">
IF($A$4&lt;=12,SUMIFS('ON Data'!G:G,'ON Data'!$D:$D,$A$4,'ON Data'!$E:$E,5),SUMIFS('ON Data'!G:G,'ON Data'!$E:$E,5))</f>
        <v>350.5</v>
      </c>
      <c r="D14" s="393">
        <f xml:space="preserve">
IF($A$4&lt;=12,SUMIFS('ON Data'!H:H,'ON Data'!$D:$D,$A$4,'ON Data'!$E:$E,5),SUMIFS('ON Data'!H:H,'ON Data'!$E:$E,5))</f>
        <v>0</v>
      </c>
      <c r="E14" s="393">
        <f xml:space="preserve">
IF($A$4&lt;=12,SUMIFS('ON Data'!I:I,'ON Data'!$D:$D,$A$4,'ON Data'!$E:$E,5),SUMIFS('ON Data'!I:I,'ON Data'!$E:$E,5))</f>
        <v>0</v>
      </c>
      <c r="F14" s="393">
        <f xml:space="preserve">
IF($A$4&lt;=12,SUMIFS('ON Data'!K:K,'ON Data'!$D:$D,$A$4,'ON Data'!$E:$E,5),SUMIFS('ON Data'!K:K,'ON Data'!$E:$E,5))</f>
        <v>0</v>
      </c>
      <c r="G14" s="393">
        <f xml:space="preserve">
IF($A$4&lt;=12,SUMIFS('ON Data'!L:L,'ON Data'!$D:$D,$A$4,'ON Data'!$E:$E,5),SUMIFS('ON Data'!L:L,'ON Data'!$E:$E,5))</f>
        <v>0</v>
      </c>
      <c r="H14" s="393">
        <f xml:space="preserve">
IF($A$4&lt;=12,SUMIFS('ON Data'!M:M,'ON Data'!$D:$D,$A$4,'ON Data'!$E:$E,5),SUMIFS('ON Data'!M:M,'ON Data'!$E:$E,5))</f>
        <v>0</v>
      </c>
      <c r="I14" s="393">
        <f xml:space="preserve">
IF($A$4&lt;=12,SUMIFS('ON Data'!N:N,'ON Data'!$D:$D,$A$4,'ON Data'!$E:$E,5),SUMIFS('ON Data'!N:N,'ON Data'!$E:$E,5))</f>
        <v>0</v>
      </c>
      <c r="J14" s="393">
        <f xml:space="preserve">
IF($A$4&lt;=12,SUMIFS('ON Data'!O:O,'ON Data'!$D:$D,$A$4,'ON Data'!$E:$E,5),SUMIFS('ON Data'!O:O,'ON Data'!$E:$E,5))</f>
        <v>0</v>
      </c>
      <c r="K14" s="393">
        <f xml:space="preserve">
IF($A$4&lt;=12,SUMIFS('ON Data'!P:P,'ON Data'!$D:$D,$A$4,'ON Data'!$E:$E,5),SUMIFS('ON Data'!P:P,'ON Data'!$E:$E,5))</f>
        <v>0</v>
      </c>
      <c r="L14" s="393">
        <f xml:space="preserve">
IF($A$4&lt;=12,SUMIFS('ON Data'!Q:Q,'ON Data'!$D:$D,$A$4,'ON Data'!$E:$E,5),SUMIFS('ON Data'!Q:Q,'ON Data'!$E:$E,5))</f>
        <v>0</v>
      </c>
      <c r="M14" s="393">
        <f xml:space="preserve">
IF($A$4&lt;=12,SUMIFS('ON Data'!R:R,'ON Data'!$D:$D,$A$4,'ON Data'!$E:$E,5),SUMIFS('ON Data'!R:R,'ON Data'!$E:$E,5))</f>
        <v>0</v>
      </c>
      <c r="N14" s="393">
        <f xml:space="preserve">
IF($A$4&lt;=12,SUMIFS('ON Data'!S:S,'ON Data'!$D:$D,$A$4,'ON Data'!$E:$E,5),SUMIFS('ON Data'!S:S,'ON Data'!$E:$E,5))</f>
        <v>0</v>
      </c>
      <c r="O14" s="393">
        <f xml:space="preserve">
IF($A$4&lt;=12,SUMIFS('ON Data'!T:T,'ON Data'!$D:$D,$A$4,'ON Data'!$E:$E,5),SUMIFS('ON Data'!T:T,'ON Data'!$E:$E,5))</f>
        <v>0</v>
      </c>
      <c r="P14" s="393">
        <f xml:space="preserve">
IF($A$4&lt;=12,SUMIFS('ON Data'!U:U,'ON Data'!$D:$D,$A$4,'ON Data'!$E:$E,5),SUMIFS('ON Data'!U:U,'ON Data'!$E:$E,5))</f>
        <v>0</v>
      </c>
      <c r="Q14" s="393">
        <f xml:space="preserve">
IF($A$4&lt;=12,SUMIFS('ON Data'!V:V,'ON Data'!$D:$D,$A$4,'ON Data'!$E:$E,5),SUMIFS('ON Data'!V:V,'ON Data'!$E:$E,5))</f>
        <v>0</v>
      </c>
      <c r="R14" s="393">
        <f xml:space="preserve">
IF($A$4&lt;=12,SUMIFS('ON Data'!W:W,'ON Data'!$D:$D,$A$4,'ON Data'!$E:$E,5),SUMIFS('ON Data'!W:W,'ON Data'!$E:$E,5))</f>
        <v>0</v>
      </c>
      <c r="S14" s="393">
        <f xml:space="preserve">
IF($A$4&lt;=12,SUMIFS('ON Data'!X:X,'ON Data'!$D:$D,$A$4,'ON Data'!$E:$E,5),SUMIFS('ON Data'!X:X,'ON Data'!$E:$E,5))</f>
        <v>0</v>
      </c>
      <c r="T14" s="393">
        <f xml:space="preserve">
IF($A$4&lt;=12,SUMIFS('ON Data'!Y:Y,'ON Data'!$D:$D,$A$4,'ON Data'!$E:$E,5),SUMIFS('ON Data'!Y:Y,'ON Data'!$E:$E,5))</f>
        <v>0</v>
      </c>
      <c r="U14" s="393">
        <f xml:space="preserve">
IF($A$4&lt;=12,SUMIFS('ON Data'!Z:Z,'ON Data'!$D:$D,$A$4,'ON Data'!$E:$E,5),SUMIFS('ON Data'!Z:Z,'ON Data'!$E:$E,5))</f>
        <v>0</v>
      </c>
      <c r="V14" s="393">
        <f xml:space="preserve">
IF($A$4&lt;=12,SUMIFS('ON Data'!AA:AA,'ON Data'!$D:$D,$A$4,'ON Data'!$E:$E,5),SUMIFS('ON Data'!AA:AA,'ON Data'!$E:$E,5))</f>
        <v>0</v>
      </c>
      <c r="W14" s="393">
        <f xml:space="preserve">
IF($A$4&lt;=12,SUMIFS('ON Data'!AB:AB,'ON Data'!$D:$D,$A$4,'ON Data'!$E:$E,5),SUMIFS('ON Data'!AB:AB,'ON Data'!$E:$E,5))</f>
        <v>0</v>
      </c>
      <c r="X14" s="393">
        <f xml:space="preserve">
IF($A$4&lt;=12,SUMIFS('ON Data'!AC:AC,'ON Data'!$D:$D,$A$4,'ON Data'!$E:$E,5),SUMIFS('ON Data'!AC:AC,'ON Data'!$E:$E,5))</f>
        <v>0</v>
      </c>
      <c r="Y14" s="393">
        <f xml:space="preserve">
IF($A$4&lt;=12,SUMIFS('ON Data'!AD:AD,'ON Data'!$D:$D,$A$4,'ON Data'!$E:$E,5),SUMIFS('ON Data'!AD:AD,'ON Data'!$E:$E,5))</f>
        <v>0</v>
      </c>
      <c r="Z14" s="393">
        <f xml:space="preserve">
IF($A$4&lt;=12,SUMIFS('ON Data'!AE:AE,'ON Data'!$D:$D,$A$4,'ON Data'!$E:$E,5),SUMIFS('ON Data'!AE:AE,'ON Data'!$E:$E,5))</f>
        <v>0</v>
      </c>
      <c r="AA14" s="393">
        <f xml:space="preserve">
IF($A$4&lt;=12,SUMIFS('ON Data'!AF:AF,'ON Data'!$D:$D,$A$4,'ON Data'!$E:$E,5),SUMIFS('ON Data'!AF:AF,'ON Data'!$E:$E,5))</f>
        <v>0</v>
      </c>
      <c r="AB14" s="393">
        <f xml:space="preserve">
IF($A$4&lt;=12,SUMIFS('ON Data'!AG:AG,'ON Data'!$D:$D,$A$4,'ON Data'!$E:$E,5),SUMIFS('ON Data'!AG:AG,'ON Data'!$E:$E,5))</f>
        <v>0</v>
      </c>
      <c r="AC14" s="393">
        <f xml:space="preserve">
IF($A$4&lt;=12,SUMIFS('ON Data'!AH:AH,'ON Data'!$D:$D,$A$4,'ON Data'!$E:$E,5),SUMIFS('ON Data'!AH:AH,'ON Data'!$E:$E,5))</f>
        <v>0</v>
      </c>
      <c r="AD14" s="393">
        <f xml:space="preserve">
IF($A$4&lt;=12,SUMIFS('ON Data'!AI:AI,'ON Data'!$D:$D,$A$4,'ON Data'!$E:$E,5),SUMIFS('ON Data'!AI:AI,'ON Data'!$E:$E,5))</f>
        <v>0</v>
      </c>
      <c r="AE14" s="393">
        <f xml:space="preserve">
IF($A$4&lt;=12,SUMIFS('ON Data'!AJ:AJ,'ON Data'!$D:$D,$A$4,'ON Data'!$E:$E,5),SUMIFS('ON Data'!AJ:AJ,'ON Data'!$E:$E,5))</f>
        <v>0</v>
      </c>
      <c r="AF14" s="393">
        <f xml:space="preserve">
IF($A$4&lt;=12,SUMIFS('ON Data'!AK:AK,'ON Data'!$D:$D,$A$4,'ON Data'!$E:$E,5),SUMIFS('ON Data'!AK:AK,'ON Data'!$E:$E,5))</f>
        <v>0</v>
      </c>
      <c r="AG14" s="393">
        <f xml:space="preserve">
IF($A$4&lt;=12,SUMIFS('ON Data'!AL:AL,'ON Data'!$D:$D,$A$4,'ON Data'!$E:$E,5),SUMIFS('ON Data'!AL:AL,'ON Data'!$E:$E,5))</f>
        <v>0</v>
      </c>
      <c r="AH14" s="681">
        <f xml:space="preserve">
IF($A$4&lt;=12,SUMIFS('ON Data'!AN:AN,'ON Data'!$D:$D,$A$4,'ON Data'!$E:$E,5),SUMIFS('ON Data'!AN:AN,'ON Data'!$E:$E,5))</f>
        <v>0</v>
      </c>
      <c r="AI14" s="690"/>
    </row>
    <row r="15" spans="1:35" x14ac:dyDescent="0.3">
      <c r="A15" s="271" t="s">
        <v>224</v>
      </c>
      <c r="B15" s="394"/>
      <c r="C15" s="395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682"/>
      <c r="AI15" s="690"/>
    </row>
    <row r="16" spans="1:35" x14ac:dyDescent="0.3">
      <c r="A16" s="373" t="s">
        <v>215</v>
      </c>
      <c r="B16" s="388">
        <f xml:space="preserve">
IF($A$4&lt;=12,SUMIFS('ON Data'!F:F,'ON Data'!$D:$D,$A$4,'ON Data'!$E:$E,7),SUMIFS('ON Data'!F:F,'ON Data'!$E:$E,7))</f>
        <v>0</v>
      </c>
      <c r="C16" s="389">
        <f xml:space="preserve">
IF($A$4&lt;=12,SUMIFS('ON Data'!G:G,'ON Data'!$D:$D,$A$4,'ON Data'!$E:$E,7),SUMIFS('ON Data'!G:G,'ON Data'!$E:$E,7))</f>
        <v>0</v>
      </c>
      <c r="D16" s="390">
        <f xml:space="preserve">
IF($A$4&lt;=12,SUMIFS('ON Data'!H:H,'ON Data'!$D:$D,$A$4,'ON Data'!$E:$E,7),SUMIFS('ON Data'!H:H,'ON Data'!$E:$E,7))</f>
        <v>0</v>
      </c>
      <c r="E16" s="390">
        <f xml:space="preserve">
IF($A$4&lt;=12,SUMIFS('ON Data'!I:I,'ON Data'!$D:$D,$A$4,'ON Data'!$E:$E,7),SUMIFS('ON Data'!I:I,'ON Data'!$E:$E,7))</f>
        <v>0</v>
      </c>
      <c r="F16" s="390">
        <f xml:space="preserve">
IF($A$4&lt;=12,SUMIFS('ON Data'!K:K,'ON Data'!$D:$D,$A$4,'ON Data'!$E:$E,7),SUMIFS('ON Data'!K:K,'ON Data'!$E:$E,7))</f>
        <v>0</v>
      </c>
      <c r="G16" s="390">
        <f xml:space="preserve">
IF($A$4&lt;=12,SUMIFS('ON Data'!L:L,'ON Data'!$D:$D,$A$4,'ON Data'!$E:$E,7),SUMIFS('ON Data'!L:L,'ON Data'!$E:$E,7))</f>
        <v>0</v>
      </c>
      <c r="H16" s="390">
        <f xml:space="preserve">
IF($A$4&lt;=12,SUMIFS('ON Data'!M:M,'ON Data'!$D:$D,$A$4,'ON Data'!$E:$E,7),SUMIFS('ON Data'!M:M,'ON Data'!$E:$E,7))</f>
        <v>0</v>
      </c>
      <c r="I16" s="390">
        <f xml:space="preserve">
IF($A$4&lt;=12,SUMIFS('ON Data'!N:N,'ON Data'!$D:$D,$A$4,'ON Data'!$E:$E,7),SUMIFS('ON Data'!N:N,'ON Data'!$E:$E,7))</f>
        <v>0</v>
      </c>
      <c r="J16" s="390">
        <f xml:space="preserve">
IF($A$4&lt;=12,SUMIFS('ON Data'!O:O,'ON Data'!$D:$D,$A$4,'ON Data'!$E:$E,7),SUMIFS('ON Data'!O:O,'ON Data'!$E:$E,7))</f>
        <v>0</v>
      </c>
      <c r="K16" s="390">
        <f xml:space="preserve">
IF($A$4&lt;=12,SUMIFS('ON Data'!P:P,'ON Data'!$D:$D,$A$4,'ON Data'!$E:$E,7),SUMIFS('ON Data'!P:P,'ON Data'!$E:$E,7))</f>
        <v>0</v>
      </c>
      <c r="L16" s="390">
        <f xml:space="preserve">
IF($A$4&lt;=12,SUMIFS('ON Data'!Q:Q,'ON Data'!$D:$D,$A$4,'ON Data'!$E:$E,7),SUMIFS('ON Data'!Q:Q,'ON Data'!$E:$E,7))</f>
        <v>0</v>
      </c>
      <c r="M16" s="390">
        <f xml:space="preserve">
IF($A$4&lt;=12,SUMIFS('ON Data'!R:R,'ON Data'!$D:$D,$A$4,'ON Data'!$E:$E,7),SUMIFS('ON Data'!R:R,'ON Data'!$E:$E,7))</f>
        <v>0</v>
      </c>
      <c r="N16" s="390">
        <f xml:space="preserve">
IF($A$4&lt;=12,SUMIFS('ON Data'!S:S,'ON Data'!$D:$D,$A$4,'ON Data'!$E:$E,7),SUMIFS('ON Data'!S:S,'ON Data'!$E:$E,7))</f>
        <v>0</v>
      </c>
      <c r="O16" s="390">
        <f xml:space="preserve">
IF($A$4&lt;=12,SUMIFS('ON Data'!T:T,'ON Data'!$D:$D,$A$4,'ON Data'!$E:$E,7),SUMIFS('ON Data'!T:T,'ON Data'!$E:$E,7))</f>
        <v>0</v>
      </c>
      <c r="P16" s="390">
        <f xml:space="preserve">
IF($A$4&lt;=12,SUMIFS('ON Data'!U:U,'ON Data'!$D:$D,$A$4,'ON Data'!$E:$E,7),SUMIFS('ON Data'!U:U,'ON Data'!$E:$E,7))</f>
        <v>0</v>
      </c>
      <c r="Q16" s="390">
        <f xml:space="preserve">
IF($A$4&lt;=12,SUMIFS('ON Data'!V:V,'ON Data'!$D:$D,$A$4,'ON Data'!$E:$E,7),SUMIFS('ON Data'!V:V,'ON Data'!$E:$E,7))</f>
        <v>0</v>
      </c>
      <c r="R16" s="390">
        <f xml:space="preserve">
IF($A$4&lt;=12,SUMIFS('ON Data'!W:W,'ON Data'!$D:$D,$A$4,'ON Data'!$E:$E,7),SUMIFS('ON Data'!W:W,'ON Data'!$E:$E,7))</f>
        <v>0</v>
      </c>
      <c r="S16" s="390">
        <f xml:space="preserve">
IF($A$4&lt;=12,SUMIFS('ON Data'!X:X,'ON Data'!$D:$D,$A$4,'ON Data'!$E:$E,7),SUMIFS('ON Data'!X:X,'ON Data'!$E:$E,7))</f>
        <v>0</v>
      </c>
      <c r="T16" s="390">
        <f xml:space="preserve">
IF($A$4&lt;=12,SUMIFS('ON Data'!Y:Y,'ON Data'!$D:$D,$A$4,'ON Data'!$E:$E,7),SUMIFS('ON Data'!Y:Y,'ON Data'!$E:$E,7))</f>
        <v>0</v>
      </c>
      <c r="U16" s="390">
        <f xml:space="preserve">
IF($A$4&lt;=12,SUMIFS('ON Data'!Z:Z,'ON Data'!$D:$D,$A$4,'ON Data'!$E:$E,7),SUMIFS('ON Data'!Z:Z,'ON Data'!$E:$E,7))</f>
        <v>0</v>
      </c>
      <c r="V16" s="390">
        <f xml:space="preserve">
IF($A$4&lt;=12,SUMIFS('ON Data'!AA:AA,'ON Data'!$D:$D,$A$4,'ON Data'!$E:$E,7),SUMIFS('ON Data'!AA:AA,'ON Data'!$E:$E,7))</f>
        <v>0</v>
      </c>
      <c r="W16" s="390">
        <f xml:space="preserve">
IF($A$4&lt;=12,SUMIFS('ON Data'!AB:AB,'ON Data'!$D:$D,$A$4,'ON Data'!$E:$E,7),SUMIFS('ON Data'!AB:AB,'ON Data'!$E:$E,7))</f>
        <v>0</v>
      </c>
      <c r="X16" s="390">
        <f xml:space="preserve">
IF($A$4&lt;=12,SUMIFS('ON Data'!AC:AC,'ON Data'!$D:$D,$A$4,'ON Data'!$E:$E,7),SUMIFS('ON Data'!AC:AC,'ON Data'!$E:$E,7))</f>
        <v>0</v>
      </c>
      <c r="Y16" s="390">
        <f xml:space="preserve">
IF($A$4&lt;=12,SUMIFS('ON Data'!AD:AD,'ON Data'!$D:$D,$A$4,'ON Data'!$E:$E,7),SUMIFS('ON Data'!AD:AD,'ON Data'!$E:$E,7))</f>
        <v>0</v>
      </c>
      <c r="Z16" s="390">
        <f xml:space="preserve">
IF($A$4&lt;=12,SUMIFS('ON Data'!AE:AE,'ON Data'!$D:$D,$A$4,'ON Data'!$E:$E,7),SUMIFS('ON Data'!AE:AE,'ON Data'!$E:$E,7))</f>
        <v>0</v>
      </c>
      <c r="AA16" s="390">
        <f xml:space="preserve">
IF($A$4&lt;=12,SUMIFS('ON Data'!AF:AF,'ON Data'!$D:$D,$A$4,'ON Data'!$E:$E,7),SUMIFS('ON Data'!AF:AF,'ON Data'!$E:$E,7))</f>
        <v>0</v>
      </c>
      <c r="AB16" s="390">
        <f xml:space="preserve">
IF($A$4&lt;=12,SUMIFS('ON Data'!AG:AG,'ON Data'!$D:$D,$A$4,'ON Data'!$E:$E,7),SUMIFS('ON Data'!AG:AG,'ON Data'!$E:$E,7))</f>
        <v>0</v>
      </c>
      <c r="AC16" s="390">
        <f xml:space="preserve">
IF($A$4&lt;=12,SUMIFS('ON Data'!AH:AH,'ON Data'!$D:$D,$A$4,'ON Data'!$E:$E,7),SUMIFS('ON Data'!AH:AH,'ON Data'!$E:$E,7))</f>
        <v>0</v>
      </c>
      <c r="AD16" s="390">
        <f xml:space="preserve">
IF($A$4&lt;=12,SUMIFS('ON Data'!AI:AI,'ON Data'!$D:$D,$A$4,'ON Data'!$E:$E,7),SUMIFS('ON Data'!AI:AI,'ON Data'!$E:$E,7))</f>
        <v>0</v>
      </c>
      <c r="AE16" s="390">
        <f xml:space="preserve">
IF($A$4&lt;=12,SUMIFS('ON Data'!AJ:AJ,'ON Data'!$D:$D,$A$4,'ON Data'!$E:$E,7),SUMIFS('ON Data'!AJ:AJ,'ON Data'!$E:$E,7))</f>
        <v>0</v>
      </c>
      <c r="AF16" s="390">
        <f xml:space="preserve">
IF($A$4&lt;=12,SUMIFS('ON Data'!AK:AK,'ON Data'!$D:$D,$A$4,'ON Data'!$E:$E,7),SUMIFS('ON Data'!AK:AK,'ON Data'!$E:$E,7))</f>
        <v>0</v>
      </c>
      <c r="AG16" s="390">
        <f xml:space="preserve">
IF($A$4&lt;=12,SUMIFS('ON Data'!AL:AL,'ON Data'!$D:$D,$A$4,'ON Data'!$E:$E,7),SUMIFS('ON Data'!AL:AL,'ON Data'!$E:$E,7))</f>
        <v>0</v>
      </c>
      <c r="AH16" s="680">
        <f xml:space="preserve">
IF($A$4&lt;=12,SUMIFS('ON Data'!AN:AN,'ON Data'!$D:$D,$A$4,'ON Data'!$E:$E,7),SUMIFS('ON Data'!AN:AN,'ON Data'!$E:$E,7))</f>
        <v>0</v>
      </c>
      <c r="AI16" s="690"/>
    </row>
    <row r="17" spans="1:35" x14ac:dyDescent="0.3">
      <c r="A17" s="373" t="s">
        <v>216</v>
      </c>
      <c r="B17" s="388">
        <f xml:space="preserve">
IF($A$4&lt;=12,SUMIFS('ON Data'!F:F,'ON Data'!$D:$D,$A$4,'ON Data'!$E:$E,8),SUMIFS('ON Data'!F:F,'ON Data'!$E:$E,8))</f>
        <v>0</v>
      </c>
      <c r="C17" s="389">
        <f xml:space="preserve">
IF($A$4&lt;=12,SUMIFS('ON Data'!G:G,'ON Data'!$D:$D,$A$4,'ON Data'!$E:$E,8),SUMIFS('ON Data'!G:G,'ON Data'!$E:$E,8))</f>
        <v>0</v>
      </c>
      <c r="D17" s="390">
        <f xml:space="preserve">
IF($A$4&lt;=12,SUMIFS('ON Data'!H:H,'ON Data'!$D:$D,$A$4,'ON Data'!$E:$E,8),SUMIFS('ON Data'!H:H,'ON Data'!$E:$E,8))</f>
        <v>0</v>
      </c>
      <c r="E17" s="390">
        <f xml:space="preserve">
IF($A$4&lt;=12,SUMIFS('ON Data'!I:I,'ON Data'!$D:$D,$A$4,'ON Data'!$E:$E,8),SUMIFS('ON Data'!I:I,'ON Data'!$E:$E,8))</f>
        <v>0</v>
      </c>
      <c r="F17" s="390">
        <f xml:space="preserve">
IF($A$4&lt;=12,SUMIFS('ON Data'!K:K,'ON Data'!$D:$D,$A$4,'ON Data'!$E:$E,8),SUMIFS('ON Data'!K:K,'ON Data'!$E:$E,8))</f>
        <v>0</v>
      </c>
      <c r="G17" s="390">
        <f xml:space="preserve">
IF($A$4&lt;=12,SUMIFS('ON Data'!L:L,'ON Data'!$D:$D,$A$4,'ON Data'!$E:$E,8),SUMIFS('ON Data'!L:L,'ON Data'!$E:$E,8))</f>
        <v>0</v>
      </c>
      <c r="H17" s="390">
        <f xml:space="preserve">
IF($A$4&lt;=12,SUMIFS('ON Data'!M:M,'ON Data'!$D:$D,$A$4,'ON Data'!$E:$E,8),SUMIFS('ON Data'!M:M,'ON Data'!$E:$E,8))</f>
        <v>0</v>
      </c>
      <c r="I17" s="390">
        <f xml:space="preserve">
IF($A$4&lt;=12,SUMIFS('ON Data'!N:N,'ON Data'!$D:$D,$A$4,'ON Data'!$E:$E,8),SUMIFS('ON Data'!N:N,'ON Data'!$E:$E,8))</f>
        <v>0</v>
      </c>
      <c r="J17" s="390">
        <f xml:space="preserve">
IF($A$4&lt;=12,SUMIFS('ON Data'!O:O,'ON Data'!$D:$D,$A$4,'ON Data'!$E:$E,8),SUMIFS('ON Data'!O:O,'ON Data'!$E:$E,8))</f>
        <v>0</v>
      </c>
      <c r="K17" s="390">
        <f xml:space="preserve">
IF($A$4&lt;=12,SUMIFS('ON Data'!P:P,'ON Data'!$D:$D,$A$4,'ON Data'!$E:$E,8),SUMIFS('ON Data'!P:P,'ON Data'!$E:$E,8))</f>
        <v>0</v>
      </c>
      <c r="L17" s="390">
        <f xml:space="preserve">
IF($A$4&lt;=12,SUMIFS('ON Data'!Q:Q,'ON Data'!$D:$D,$A$4,'ON Data'!$E:$E,8),SUMIFS('ON Data'!Q:Q,'ON Data'!$E:$E,8))</f>
        <v>0</v>
      </c>
      <c r="M17" s="390">
        <f xml:space="preserve">
IF($A$4&lt;=12,SUMIFS('ON Data'!R:R,'ON Data'!$D:$D,$A$4,'ON Data'!$E:$E,8),SUMIFS('ON Data'!R:R,'ON Data'!$E:$E,8))</f>
        <v>0</v>
      </c>
      <c r="N17" s="390">
        <f xml:space="preserve">
IF($A$4&lt;=12,SUMIFS('ON Data'!S:S,'ON Data'!$D:$D,$A$4,'ON Data'!$E:$E,8),SUMIFS('ON Data'!S:S,'ON Data'!$E:$E,8))</f>
        <v>0</v>
      </c>
      <c r="O17" s="390">
        <f xml:space="preserve">
IF($A$4&lt;=12,SUMIFS('ON Data'!T:T,'ON Data'!$D:$D,$A$4,'ON Data'!$E:$E,8),SUMIFS('ON Data'!T:T,'ON Data'!$E:$E,8))</f>
        <v>0</v>
      </c>
      <c r="P17" s="390">
        <f xml:space="preserve">
IF($A$4&lt;=12,SUMIFS('ON Data'!U:U,'ON Data'!$D:$D,$A$4,'ON Data'!$E:$E,8),SUMIFS('ON Data'!U:U,'ON Data'!$E:$E,8))</f>
        <v>0</v>
      </c>
      <c r="Q17" s="390">
        <f xml:space="preserve">
IF($A$4&lt;=12,SUMIFS('ON Data'!V:V,'ON Data'!$D:$D,$A$4,'ON Data'!$E:$E,8),SUMIFS('ON Data'!V:V,'ON Data'!$E:$E,8))</f>
        <v>0</v>
      </c>
      <c r="R17" s="390">
        <f xml:space="preserve">
IF($A$4&lt;=12,SUMIFS('ON Data'!W:W,'ON Data'!$D:$D,$A$4,'ON Data'!$E:$E,8),SUMIFS('ON Data'!W:W,'ON Data'!$E:$E,8))</f>
        <v>0</v>
      </c>
      <c r="S17" s="390">
        <f xml:space="preserve">
IF($A$4&lt;=12,SUMIFS('ON Data'!X:X,'ON Data'!$D:$D,$A$4,'ON Data'!$E:$E,8),SUMIFS('ON Data'!X:X,'ON Data'!$E:$E,8))</f>
        <v>0</v>
      </c>
      <c r="T17" s="390">
        <f xml:space="preserve">
IF($A$4&lt;=12,SUMIFS('ON Data'!Y:Y,'ON Data'!$D:$D,$A$4,'ON Data'!$E:$E,8),SUMIFS('ON Data'!Y:Y,'ON Data'!$E:$E,8))</f>
        <v>0</v>
      </c>
      <c r="U17" s="390">
        <f xml:space="preserve">
IF($A$4&lt;=12,SUMIFS('ON Data'!Z:Z,'ON Data'!$D:$D,$A$4,'ON Data'!$E:$E,8),SUMIFS('ON Data'!Z:Z,'ON Data'!$E:$E,8))</f>
        <v>0</v>
      </c>
      <c r="V17" s="390">
        <f xml:space="preserve">
IF($A$4&lt;=12,SUMIFS('ON Data'!AA:AA,'ON Data'!$D:$D,$A$4,'ON Data'!$E:$E,8),SUMIFS('ON Data'!AA:AA,'ON Data'!$E:$E,8))</f>
        <v>0</v>
      </c>
      <c r="W17" s="390">
        <f xml:space="preserve">
IF($A$4&lt;=12,SUMIFS('ON Data'!AB:AB,'ON Data'!$D:$D,$A$4,'ON Data'!$E:$E,8),SUMIFS('ON Data'!AB:AB,'ON Data'!$E:$E,8))</f>
        <v>0</v>
      </c>
      <c r="X17" s="390">
        <f xml:space="preserve">
IF($A$4&lt;=12,SUMIFS('ON Data'!AC:AC,'ON Data'!$D:$D,$A$4,'ON Data'!$E:$E,8),SUMIFS('ON Data'!AC:AC,'ON Data'!$E:$E,8))</f>
        <v>0</v>
      </c>
      <c r="Y17" s="390">
        <f xml:space="preserve">
IF($A$4&lt;=12,SUMIFS('ON Data'!AD:AD,'ON Data'!$D:$D,$A$4,'ON Data'!$E:$E,8),SUMIFS('ON Data'!AD:AD,'ON Data'!$E:$E,8))</f>
        <v>0</v>
      </c>
      <c r="Z17" s="390">
        <f xml:space="preserve">
IF($A$4&lt;=12,SUMIFS('ON Data'!AE:AE,'ON Data'!$D:$D,$A$4,'ON Data'!$E:$E,8),SUMIFS('ON Data'!AE:AE,'ON Data'!$E:$E,8))</f>
        <v>0</v>
      </c>
      <c r="AA17" s="390">
        <f xml:space="preserve">
IF($A$4&lt;=12,SUMIFS('ON Data'!AF:AF,'ON Data'!$D:$D,$A$4,'ON Data'!$E:$E,8),SUMIFS('ON Data'!AF:AF,'ON Data'!$E:$E,8))</f>
        <v>0</v>
      </c>
      <c r="AB17" s="390">
        <f xml:space="preserve">
IF($A$4&lt;=12,SUMIFS('ON Data'!AG:AG,'ON Data'!$D:$D,$A$4,'ON Data'!$E:$E,8),SUMIFS('ON Data'!AG:AG,'ON Data'!$E:$E,8))</f>
        <v>0</v>
      </c>
      <c r="AC17" s="390">
        <f xml:space="preserve">
IF($A$4&lt;=12,SUMIFS('ON Data'!AH:AH,'ON Data'!$D:$D,$A$4,'ON Data'!$E:$E,8),SUMIFS('ON Data'!AH:AH,'ON Data'!$E:$E,8))</f>
        <v>0</v>
      </c>
      <c r="AD17" s="390">
        <f xml:space="preserve">
IF($A$4&lt;=12,SUMIFS('ON Data'!AI:AI,'ON Data'!$D:$D,$A$4,'ON Data'!$E:$E,8),SUMIFS('ON Data'!AI:AI,'ON Data'!$E:$E,8))</f>
        <v>0</v>
      </c>
      <c r="AE17" s="390">
        <f xml:space="preserve">
IF($A$4&lt;=12,SUMIFS('ON Data'!AJ:AJ,'ON Data'!$D:$D,$A$4,'ON Data'!$E:$E,8),SUMIFS('ON Data'!AJ:AJ,'ON Data'!$E:$E,8))</f>
        <v>0</v>
      </c>
      <c r="AF17" s="390">
        <f xml:space="preserve">
IF($A$4&lt;=12,SUMIFS('ON Data'!AK:AK,'ON Data'!$D:$D,$A$4,'ON Data'!$E:$E,8),SUMIFS('ON Data'!AK:AK,'ON Data'!$E:$E,8))</f>
        <v>0</v>
      </c>
      <c r="AG17" s="390">
        <f xml:space="preserve">
IF($A$4&lt;=12,SUMIFS('ON Data'!AL:AL,'ON Data'!$D:$D,$A$4,'ON Data'!$E:$E,8),SUMIFS('ON Data'!AL:AL,'ON Data'!$E:$E,8))</f>
        <v>0</v>
      </c>
      <c r="AH17" s="680">
        <f xml:space="preserve">
IF($A$4&lt;=12,SUMIFS('ON Data'!AN:AN,'ON Data'!$D:$D,$A$4,'ON Data'!$E:$E,8),SUMIFS('ON Data'!AN:AN,'ON Data'!$E:$E,8))</f>
        <v>0</v>
      </c>
      <c r="AI17" s="690"/>
    </row>
    <row r="18" spans="1:35" x14ac:dyDescent="0.3">
      <c r="A18" s="373" t="s">
        <v>217</v>
      </c>
      <c r="B18" s="388">
        <f xml:space="preserve">
B19-B16-B17</f>
        <v>122512</v>
      </c>
      <c r="C18" s="389">
        <f t="shared" ref="C18:G18" si="0" xml:space="preserve">
C19-C16-C17</f>
        <v>0</v>
      </c>
      <c r="D18" s="390">
        <f t="shared" si="0"/>
        <v>13650</v>
      </c>
      <c r="E18" s="390">
        <f t="shared" si="0"/>
        <v>0</v>
      </c>
      <c r="F18" s="390">
        <f t="shared" si="0"/>
        <v>99298</v>
      </c>
      <c r="G18" s="390">
        <f t="shared" si="0"/>
        <v>1624</v>
      </c>
      <c r="H18" s="390">
        <f t="shared" ref="H18:AH18" si="1" xml:space="preserve">
H19-H16-H17</f>
        <v>0</v>
      </c>
      <c r="I18" s="390">
        <f t="shared" si="1"/>
        <v>0</v>
      </c>
      <c r="J18" s="390">
        <f t="shared" si="1"/>
        <v>0</v>
      </c>
      <c r="K18" s="390">
        <f t="shared" si="1"/>
        <v>0</v>
      </c>
      <c r="L18" s="390">
        <f t="shared" si="1"/>
        <v>0</v>
      </c>
      <c r="M18" s="390">
        <f t="shared" si="1"/>
        <v>0</v>
      </c>
      <c r="N18" s="390">
        <f t="shared" si="1"/>
        <v>0</v>
      </c>
      <c r="O18" s="390">
        <f t="shared" si="1"/>
        <v>0</v>
      </c>
      <c r="P18" s="390">
        <f t="shared" si="1"/>
        <v>0</v>
      </c>
      <c r="Q18" s="390">
        <f t="shared" si="1"/>
        <v>0</v>
      </c>
      <c r="R18" s="390">
        <f t="shared" si="1"/>
        <v>0</v>
      </c>
      <c r="S18" s="390">
        <f t="shared" si="1"/>
        <v>0</v>
      </c>
      <c r="T18" s="390">
        <f t="shared" si="1"/>
        <v>0</v>
      </c>
      <c r="U18" s="390">
        <f t="shared" si="1"/>
        <v>0</v>
      </c>
      <c r="V18" s="390">
        <f t="shared" si="1"/>
        <v>0</v>
      </c>
      <c r="W18" s="390">
        <f t="shared" si="1"/>
        <v>0</v>
      </c>
      <c r="X18" s="390">
        <f t="shared" si="1"/>
        <v>0</v>
      </c>
      <c r="Y18" s="390">
        <f t="shared" si="1"/>
        <v>0</v>
      </c>
      <c r="Z18" s="390">
        <f t="shared" si="1"/>
        <v>0</v>
      </c>
      <c r="AA18" s="390">
        <f t="shared" si="1"/>
        <v>0</v>
      </c>
      <c r="AB18" s="390">
        <f t="shared" si="1"/>
        <v>0</v>
      </c>
      <c r="AC18" s="390">
        <f t="shared" si="1"/>
        <v>0</v>
      </c>
      <c r="AD18" s="390">
        <f t="shared" si="1"/>
        <v>7940</v>
      </c>
      <c r="AE18" s="390">
        <f t="shared" si="1"/>
        <v>0</v>
      </c>
      <c r="AF18" s="390">
        <f t="shared" si="1"/>
        <v>0</v>
      </c>
      <c r="AG18" s="390">
        <f t="shared" si="1"/>
        <v>0</v>
      </c>
      <c r="AH18" s="680">
        <f t="shared" si="1"/>
        <v>0</v>
      </c>
      <c r="AI18" s="690"/>
    </row>
    <row r="19" spans="1:35" ht="15" thickBot="1" x14ac:dyDescent="0.35">
      <c r="A19" s="374" t="s">
        <v>218</v>
      </c>
      <c r="B19" s="397">
        <f xml:space="preserve">
IF($A$4&lt;=12,SUMIFS('ON Data'!F:F,'ON Data'!$D:$D,$A$4,'ON Data'!$E:$E,9),SUMIFS('ON Data'!F:F,'ON Data'!$E:$E,9))</f>
        <v>122512</v>
      </c>
      <c r="C19" s="398">
        <f xml:space="preserve">
IF($A$4&lt;=12,SUMIFS('ON Data'!G:G,'ON Data'!$D:$D,$A$4,'ON Data'!$E:$E,9),SUMIFS('ON Data'!G:G,'ON Data'!$E:$E,9))</f>
        <v>0</v>
      </c>
      <c r="D19" s="399">
        <f xml:space="preserve">
IF($A$4&lt;=12,SUMIFS('ON Data'!H:H,'ON Data'!$D:$D,$A$4,'ON Data'!$E:$E,9),SUMIFS('ON Data'!H:H,'ON Data'!$E:$E,9))</f>
        <v>13650</v>
      </c>
      <c r="E19" s="399">
        <f xml:space="preserve">
IF($A$4&lt;=12,SUMIFS('ON Data'!I:I,'ON Data'!$D:$D,$A$4,'ON Data'!$E:$E,9),SUMIFS('ON Data'!I:I,'ON Data'!$E:$E,9))</f>
        <v>0</v>
      </c>
      <c r="F19" s="399">
        <f xml:space="preserve">
IF($A$4&lt;=12,SUMIFS('ON Data'!K:K,'ON Data'!$D:$D,$A$4,'ON Data'!$E:$E,9),SUMIFS('ON Data'!K:K,'ON Data'!$E:$E,9))</f>
        <v>99298</v>
      </c>
      <c r="G19" s="399">
        <f xml:space="preserve">
IF($A$4&lt;=12,SUMIFS('ON Data'!L:L,'ON Data'!$D:$D,$A$4,'ON Data'!$E:$E,9),SUMIFS('ON Data'!L:L,'ON Data'!$E:$E,9))</f>
        <v>1624</v>
      </c>
      <c r="H19" s="399">
        <f xml:space="preserve">
IF($A$4&lt;=12,SUMIFS('ON Data'!M:M,'ON Data'!$D:$D,$A$4,'ON Data'!$E:$E,9),SUMIFS('ON Data'!M:M,'ON Data'!$E:$E,9))</f>
        <v>0</v>
      </c>
      <c r="I19" s="399">
        <f xml:space="preserve">
IF($A$4&lt;=12,SUMIFS('ON Data'!N:N,'ON Data'!$D:$D,$A$4,'ON Data'!$E:$E,9),SUMIFS('ON Data'!N:N,'ON Data'!$E:$E,9))</f>
        <v>0</v>
      </c>
      <c r="J19" s="399">
        <f xml:space="preserve">
IF($A$4&lt;=12,SUMIFS('ON Data'!O:O,'ON Data'!$D:$D,$A$4,'ON Data'!$E:$E,9),SUMIFS('ON Data'!O:O,'ON Data'!$E:$E,9))</f>
        <v>0</v>
      </c>
      <c r="K19" s="399">
        <f xml:space="preserve">
IF($A$4&lt;=12,SUMIFS('ON Data'!P:P,'ON Data'!$D:$D,$A$4,'ON Data'!$E:$E,9),SUMIFS('ON Data'!P:P,'ON Data'!$E:$E,9))</f>
        <v>0</v>
      </c>
      <c r="L19" s="399">
        <f xml:space="preserve">
IF($A$4&lt;=12,SUMIFS('ON Data'!Q:Q,'ON Data'!$D:$D,$A$4,'ON Data'!$E:$E,9),SUMIFS('ON Data'!Q:Q,'ON Data'!$E:$E,9))</f>
        <v>0</v>
      </c>
      <c r="M19" s="399">
        <f xml:space="preserve">
IF($A$4&lt;=12,SUMIFS('ON Data'!R:R,'ON Data'!$D:$D,$A$4,'ON Data'!$E:$E,9),SUMIFS('ON Data'!R:R,'ON Data'!$E:$E,9))</f>
        <v>0</v>
      </c>
      <c r="N19" s="399">
        <f xml:space="preserve">
IF($A$4&lt;=12,SUMIFS('ON Data'!S:S,'ON Data'!$D:$D,$A$4,'ON Data'!$E:$E,9),SUMIFS('ON Data'!S:S,'ON Data'!$E:$E,9))</f>
        <v>0</v>
      </c>
      <c r="O19" s="399">
        <f xml:space="preserve">
IF($A$4&lt;=12,SUMIFS('ON Data'!T:T,'ON Data'!$D:$D,$A$4,'ON Data'!$E:$E,9),SUMIFS('ON Data'!T:T,'ON Data'!$E:$E,9))</f>
        <v>0</v>
      </c>
      <c r="P19" s="399">
        <f xml:space="preserve">
IF($A$4&lt;=12,SUMIFS('ON Data'!U:U,'ON Data'!$D:$D,$A$4,'ON Data'!$E:$E,9),SUMIFS('ON Data'!U:U,'ON Data'!$E:$E,9))</f>
        <v>0</v>
      </c>
      <c r="Q19" s="399">
        <f xml:space="preserve">
IF($A$4&lt;=12,SUMIFS('ON Data'!V:V,'ON Data'!$D:$D,$A$4,'ON Data'!$E:$E,9),SUMIFS('ON Data'!V:V,'ON Data'!$E:$E,9))</f>
        <v>0</v>
      </c>
      <c r="R19" s="399">
        <f xml:space="preserve">
IF($A$4&lt;=12,SUMIFS('ON Data'!W:W,'ON Data'!$D:$D,$A$4,'ON Data'!$E:$E,9),SUMIFS('ON Data'!W:W,'ON Data'!$E:$E,9))</f>
        <v>0</v>
      </c>
      <c r="S19" s="399">
        <f xml:space="preserve">
IF($A$4&lt;=12,SUMIFS('ON Data'!X:X,'ON Data'!$D:$D,$A$4,'ON Data'!$E:$E,9),SUMIFS('ON Data'!X:X,'ON Data'!$E:$E,9))</f>
        <v>0</v>
      </c>
      <c r="T19" s="399">
        <f xml:space="preserve">
IF($A$4&lt;=12,SUMIFS('ON Data'!Y:Y,'ON Data'!$D:$D,$A$4,'ON Data'!$E:$E,9),SUMIFS('ON Data'!Y:Y,'ON Data'!$E:$E,9))</f>
        <v>0</v>
      </c>
      <c r="U19" s="399">
        <f xml:space="preserve">
IF($A$4&lt;=12,SUMIFS('ON Data'!Z:Z,'ON Data'!$D:$D,$A$4,'ON Data'!$E:$E,9),SUMIFS('ON Data'!Z:Z,'ON Data'!$E:$E,9))</f>
        <v>0</v>
      </c>
      <c r="V19" s="399">
        <f xml:space="preserve">
IF($A$4&lt;=12,SUMIFS('ON Data'!AA:AA,'ON Data'!$D:$D,$A$4,'ON Data'!$E:$E,9),SUMIFS('ON Data'!AA:AA,'ON Data'!$E:$E,9))</f>
        <v>0</v>
      </c>
      <c r="W19" s="399">
        <f xml:space="preserve">
IF($A$4&lt;=12,SUMIFS('ON Data'!AB:AB,'ON Data'!$D:$D,$A$4,'ON Data'!$E:$E,9),SUMIFS('ON Data'!AB:AB,'ON Data'!$E:$E,9))</f>
        <v>0</v>
      </c>
      <c r="X19" s="399">
        <f xml:space="preserve">
IF($A$4&lt;=12,SUMIFS('ON Data'!AC:AC,'ON Data'!$D:$D,$A$4,'ON Data'!$E:$E,9),SUMIFS('ON Data'!AC:AC,'ON Data'!$E:$E,9))</f>
        <v>0</v>
      </c>
      <c r="Y19" s="399">
        <f xml:space="preserve">
IF($A$4&lt;=12,SUMIFS('ON Data'!AD:AD,'ON Data'!$D:$D,$A$4,'ON Data'!$E:$E,9),SUMIFS('ON Data'!AD:AD,'ON Data'!$E:$E,9))</f>
        <v>0</v>
      </c>
      <c r="Z19" s="399">
        <f xml:space="preserve">
IF($A$4&lt;=12,SUMIFS('ON Data'!AE:AE,'ON Data'!$D:$D,$A$4,'ON Data'!$E:$E,9),SUMIFS('ON Data'!AE:AE,'ON Data'!$E:$E,9))</f>
        <v>0</v>
      </c>
      <c r="AA19" s="399">
        <f xml:space="preserve">
IF($A$4&lt;=12,SUMIFS('ON Data'!AF:AF,'ON Data'!$D:$D,$A$4,'ON Data'!$E:$E,9),SUMIFS('ON Data'!AF:AF,'ON Data'!$E:$E,9))</f>
        <v>0</v>
      </c>
      <c r="AB19" s="399">
        <f xml:space="preserve">
IF($A$4&lt;=12,SUMIFS('ON Data'!AG:AG,'ON Data'!$D:$D,$A$4,'ON Data'!$E:$E,9),SUMIFS('ON Data'!AG:AG,'ON Data'!$E:$E,9))</f>
        <v>0</v>
      </c>
      <c r="AC19" s="399">
        <f xml:space="preserve">
IF($A$4&lt;=12,SUMIFS('ON Data'!AH:AH,'ON Data'!$D:$D,$A$4,'ON Data'!$E:$E,9),SUMIFS('ON Data'!AH:AH,'ON Data'!$E:$E,9))</f>
        <v>0</v>
      </c>
      <c r="AD19" s="399">
        <f xml:space="preserve">
IF($A$4&lt;=12,SUMIFS('ON Data'!AI:AI,'ON Data'!$D:$D,$A$4,'ON Data'!$E:$E,9),SUMIFS('ON Data'!AI:AI,'ON Data'!$E:$E,9))</f>
        <v>7940</v>
      </c>
      <c r="AE19" s="399">
        <f xml:space="preserve">
IF($A$4&lt;=12,SUMIFS('ON Data'!AJ:AJ,'ON Data'!$D:$D,$A$4,'ON Data'!$E:$E,9),SUMIFS('ON Data'!AJ:AJ,'ON Data'!$E:$E,9))</f>
        <v>0</v>
      </c>
      <c r="AF19" s="399">
        <f xml:space="preserve">
IF($A$4&lt;=12,SUMIFS('ON Data'!AK:AK,'ON Data'!$D:$D,$A$4,'ON Data'!$E:$E,9),SUMIFS('ON Data'!AK:AK,'ON Data'!$E:$E,9))</f>
        <v>0</v>
      </c>
      <c r="AG19" s="399">
        <f xml:space="preserve">
IF($A$4&lt;=12,SUMIFS('ON Data'!AL:AL,'ON Data'!$D:$D,$A$4,'ON Data'!$E:$E,9),SUMIFS('ON Data'!AL:AL,'ON Data'!$E:$E,9))</f>
        <v>0</v>
      </c>
      <c r="AH19" s="683">
        <f xml:space="preserve">
IF($A$4&lt;=12,SUMIFS('ON Data'!AN:AN,'ON Data'!$D:$D,$A$4,'ON Data'!$E:$E,9),SUMIFS('ON Data'!AN:AN,'ON Data'!$E:$E,9))</f>
        <v>0</v>
      </c>
      <c r="AI19" s="690"/>
    </row>
    <row r="20" spans="1:35" ht="15" collapsed="1" thickBot="1" x14ac:dyDescent="0.35">
      <c r="A20" s="375" t="s">
        <v>81</v>
      </c>
      <c r="B20" s="400">
        <f xml:space="preserve">
IF($A$4&lt;=12,SUMIFS('ON Data'!F:F,'ON Data'!$D:$D,$A$4,'ON Data'!$E:$E,6),SUMIFS('ON Data'!F:F,'ON Data'!$E:$E,6))</f>
        <v>13128684</v>
      </c>
      <c r="C20" s="401">
        <f xml:space="preserve">
IF($A$4&lt;=12,SUMIFS('ON Data'!G:G,'ON Data'!$D:$D,$A$4,'ON Data'!$E:$E,6),SUMIFS('ON Data'!G:G,'ON Data'!$E:$E,6))</f>
        <v>136450</v>
      </c>
      <c r="D20" s="402">
        <f xml:space="preserve">
IF($A$4&lt;=12,SUMIFS('ON Data'!H:H,'ON Data'!$D:$D,$A$4,'ON Data'!$E:$E,6),SUMIFS('ON Data'!H:H,'ON Data'!$E:$E,6))</f>
        <v>3757738</v>
      </c>
      <c r="E20" s="402">
        <f xml:space="preserve">
IF($A$4&lt;=12,SUMIFS('ON Data'!I:I,'ON Data'!$D:$D,$A$4,'ON Data'!$E:$E,6),SUMIFS('ON Data'!I:I,'ON Data'!$E:$E,6))</f>
        <v>0</v>
      </c>
      <c r="F20" s="402">
        <f xml:space="preserve">
IF($A$4&lt;=12,SUMIFS('ON Data'!K:K,'ON Data'!$D:$D,$A$4,'ON Data'!$E:$E,6),SUMIFS('ON Data'!K:K,'ON Data'!$E:$E,6))</f>
        <v>8764130</v>
      </c>
      <c r="G20" s="402">
        <f xml:space="preserve">
IF($A$4&lt;=12,SUMIFS('ON Data'!L:L,'ON Data'!$D:$D,$A$4,'ON Data'!$E:$E,6),SUMIFS('ON Data'!L:L,'ON Data'!$E:$E,6))</f>
        <v>95839</v>
      </c>
      <c r="H20" s="402">
        <f xml:space="preserve">
IF($A$4&lt;=12,SUMIFS('ON Data'!M:M,'ON Data'!$D:$D,$A$4,'ON Data'!$E:$E,6),SUMIFS('ON Data'!M:M,'ON Data'!$E:$E,6))</f>
        <v>0</v>
      </c>
      <c r="I20" s="402">
        <f xml:space="preserve">
IF($A$4&lt;=12,SUMIFS('ON Data'!N:N,'ON Data'!$D:$D,$A$4,'ON Data'!$E:$E,6),SUMIFS('ON Data'!N:N,'ON Data'!$E:$E,6))</f>
        <v>0</v>
      </c>
      <c r="J20" s="402">
        <f xml:space="preserve">
IF($A$4&lt;=12,SUMIFS('ON Data'!O:O,'ON Data'!$D:$D,$A$4,'ON Data'!$E:$E,6),SUMIFS('ON Data'!O:O,'ON Data'!$E:$E,6))</f>
        <v>0</v>
      </c>
      <c r="K20" s="402">
        <f xml:space="preserve">
IF($A$4&lt;=12,SUMIFS('ON Data'!P:P,'ON Data'!$D:$D,$A$4,'ON Data'!$E:$E,6),SUMIFS('ON Data'!P:P,'ON Data'!$E:$E,6))</f>
        <v>0</v>
      </c>
      <c r="L20" s="402">
        <f xml:space="preserve">
IF($A$4&lt;=12,SUMIFS('ON Data'!Q:Q,'ON Data'!$D:$D,$A$4,'ON Data'!$E:$E,6),SUMIFS('ON Data'!Q:Q,'ON Data'!$E:$E,6))</f>
        <v>0</v>
      </c>
      <c r="M20" s="402">
        <f xml:space="preserve">
IF($A$4&lt;=12,SUMIFS('ON Data'!R:R,'ON Data'!$D:$D,$A$4,'ON Data'!$E:$E,6),SUMIFS('ON Data'!R:R,'ON Data'!$E:$E,6))</f>
        <v>0</v>
      </c>
      <c r="N20" s="402">
        <f xml:space="preserve">
IF($A$4&lt;=12,SUMIFS('ON Data'!S:S,'ON Data'!$D:$D,$A$4,'ON Data'!$E:$E,6),SUMIFS('ON Data'!S:S,'ON Data'!$E:$E,6))</f>
        <v>0</v>
      </c>
      <c r="O20" s="402">
        <f xml:space="preserve">
IF($A$4&lt;=12,SUMIFS('ON Data'!T:T,'ON Data'!$D:$D,$A$4,'ON Data'!$E:$E,6),SUMIFS('ON Data'!T:T,'ON Data'!$E:$E,6))</f>
        <v>0</v>
      </c>
      <c r="P20" s="402">
        <f xml:space="preserve">
IF($A$4&lt;=12,SUMIFS('ON Data'!U:U,'ON Data'!$D:$D,$A$4,'ON Data'!$E:$E,6),SUMIFS('ON Data'!U:U,'ON Data'!$E:$E,6))</f>
        <v>0</v>
      </c>
      <c r="Q20" s="402">
        <f xml:space="preserve">
IF($A$4&lt;=12,SUMIFS('ON Data'!V:V,'ON Data'!$D:$D,$A$4,'ON Data'!$E:$E,6),SUMIFS('ON Data'!V:V,'ON Data'!$E:$E,6))</f>
        <v>0</v>
      </c>
      <c r="R20" s="402">
        <f xml:space="preserve">
IF($A$4&lt;=12,SUMIFS('ON Data'!W:W,'ON Data'!$D:$D,$A$4,'ON Data'!$E:$E,6),SUMIFS('ON Data'!W:W,'ON Data'!$E:$E,6))</f>
        <v>0</v>
      </c>
      <c r="S20" s="402">
        <f xml:space="preserve">
IF($A$4&lt;=12,SUMIFS('ON Data'!X:X,'ON Data'!$D:$D,$A$4,'ON Data'!$E:$E,6),SUMIFS('ON Data'!X:X,'ON Data'!$E:$E,6))</f>
        <v>0</v>
      </c>
      <c r="T20" s="402">
        <f xml:space="preserve">
IF($A$4&lt;=12,SUMIFS('ON Data'!Y:Y,'ON Data'!$D:$D,$A$4,'ON Data'!$E:$E,6),SUMIFS('ON Data'!Y:Y,'ON Data'!$E:$E,6))</f>
        <v>0</v>
      </c>
      <c r="U20" s="402">
        <f xml:space="preserve">
IF($A$4&lt;=12,SUMIFS('ON Data'!Z:Z,'ON Data'!$D:$D,$A$4,'ON Data'!$E:$E,6),SUMIFS('ON Data'!Z:Z,'ON Data'!$E:$E,6))</f>
        <v>0</v>
      </c>
      <c r="V20" s="402">
        <f xml:space="preserve">
IF($A$4&lt;=12,SUMIFS('ON Data'!AA:AA,'ON Data'!$D:$D,$A$4,'ON Data'!$E:$E,6),SUMIFS('ON Data'!AA:AA,'ON Data'!$E:$E,6))</f>
        <v>0</v>
      </c>
      <c r="W20" s="402">
        <f xml:space="preserve">
IF($A$4&lt;=12,SUMIFS('ON Data'!AB:AB,'ON Data'!$D:$D,$A$4,'ON Data'!$E:$E,6),SUMIFS('ON Data'!AB:AB,'ON Data'!$E:$E,6))</f>
        <v>0</v>
      </c>
      <c r="X20" s="402">
        <f xml:space="preserve">
IF($A$4&lt;=12,SUMIFS('ON Data'!AC:AC,'ON Data'!$D:$D,$A$4,'ON Data'!$E:$E,6),SUMIFS('ON Data'!AC:AC,'ON Data'!$E:$E,6))</f>
        <v>0</v>
      </c>
      <c r="Y20" s="402">
        <f xml:space="preserve">
IF($A$4&lt;=12,SUMIFS('ON Data'!AD:AD,'ON Data'!$D:$D,$A$4,'ON Data'!$E:$E,6),SUMIFS('ON Data'!AD:AD,'ON Data'!$E:$E,6))</f>
        <v>0</v>
      </c>
      <c r="Z20" s="402">
        <f xml:space="preserve">
IF($A$4&lt;=12,SUMIFS('ON Data'!AE:AE,'ON Data'!$D:$D,$A$4,'ON Data'!$E:$E,6),SUMIFS('ON Data'!AE:AE,'ON Data'!$E:$E,6))</f>
        <v>0</v>
      </c>
      <c r="AA20" s="402">
        <f xml:space="preserve">
IF($A$4&lt;=12,SUMIFS('ON Data'!AF:AF,'ON Data'!$D:$D,$A$4,'ON Data'!$E:$E,6),SUMIFS('ON Data'!AF:AF,'ON Data'!$E:$E,6))</f>
        <v>0</v>
      </c>
      <c r="AB20" s="402">
        <f xml:space="preserve">
IF($A$4&lt;=12,SUMIFS('ON Data'!AG:AG,'ON Data'!$D:$D,$A$4,'ON Data'!$E:$E,6),SUMIFS('ON Data'!AG:AG,'ON Data'!$E:$E,6))</f>
        <v>0</v>
      </c>
      <c r="AC20" s="402">
        <f xml:space="preserve">
IF($A$4&lt;=12,SUMIFS('ON Data'!AH:AH,'ON Data'!$D:$D,$A$4,'ON Data'!$E:$E,6),SUMIFS('ON Data'!AH:AH,'ON Data'!$E:$E,6))</f>
        <v>0</v>
      </c>
      <c r="AD20" s="402">
        <f xml:space="preserve">
IF($A$4&lt;=12,SUMIFS('ON Data'!AI:AI,'ON Data'!$D:$D,$A$4,'ON Data'!$E:$E,6),SUMIFS('ON Data'!AI:AI,'ON Data'!$E:$E,6))</f>
        <v>260927</v>
      </c>
      <c r="AE20" s="402">
        <f xml:space="preserve">
IF($A$4&lt;=12,SUMIFS('ON Data'!AJ:AJ,'ON Data'!$D:$D,$A$4,'ON Data'!$E:$E,6),SUMIFS('ON Data'!AJ:AJ,'ON Data'!$E:$E,6))</f>
        <v>0</v>
      </c>
      <c r="AF20" s="402">
        <f xml:space="preserve">
IF($A$4&lt;=12,SUMIFS('ON Data'!AK:AK,'ON Data'!$D:$D,$A$4,'ON Data'!$E:$E,6),SUMIFS('ON Data'!AK:AK,'ON Data'!$E:$E,6))</f>
        <v>0</v>
      </c>
      <c r="AG20" s="402">
        <f xml:space="preserve">
IF($A$4&lt;=12,SUMIFS('ON Data'!AL:AL,'ON Data'!$D:$D,$A$4,'ON Data'!$E:$E,6),SUMIFS('ON Data'!AL:AL,'ON Data'!$E:$E,6))</f>
        <v>0</v>
      </c>
      <c r="AH20" s="684">
        <f xml:space="preserve">
IF($A$4&lt;=12,SUMIFS('ON Data'!AN:AN,'ON Data'!$D:$D,$A$4,'ON Data'!$E:$E,6),SUMIFS('ON Data'!AN:AN,'ON Data'!$E:$E,6))</f>
        <v>113600</v>
      </c>
      <c r="AI20" s="690"/>
    </row>
    <row r="21" spans="1:35" ht="15" hidden="1" outlineLevel="1" thickBot="1" x14ac:dyDescent="0.35">
      <c r="A21" s="368" t="s">
        <v>118</v>
      </c>
      <c r="B21" s="388">
        <f xml:space="preserve">
IF($A$4&lt;=12,SUMIFS('ON Data'!F:F,'ON Data'!$D:$D,$A$4,'ON Data'!$E:$E,12),SUMIFS('ON Data'!F:F,'ON Data'!$E:$E,12))</f>
        <v>0</v>
      </c>
      <c r="C21" s="389">
        <f xml:space="preserve">
IF($A$4&lt;=12,SUMIFS('ON Data'!G:G,'ON Data'!$D:$D,$A$4,'ON Data'!$E:$E,12),SUMIFS('ON Data'!G:G,'ON Data'!$E:$E,12))</f>
        <v>0</v>
      </c>
      <c r="D21" s="390">
        <f xml:space="preserve">
IF($A$4&lt;=12,SUMIFS('ON Data'!H:H,'ON Data'!$D:$D,$A$4,'ON Data'!$E:$E,12),SUMIFS('ON Data'!H:H,'ON Data'!$E:$E,12))</f>
        <v>0</v>
      </c>
      <c r="E21" s="390">
        <f xml:space="preserve">
IF($A$4&lt;=12,SUMIFS('ON Data'!I:I,'ON Data'!$D:$D,$A$4,'ON Data'!$E:$E,12),SUMIFS('ON Data'!I:I,'ON Data'!$E:$E,12))</f>
        <v>0</v>
      </c>
      <c r="F21" s="390">
        <f xml:space="preserve">
IF($A$4&lt;=12,SUMIFS('ON Data'!K:K,'ON Data'!$D:$D,$A$4,'ON Data'!$E:$E,12),SUMIFS('ON Data'!K:K,'ON Data'!$E:$E,12))</f>
        <v>0</v>
      </c>
      <c r="G21" s="390">
        <f xml:space="preserve">
IF($A$4&lt;=12,SUMIFS('ON Data'!L:L,'ON Data'!$D:$D,$A$4,'ON Data'!$E:$E,12),SUMIFS('ON Data'!L:L,'ON Data'!$E:$E,12))</f>
        <v>0</v>
      </c>
      <c r="H21" s="390">
        <f xml:space="preserve">
IF($A$4&lt;=12,SUMIFS('ON Data'!M:M,'ON Data'!$D:$D,$A$4,'ON Data'!$E:$E,12),SUMIFS('ON Data'!M:M,'ON Data'!$E:$E,12))</f>
        <v>0</v>
      </c>
      <c r="I21" s="390">
        <f xml:space="preserve">
IF($A$4&lt;=12,SUMIFS('ON Data'!N:N,'ON Data'!$D:$D,$A$4,'ON Data'!$E:$E,12),SUMIFS('ON Data'!N:N,'ON Data'!$E:$E,12))</f>
        <v>0</v>
      </c>
      <c r="J21" s="390">
        <f xml:space="preserve">
IF($A$4&lt;=12,SUMIFS('ON Data'!O:O,'ON Data'!$D:$D,$A$4,'ON Data'!$E:$E,12),SUMIFS('ON Data'!O:O,'ON Data'!$E:$E,12))</f>
        <v>0</v>
      </c>
      <c r="K21" s="390">
        <f xml:space="preserve">
IF($A$4&lt;=12,SUMIFS('ON Data'!P:P,'ON Data'!$D:$D,$A$4,'ON Data'!$E:$E,12),SUMIFS('ON Data'!P:P,'ON Data'!$E:$E,12))</f>
        <v>0</v>
      </c>
      <c r="L21" s="390">
        <f xml:space="preserve">
IF($A$4&lt;=12,SUMIFS('ON Data'!Q:Q,'ON Data'!$D:$D,$A$4,'ON Data'!$E:$E,12),SUMIFS('ON Data'!Q:Q,'ON Data'!$E:$E,12))</f>
        <v>0</v>
      </c>
      <c r="M21" s="390">
        <f xml:space="preserve">
IF($A$4&lt;=12,SUMIFS('ON Data'!R:R,'ON Data'!$D:$D,$A$4,'ON Data'!$E:$E,12),SUMIFS('ON Data'!R:R,'ON Data'!$E:$E,12))</f>
        <v>0</v>
      </c>
      <c r="N21" s="390">
        <f xml:space="preserve">
IF($A$4&lt;=12,SUMIFS('ON Data'!S:S,'ON Data'!$D:$D,$A$4,'ON Data'!$E:$E,12),SUMIFS('ON Data'!S:S,'ON Data'!$E:$E,12))</f>
        <v>0</v>
      </c>
      <c r="O21" s="390">
        <f xml:space="preserve">
IF($A$4&lt;=12,SUMIFS('ON Data'!T:T,'ON Data'!$D:$D,$A$4,'ON Data'!$E:$E,12),SUMIFS('ON Data'!T:T,'ON Data'!$E:$E,12))</f>
        <v>0</v>
      </c>
      <c r="P21" s="390">
        <f xml:space="preserve">
IF($A$4&lt;=12,SUMIFS('ON Data'!U:U,'ON Data'!$D:$D,$A$4,'ON Data'!$E:$E,12),SUMIFS('ON Data'!U:U,'ON Data'!$E:$E,12))</f>
        <v>0</v>
      </c>
      <c r="Q21" s="390">
        <f xml:space="preserve">
IF($A$4&lt;=12,SUMIFS('ON Data'!V:V,'ON Data'!$D:$D,$A$4,'ON Data'!$E:$E,12),SUMIFS('ON Data'!V:V,'ON Data'!$E:$E,12))</f>
        <v>0</v>
      </c>
      <c r="R21" s="390">
        <f xml:space="preserve">
IF($A$4&lt;=12,SUMIFS('ON Data'!W:W,'ON Data'!$D:$D,$A$4,'ON Data'!$E:$E,12),SUMIFS('ON Data'!W:W,'ON Data'!$E:$E,12))</f>
        <v>0</v>
      </c>
      <c r="S21" s="390">
        <f xml:space="preserve">
IF($A$4&lt;=12,SUMIFS('ON Data'!X:X,'ON Data'!$D:$D,$A$4,'ON Data'!$E:$E,12),SUMIFS('ON Data'!X:X,'ON Data'!$E:$E,12))</f>
        <v>0</v>
      </c>
      <c r="T21" s="390">
        <f xml:space="preserve">
IF($A$4&lt;=12,SUMIFS('ON Data'!Y:Y,'ON Data'!$D:$D,$A$4,'ON Data'!$E:$E,12),SUMIFS('ON Data'!Y:Y,'ON Data'!$E:$E,12))</f>
        <v>0</v>
      </c>
      <c r="U21" s="390">
        <f xml:space="preserve">
IF($A$4&lt;=12,SUMIFS('ON Data'!Z:Z,'ON Data'!$D:$D,$A$4,'ON Data'!$E:$E,12),SUMIFS('ON Data'!Z:Z,'ON Data'!$E:$E,12))</f>
        <v>0</v>
      </c>
      <c r="V21" s="390">
        <f xml:space="preserve">
IF($A$4&lt;=12,SUMIFS('ON Data'!AA:AA,'ON Data'!$D:$D,$A$4,'ON Data'!$E:$E,12),SUMIFS('ON Data'!AA:AA,'ON Data'!$E:$E,12))</f>
        <v>0</v>
      </c>
      <c r="W21" s="390">
        <f xml:space="preserve">
IF($A$4&lt;=12,SUMIFS('ON Data'!AB:AB,'ON Data'!$D:$D,$A$4,'ON Data'!$E:$E,12),SUMIFS('ON Data'!AB:AB,'ON Data'!$E:$E,12))</f>
        <v>0</v>
      </c>
      <c r="X21" s="390">
        <f xml:space="preserve">
IF($A$4&lt;=12,SUMIFS('ON Data'!AC:AC,'ON Data'!$D:$D,$A$4,'ON Data'!$E:$E,12),SUMIFS('ON Data'!AC:AC,'ON Data'!$E:$E,12))</f>
        <v>0</v>
      </c>
      <c r="Y21" s="390">
        <f xml:space="preserve">
IF($A$4&lt;=12,SUMIFS('ON Data'!AD:AD,'ON Data'!$D:$D,$A$4,'ON Data'!$E:$E,12),SUMIFS('ON Data'!AD:AD,'ON Data'!$E:$E,12))</f>
        <v>0</v>
      </c>
      <c r="Z21" s="390">
        <f xml:space="preserve">
IF($A$4&lt;=12,SUMIFS('ON Data'!AE:AE,'ON Data'!$D:$D,$A$4,'ON Data'!$E:$E,12),SUMIFS('ON Data'!AE:AE,'ON Data'!$E:$E,12))</f>
        <v>0</v>
      </c>
      <c r="AA21" s="390">
        <f xml:space="preserve">
IF($A$4&lt;=12,SUMIFS('ON Data'!AF:AF,'ON Data'!$D:$D,$A$4,'ON Data'!$E:$E,12),SUMIFS('ON Data'!AF:AF,'ON Data'!$E:$E,12))</f>
        <v>0</v>
      </c>
      <c r="AB21" s="390">
        <f xml:space="preserve">
IF($A$4&lt;=12,SUMIFS('ON Data'!AG:AG,'ON Data'!$D:$D,$A$4,'ON Data'!$E:$E,12),SUMIFS('ON Data'!AG:AG,'ON Data'!$E:$E,12))</f>
        <v>0</v>
      </c>
      <c r="AC21" s="390">
        <f xml:space="preserve">
IF($A$4&lt;=12,SUMIFS('ON Data'!AH:AH,'ON Data'!$D:$D,$A$4,'ON Data'!$E:$E,12),SUMIFS('ON Data'!AH:AH,'ON Data'!$E:$E,12))</f>
        <v>0</v>
      </c>
      <c r="AD21" s="390">
        <f xml:space="preserve">
IF($A$4&lt;=12,SUMIFS('ON Data'!AI:AI,'ON Data'!$D:$D,$A$4,'ON Data'!$E:$E,12),SUMIFS('ON Data'!AI:AI,'ON Data'!$E:$E,12))</f>
        <v>0</v>
      </c>
      <c r="AE21" s="390">
        <f xml:space="preserve">
IF($A$4&lt;=12,SUMIFS('ON Data'!AJ:AJ,'ON Data'!$D:$D,$A$4,'ON Data'!$E:$E,12),SUMIFS('ON Data'!AJ:AJ,'ON Data'!$E:$E,12))</f>
        <v>0</v>
      </c>
      <c r="AF21" s="390">
        <f xml:space="preserve">
IF($A$4&lt;=12,SUMIFS('ON Data'!AK:AK,'ON Data'!$D:$D,$A$4,'ON Data'!$E:$E,12),SUMIFS('ON Data'!AK:AK,'ON Data'!$E:$E,12))</f>
        <v>0</v>
      </c>
      <c r="AG21" s="390">
        <f xml:space="preserve">
IF($A$4&lt;=12,SUMIFS('ON Data'!AL:AL,'ON Data'!$D:$D,$A$4,'ON Data'!$E:$E,12),SUMIFS('ON Data'!AL:AL,'ON Data'!$E:$E,12))</f>
        <v>0</v>
      </c>
      <c r="AH21" s="680">
        <f xml:space="preserve">
IF($A$4&lt;=12,SUMIFS('ON Data'!AN:AN,'ON Data'!$D:$D,$A$4,'ON Data'!$E:$E,12),SUMIFS('ON Data'!AN:AN,'ON Data'!$E:$E,12))</f>
        <v>0</v>
      </c>
      <c r="AI21" s="690"/>
    </row>
    <row r="22" spans="1:35" ht="15" hidden="1" outlineLevel="1" thickBot="1" x14ac:dyDescent="0.35">
      <c r="A22" s="368" t="s">
        <v>83</v>
      </c>
      <c r="B22" s="445" t="str">
        <f xml:space="preserve">
IF(OR(B21="",B21=0),"",B20/B21)</f>
        <v/>
      </c>
      <c r="C22" s="446" t="str">
        <f t="shared" ref="C22:G22" si="2" xml:space="preserve">
IF(OR(C21="",C21=0),"",C20/C21)</f>
        <v/>
      </c>
      <c r="D22" s="447" t="str">
        <f t="shared" si="2"/>
        <v/>
      </c>
      <c r="E22" s="447" t="str">
        <f t="shared" si="2"/>
        <v/>
      </c>
      <c r="F22" s="447" t="str">
        <f t="shared" si="2"/>
        <v/>
      </c>
      <c r="G22" s="447" t="str">
        <f t="shared" si="2"/>
        <v/>
      </c>
      <c r="H22" s="447" t="str">
        <f t="shared" ref="H22:AH22" si="3" xml:space="preserve">
IF(OR(H21="",H21=0),"",H20/H21)</f>
        <v/>
      </c>
      <c r="I22" s="447" t="str">
        <f t="shared" si="3"/>
        <v/>
      </c>
      <c r="J22" s="447" t="str">
        <f t="shared" si="3"/>
        <v/>
      </c>
      <c r="K22" s="447" t="str">
        <f t="shared" si="3"/>
        <v/>
      </c>
      <c r="L22" s="447" t="str">
        <f t="shared" si="3"/>
        <v/>
      </c>
      <c r="M22" s="447" t="str">
        <f t="shared" si="3"/>
        <v/>
      </c>
      <c r="N22" s="447" t="str">
        <f t="shared" si="3"/>
        <v/>
      </c>
      <c r="O22" s="447" t="str">
        <f t="shared" si="3"/>
        <v/>
      </c>
      <c r="P22" s="447" t="str">
        <f t="shared" si="3"/>
        <v/>
      </c>
      <c r="Q22" s="447" t="str">
        <f t="shared" si="3"/>
        <v/>
      </c>
      <c r="R22" s="447" t="str">
        <f t="shared" si="3"/>
        <v/>
      </c>
      <c r="S22" s="447" t="str">
        <f t="shared" si="3"/>
        <v/>
      </c>
      <c r="T22" s="447" t="str">
        <f t="shared" si="3"/>
        <v/>
      </c>
      <c r="U22" s="447" t="str">
        <f t="shared" si="3"/>
        <v/>
      </c>
      <c r="V22" s="447" t="str">
        <f t="shared" si="3"/>
        <v/>
      </c>
      <c r="W22" s="447" t="str">
        <f t="shared" si="3"/>
        <v/>
      </c>
      <c r="X22" s="447" t="str">
        <f t="shared" si="3"/>
        <v/>
      </c>
      <c r="Y22" s="447" t="str">
        <f t="shared" si="3"/>
        <v/>
      </c>
      <c r="Z22" s="447" t="str">
        <f t="shared" si="3"/>
        <v/>
      </c>
      <c r="AA22" s="447" t="str">
        <f t="shared" si="3"/>
        <v/>
      </c>
      <c r="AB22" s="447" t="str">
        <f t="shared" si="3"/>
        <v/>
      </c>
      <c r="AC22" s="447" t="str">
        <f t="shared" si="3"/>
        <v/>
      </c>
      <c r="AD22" s="447" t="str">
        <f t="shared" si="3"/>
        <v/>
      </c>
      <c r="AE22" s="447" t="str">
        <f t="shared" si="3"/>
        <v/>
      </c>
      <c r="AF22" s="447" t="str">
        <f t="shared" si="3"/>
        <v/>
      </c>
      <c r="AG22" s="447" t="str">
        <f t="shared" si="3"/>
        <v/>
      </c>
      <c r="AH22" s="685" t="str">
        <f t="shared" si="3"/>
        <v/>
      </c>
      <c r="AI22" s="690"/>
    </row>
    <row r="23" spans="1:35" ht="15" hidden="1" outlineLevel="1" thickBot="1" x14ac:dyDescent="0.35">
      <c r="A23" s="376" t="s">
        <v>56</v>
      </c>
      <c r="B23" s="391">
        <f xml:space="preserve">
IF(B21="","",B20-B21)</f>
        <v>13128684</v>
      </c>
      <c r="C23" s="392">
        <f t="shared" ref="C23:G23" si="4" xml:space="preserve">
IF(C21="","",C20-C21)</f>
        <v>136450</v>
      </c>
      <c r="D23" s="393">
        <f t="shared" si="4"/>
        <v>3757738</v>
      </c>
      <c r="E23" s="393">
        <f t="shared" si="4"/>
        <v>0</v>
      </c>
      <c r="F23" s="393">
        <f t="shared" si="4"/>
        <v>8764130</v>
      </c>
      <c r="G23" s="393">
        <f t="shared" si="4"/>
        <v>95839</v>
      </c>
      <c r="H23" s="393">
        <f t="shared" ref="H23:AH23" si="5" xml:space="preserve">
IF(H21="","",H20-H21)</f>
        <v>0</v>
      </c>
      <c r="I23" s="393">
        <f t="shared" si="5"/>
        <v>0</v>
      </c>
      <c r="J23" s="393">
        <f t="shared" si="5"/>
        <v>0</v>
      </c>
      <c r="K23" s="393">
        <f t="shared" si="5"/>
        <v>0</v>
      </c>
      <c r="L23" s="393">
        <f t="shared" si="5"/>
        <v>0</v>
      </c>
      <c r="M23" s="393">
        <f t="shared" si="5"/>
        <v>0</v>
      </c>
      <c r="N23" s="393">
        <f t="shared" si="5"/>
        <v>0</v>
      </c>
      <c r="O23" s="393">
        <f t="shared" si="5"/>
        <v>0</v>
      </c>
      <c r="P23" s="393">
        <f t="shared" si="5"/>
        <v>0</v>
      </c>
      <c r="Q23" s="393">
        <f t="shared" si="5"/>
        <v>0</v>
      </c>
      <c r="R23" s="393">
        <f t="shared" si="5"/>
        <v>0</v>
      </c>
      <c r="S23" s="393">
        <f t="shared" si="5"/>
        <v>0</v>
      </c>
      <c r="T23" s="393">
        <f t="shared" si="5"/>
        <v>0</v>
      </c>
      <c r="U23" s="393">
        <f t="shared" si="5"/>
        <v>0</v>
      </c>
      <c r="V23" s="393">
        <f t="shared" si="5"/>
        <v>0</v>
      </c>
      <c r="W23" s="393">
        <f t="shared" si="5"/>
        <v>0</v>
      </c>
      <c r="X23" s="393">
        <f t="shared" si="5"/>
        <v>0</v>
      </c>
      <c r="Y23" s="393">
        <f t="shared" si="5"/>
        <v>0</v>
      </c>
      <c r="Z23" s="393">
        <f t="shared" si="5"/>
        <v>0</v>
      </c>
      <c r="AA23" s="393">
        <f t="shared" si="5"/>
        <v>0</v>
      </c>
      <c r="AB23" s="393">
        <f t="shared" si="5"/>
        <v>0</v>
      </c>
      <c r="AC23" s="393">
        <f t="shared" si="5"/>
        <v>0</v>
      </c>
      <c r="AD23" s="393">
        <f t="shared" si="5"/>
        <v>260927</v>
      </c>
      <c r="AE23" s="393">
        <f t="shared" si="5"/>
        <v>0</v>
      </c>
      <c r="AF23" s="393">
        <f t="shared" si="5"/>
        <v>0</v>
      </c>
      <c r="AG23" s="393">
        <f t="shared" si="5"/>
        <v>0</v>
      </c>
      <c r="AH23" s="681">
        <f t="shared" si="5"/>
        <v>113600</v>
      </c>
      <c r="AI23" s="690"/>
    </row>
    <row r="24" spans="1:35" x14ac:dyDescent="0.3">
      <c r="A24" s="370" t="s">
        <v>219</v>
      </c>
      <c r="B24" s="417" t="s">
        <v>3</v>
      </c>
      <c r="C24" s="691" t="s">
        <v>230</v>
      </c>
      <c r="D24" s="665"/>
      <c r="E24" s="666"/>
      <c r="F24" s="666" t="s">
        <v>231</v>
      </c>
      <c r="G24" s="666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6"/>
      <c r="U24" s="666"/>
      <c r="V24" s="666"/>
      <c r="W24" s="666"/>
      <c r="X24" s="666"/>
      <c r="Y24" s="666"/>
      <c r="Z24" s="666"/>
      <c r="AA24" s="666"/>
      <c r="AB24" s="666"/>
      <c r="AC24" s="666"/>
      <c r="AD24" s="666"/>
      <c r="AE24" s="666"/>
      <c r="AF24" s="666"/>
      <c r="AG24" s="666"/>
      <c r="AH24" s="686" t="s">
        <v>232</v>
      </c>
      <c r="AI24" s="690"/>
    </row>
    <row r="25" spans="1:35" x14ac:dyDescent="0.3">
      <c r="A25" s="371" t="s">
        <v>81</v>
      </c>
      <c r="B25" s="388">
        <f xml:space="preserve">
SUM(C25:AH25)</f>
        <v>21800</v>
      </c>
      <c r="C25" s="692">
        <f xml:space="preserve">
IF($A$4&lt;=12,SUMIFS('ON Data'!H:H,'ON Data'!$D:$D,$A$4,'ON Data'!$E:$E,10),SUMIFS('ON Data'!H:H,'ON Data'!$E:$E,10))</f>
        <v>12500</v>
      </c>
      <c r="D25" s="667"/>
      <c r="E25" s="668"/>
      <c r="F25" s="668">
        <f xml:space="preserve">
IF($A$4&lt;=12,SUMIFS('ON Data'!K:K,'ON Data'!$D:$D,$A$4,'ON Data'!$E:$E,10),SUMIFS('ON Data'!K:K,'ON Data'!$E:$E,10))</f>
        <v>9300</v>
      </c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87">
        <f xml:space="preserve">
IF($A$4&lt;=12,SUMIFS('ON Data'!AN:AN,'ON Data'!$D:$D,$A$4,'ON Data'!$E:$E,10),SUMIFS('ON Data'!AN:AN,'ON Data'!$E:$E,10))</f>
        <v>0</v>
      </c>
      <c r="AI25" s="690"/>
    </row>
    <row r="26" spans="1:35" x14ac:dyDescent="0.3">
      <c r="A26" s="377" t="s">
        <v>229</v>
      </c>
      <c r="B26" s="397">
        <f xml:space="preserve">
SUM(C26:AH26)</f>
        <v>29430.313033462902</v>
      </c>
      <c r="C26" s="692">
        <f xml:space="preserve">
IF($A$4&lt;=12,SUMIFS('ON Data'!H:H,'ON Data'!$D:$D,$A$4,'ON Data'!$E:$E,11),SUMIFS('ON Data'!H:H,'ON Data'!$E:$E,11))</f>
        <v>14846.97970012957</v>
      </c>
      <c r="D26" s="667"/>
      <c r="E26" s="668"/>
      <c r="F26" s="669">
        <f xml:space="preserve">
IF($A$4&lt;=12,SUMIFS('ON Data'!K:K,'ON Data'!$D:$D,$A$4,'ON Data'!$E:$E,11),SUMIFS('ON Data'!K:K,'ON Data'!$E:$E,11))</f>
        <v>14583.333333333332</v>
      </c>
      <c r="G26" s="669"/>
      <c r="H26" s="669"/>
      <c r="I26" s="669"/>
      <c r="J26" s="669"/>
      <c r="K26" s="669"/>
      <c r="L26" s="669"/>
      <c r="M26" s="669"/>
      <c r="N26" s="669"/>
      <c r="O26" s="669"/>
      <c r="P26" s="669"/>
      <c r="Q26" s="669"/>
      <c r="R26" s="669"/>
      <c r="S26" s="669"/>
      <c r="T26" s="669"/>
      <c r="U26" s="669"/>
      <c r="V26" s="669"/>
      <c r="W26" s="669"/>
      <c r="X26" s="669"/>
      <c r="Y26" s="669"/>
      <c r="Z26" s="669"/>
      <c r="AA26" s="669"/>
      <c r="AB26" s="669"/>
      <c r="AC26" s="669"/>
      <c r="AD26" s="669"/>
      <c r="AE26" s="669"/>
      <c r="AF26" s="669"/>
      <c r="AG26" s="669"/>
      <c r="AH26" s="687">
        <f xml:space="preserve">
IF($A$4&lt;=12,SUMIFS('ON Data'!AN:AN,'ON Data'!$D:$D,$A$4,'ON Data'!$E:$E,11),SUMIFS('ON Data'!AN:AN,'ON Data'!$E:$E,11))</f>
        <v>0</v>
      </c>
      <c r="AI26" s="690"/>
    </row>
    <row r="27" spans="1:35" x14ac:dyDescent="0.3">
      <c r="A27" s="377" t="s">
        <v>83</v>
      </c>
      <c r="B27" s="418">
        <f xml:space="preserve">
IF(B26=0,0,B25/B26)</f>
        <v>0.74073286190374288</v>
      </c>
      <c r="C27" s="693">
        <f xml:space="preserve">
IF(C26=0,0,C25/C26)</f>
        <v>0.84192207792207807</v>
      </c>
      <c r="D27" s="670"/>
      <c r="E27" s="671"/>
      <c r="F27" s="671">
        <f xml:space="preserve">
IF(F26=0,0,F25/F26)</f>
        <v>0.63771428571428579</v>
      </c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71"/>
      <c r="AH27" s="688">
        <f xml:space="preserve">
IF(AH26=0,0,AH25/AH26)</f>
        <v>0</v>
      </c>
      <c r="AI27" s="690"/>
    </row>
    <row r="28" spans="1:35" ht="15" thickBot="1" x14ac:dyDescent="0.35">
      <c r="A28" s="377" t="s">
        <v>228</v>
      </c>
      <c r="B28" s="397">
        <f xml:space="preserve">
SUM(C28:AH28)</f>
        <v>7630.3130334629022</v>
      </c>
      <c r="C28" s="694">
        <f xml:space="preserve">
C26-C25</f>
        <v>2346.9797001295701</v>
      </c>
      <c r="D28" s="672"/>
      <c r="E28" s="673"/>
      <c r="F28" s="673">
        <f xml:space="preserve">
F26-F25</f>
        <v>5283.3333333333321</v>
      </c>
      <c r="G28" s="673"/>
      <c r="H28" s="673"/>
      <c r="I28" s="673"/>
      <c r="J28" s="673"/>
      <c r="K28" s="673"/>
      <c r="L28" s="673"/>
      <c r="M28" s="673"/>
      <c r="N28" s="673"/>
      <c r="O28" s="673"/>
      <c r="P28" s="673"/>
      <c r="Q28" s="673"/>
      <c r="R28" s="673"/>
      <c r="S28" s="673"/>
      <c r="T28" s="673"/>
      <c r="U28" s="673"/>
      <c r="V28" s="673"/>
      <c r="W28" s="673"/>
      <c r="X28" s="673"/>
      <c r="Y28" s="673"/>
      <c r="Z28" s="673"/>
      <c r="AA28" s="673"/>
      <c r="AB28" s="673"/>
      <c r="AC28" s="673"/>
      <c r="AD28" s="673"/>
      <c r="AE28" s="673"/>
      <c r="AF28" s="673"/>
      <c r="AG28" s="673"/>
      <c r="AH28" s="689">
        <f xml:space="preserve">
AH26-AH25</f>
        <v>0</v>
      </c>
      <c r="AI28" s="690"/>
    </row>
    <row r="29" spans="1:35" x14ac:dyDescent="0.3">
      <c r="A29" s="378"/>
      <c r="B29" s="378"/>
      <c r="C29" s="379"/>
      <c r="D29" s="378"/>
      <c r="E29" s="378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8"/>
      <c r="AG29" s="378"/>
      <c r="AH29" s="378"/>
    </row>
    <row r="30" spans="1:35" x14ac:dyDescent="0.3">
      <c r="A30" s="210" t="s">
        <v>177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59"/>
    </row>
    <row r="31" spans="1:35" x14ac:dyDescent="0.3">
      <c r="A31" s="211" t="s">
        <v>226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59"/>
    </row>
    <row r="32" spans="1:35" ht="14.4" customHeight="1" x14ac:dyDescent="0.3">
      <c r="A32" s="414" t="s">
        <v>223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</row>
    <row r="33" spans="1:1" x14ac:dyDescent="0.3">
      <c r="A33" s="416" t="s">
        <v>233</v>
      </c>
    </row>
    <row r="34" spans="1:1" x14ac:dyDescent="0.3">
      <c r="A34" s="416" t="s">
        <v>234</v>
      </c>
    </row>
    <row r="35" spans="1:1" x14ac:dyDescent="0.3">
      <c r="A35" s="416" t="s">
        <v>235</v>
      </c>
    </row>
    <row r="36" spans="1:1" x14ac:dyDescent="0.3">
      <c r="A36" s="416" t="s">
        <v>236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1" priority="4" operator="greaterThan">
      <formula>1</formula>
    </cfRule>
  </conditionalFormatting>
  <conditionalFormatting sqref="C28 AH28 F28">
    <cfRule type="cellIs" dxfId="20" priority="3" operator="lessThan">
      <formula>0</formula>
    </cfRule>
  </conditionalFormatting>
  <conditionalFormatting sqref="B22:AH22">
    <cfRule type="cellIs" dxfId="19" priority="2" operator="greaterThan">
      <formula>1</formula>
    </cfRule>
  </conditionalFormatting>
  <conditionalFormatting sqref="B23:AH23">
    <cfRule type="cellIs" dxfId="18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9"/>
  <sheetViews>
    <sheetView showGridLines="0" showRowColHeaders="0" workbookViewId="0"/>
  </sheetViews>
  <sheetFormatPr defaultRowHeight="14.4" x14ac:dyDescent="0.3"/>
  <cols>
    <col min="1" max="16384" width="8.88671875" style="357"/>
  </cols>
  <sheetData>
    <row r="1" spans="1:41" x14ac:dyDescent="0.3">
      <c r="A1" s="357" t="s">
        <v>1614</v>
      </c>
    </row>
    <row r="2" spans="1:41" x14ac:dyDescent="0.3">
      <c r="A2" s="361" t="s">
        <v>306</v>
      </c>
    </row>
    <row r="3" spans="1:41" x14ac:dyDescent="0.3">
      <c r="A3" s="357" t="s">
        <v>193</v>
      </c>
      <c r="B3" s="382">
        <v>2015</v>
      </c>
      <c r="D3" s="358">
        <f>MAX(D5:D1048576)</f>
        <v>5</v>
      </c>
      <c r="F3" s="358">
        <f>SUMIF($E5:$E1048576,"&lt;10",F5:F1048576)</f>
        <v>13304435.030000001</v>
      </c>
      <c r="G3" s="358">
        <f t="shared" ref="G3:AO3" si="0">SUMIF($E5:$E1048576,"&lt;10",G5:G1048576)</f>
        <v>136800.5</v>
      </c>
      <c r="H3" s="358">
        <f t="shared" si="0"/>
        <v>3780396.38</v>
      </c>
      <c r="I3" s="358">
        <f t="shared" si="0"/>
        <v>0</v>
      </c>
      <c r="J3" s="358">
        <f t="shared" si="0"/>
        <v>0</v>
      </c>
      <c r="K3" s="358">
        <f t="shared" si="0"/>
        <v>8903543.1500000004</v>
      </c>
      <c r="L3" s="358">
        <f t="shared" si="0"/>
        <v>97928.5</v>
      </c>
      <c r="M3" s="358">
        <f t="shared" si="0"/>
        <v>0</v>
      </c>
      <c r="N3" s="358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8">
        <f t="shared" si="0"/>
        <v>0</v>
      </c>
      <c r="T3" s="358">
        <f t="shared" si="0"/>
        <v>0</v>
      </c>
      <c r="U3" s="358">
        <f t="shared" si="0"/>
        <v>0</v>
      </c>
      <c r="V3" s="358">
        <f t="shared" si="0"/>
        <v>0</v>
      </c>
      <c r="W3" s="358">
        <f t="shared" si="0"/>
        <v>0</v>
      </c>
      <c r="X3" s="358">
        <f t="shared" si="0"/>
        <v>0</v>
      </c>
      <c r="Y3" s="358">
        <f t="shared" si="0"/>
        <v>0</v>
      </c>
      <c r="Z3" s="358">
        <f t="shared" si="0"/>
        <v>0</v>
      </c>
      <c r="AA3" s="358">
        <f t="shared" si="0"/>
        <v>0</v>
      </c>
      <c r="AB3" s="358">
        <f t="shared" si="0"/>
        <v>0</v>
      </c>
      <c r="AC3" s="358">
        <f t="shared" si="0"/>
        <v>0</v>
      </c>
      <c r="AD3" s="358">
        <f t="shared" si="0"/>
        <v>0</v>
      </c>
      <c r="AE3" s="358">
        <f t="shared" si="0"/>
        <v>0</v>
      </c>
      <c r="AF3" s="358">
        <f t="shared" si="0"/>
        <v>0</v>
      </c>
      <c r="AG3" s="358">
        <f t="shared" si="0"/>
        <v>0</v>
      </c>
      <c r="AH3" s="358">
        <f t="shared" si="0"/>
        <v>0</v>
      </c>
      <c r="AI3" s="358">
        <f t="shared" si="0"/>
        <v>271369.5</v>
      </c>
      <c r="AJ3" s="358">
        <f t="shared" si="0"/>
        <v>0</v>
      </c>
      <c r="AK3" s="358">
        <f t="shared" si="0"/>
        <v>0</v>
      </c>
      <c r="AL3" s="358">
        <f t="shared" si="0"/>
        <v>0</v>
      </c>
      <c r="AM3" s="358">
        <f t="shared" si="0"/>
        <v>0</v>
      </c>
      <c r="AN3" s="358">
        <f t="shared" si="0"/>
        <v>114397</v>
      </c>
      <c r="AO3" s="358">
        <f t="shared" si="0"/>
        <v>0</v>
      </c>
    </row>
    <row r="4" spans="1:41" x14ac:dyDescent="0.3">
      <c r="A4" s="357" t="s">
        <v>194</v>
      </c>
      <c r="B4" s="382">
        <v>1</v>
      </c>
      <c r="C4" s="359" t="s">
        <v>5</v>
      </c>
      <c r="D4" s="360" t="s">
        <v>55</v>
      </c>
      <c r="E4" s="360" t="s">
        <v>188</v>
      </c>
      <c r="F4" s="360" t="s">
        <v>3</v>
      </c>
      <c r="G4" s="360" t="s">
        <v>189</v>
      </c>
      <c r="H4" s="360" t="s">
        <v>190</v>
      </c>
      <c r="I4" s="360" t="s">
        <v>191</v>
      </c>
      <c r="J4" s="360" t="s">
        <v>192</v>
      </c>
      <c r="K4" s="360">
        <v>305</v>
      </c>
      <c r="L4" s="360">
        <v>306</v>
      </c>
      <c r="M4" s="360">
        <v>407</v>
      </c>
      <c r="N4" s="360">
        <v>408</v>
      </c>
      <c r="O4" s="360">
        <v>409</v>
      </c>
      <c r="P4" s="360">
        <v>410</v>
      </c>
      <c r="Q4" s="360">
        <v>415</v>
      </c>
      <c r="R4" s="360">
        <v>416</v>
      </c>
      <c r="S4" s="360">
        <v>418</v>
      </c>
      <c r="T4" s="360">
        <v>419</v>
      </c>
      <c r="U4" s="360">
        <v>420</v>
      </c>
      <c r="V4" s="360">
        <v>421</v>
      </c>
      <c r="W4" s="360">
        <v>522</v>
      </c>
      <c r="X4" s="360">
        <v>523</v>
      </c>
      <c r="Y4" s="360">
        <v>524</v>
      </c>
      <c r="Z4" s="360">
        <v>525</v>
      </c>
      <c r="AA4" s="360">
        <v>526</v>
      </c>
      <c r="AB4" s="360">
        <v>527</v>
      </c>
      <c r="AC4" s="360">
        <v>528</v>
      </c>
      <c r="AD4" s="360">
        <v>629</v>
      </c>
      <c r="AE4" s="360">
        <v>630</v>
      </c>
      <c r="AF4" s="360">
        <v>636</v>
      </c>
      <c r="AG4" s="360">
        <v>637</v>
      </c>
      <c r="AH4" s="360">
        <v>640</v>
      </c>
      <c r="AI4" s="360">
        <v>642</v>
      </c>
      <c r="AJ4" s="360">
        <v>743</v>
      </c>
      <c r="AK4" s="360">
        <v>745</v>
      </c>
      <c r="AL4" s="360">
        <v>746</v>
      </c>
      <c r="AM4" s="360">
        <v>747</v>
      </c>
      <c r="AN4" s="360">
        <v>930</v>
      </c>
      <c r="AO4" s="360">
        <v>940</v>
      </c>
    </row>
    <row r="5" spans="1:41" x14ac:dyDescent="0.3">
      <c r="A5" s="357" t="s">
        <v>195</v>
      </c>
      <c r="B5" s="382">
        <v>2</v>
      </c>
      <c r="C5" s="357">
        <v>9</v>
      </c>
      <c r="D5" s="357">
        <v>1</v>
      </c>
      <c r="E5" s="357">
        <v>1</v>
      </c>
      <c r="F5" s="357">
        <v>66</v>
      </c>
      <c r="G5" s="357">
        <v>0</v>
      </c>
      <c r="H5" s="357">
        <v>9.5</v>
      </c>
      <c r="I5" s="357">
        <v>0</v>
      </c>
      <c r="J5" s="357">
        <v>0</v>
      </c>
      <c r="K5" s="357">
        <v>50</v>
      </c>
      <c r="L5" s="357">
        <v>1.5</v>
      </c>
      <c r="M5" s="357">
        <v>0</v>
      </c>
      <c r="N5" s="357">
        <v>0</v>
      </c>
      <c r="O5" s="357">
        <v>0</v>
      </c>
      <c r="P5" s="357">
        <v>0</v>
      </c>
      <c r="Q5" s="357">
        <v>0</v>
      </c>
      <c r="R5" s="357">
        <v>0</v>
      </c>
      <c r="S5" s="357">
        <v>0</v>
      </c>
      <c r="T5" s="357">
        <v>0</v>
      </c>
      <c r="U5" s="357">
        <v>0</v>
      </c>
      <c r="V5" s="357">
        <v>0</v>
      </c>
      <c r="W5" s="357">
        <v>0</v>
      </c>
      <c r="X5" s="357">
        <v>0</v>
      </c>
      <c r="Y5" s="357">
        <v>0</v>
      </c>
      <c r="Z5" s="357">
        <v>0</v>
      </c>
      <c r="AA5" s="357">
        <v>0</v>
      </c>
      <c r="AB5" s="357">
        <v>0</v>
      </c>
      <c r="AC5" s="357">
        <v>0</v>
      </c>
      <c r="AD5" s="357">
        <v>0</v>
      </c>
      <c r="AE5" s="357">
        <v>0</v>
      </c>
      <c r="AF5" s="357">
        <v>0</v>
      </c>
      <c r="AG5" s="357">
        <v>0</v>
      </c>
      <c r="AH5" s="357">
        <v>0</v>
      </c>
      <c r="AI5" s="357">
        <v>4</v>
      </c>
      <c r="AJ5" s="357">
        <v>0</v>
      </c>
      <c r="AK5" s="357">
        <v>0</v>
      </c>
      <c r="AL5" s="357">
        <v>0</v>
      </c>
      <c r="AM5" s="357">
        <v>0</v>
      </c>
      <c r="AN5" s="357">
        <v>1</v>
      </c>
      <c r="AO5" s="357">
        <v>0</v>
      </c>
    </row>
    <row r="6" spans="1:41" x14ac:dyDescent="0.3">
      <c r="A6" s="357" t="s">
        <v>196</v>
      </c>
      <c r="B6" s="382">
        <v>3</v>
      </c>
      <c r="C6" s="357">
        <v>9</v>
      </c>
      <c r="D6" s="357">
        <v>1</v>
      </c>
      <c r="E6" s="357">
        <v>2</v>
      </c>
      <c r="F6" s="357">
        <v>10348.5</v>
      </c>
      <c r="G6" s="357">
        <v>0</v>
      </c>
      <c r="H6" s="357">
        <v>1560</v>
      </c>
      <c r="I6" s="357">
        <v>0</v>
      </c>
      <c r="J6" s="357">
        <v>0</v>
      </c>
      <c r="K6" s="357">
        <v>8016.5</v>
      </c>
      <c r="L6" s="357">
        <v>84</v>
      </c>
      <c r="M6" s="357">
        <v>0</v>
      </c>
      <c r="N6" s="357">
        <v>0</v>
      </c>
      <c r="O6" s="357">
        <v>0</v>
      </c>
      <c r="P6" s="357">
        <v>0</v>
      </c>
      <c r="Q6" s="357">
        <v>0</v>
      </c>
      <c r="R6" s="357">
        <v>0</v>
      </c>
      <c r="S6" s="357">
        <v>0</v>
      </c>
      <c r="T6" s="357">
        <v>0</v>
      </c>
      <c r="U6" s="357">
        <v>0</v>
      </c>
      <c r="V6" s="357">
        <v>0</v>
      </c>
      <c r="W6" s="357">
        <v>0</v>
      </c>
      <c r="X6" s="357">
        <v>0</v>
      </c>
      <c r="Y6" s="357">
        <v>0</v>
      </c>
      <c r="Z6" s="357">
        <v>0</v>
      </c>
      <c r="AA6" s="357">
        <v>0</v>
      </c>
      <c r="AB6" s="357">
        <v>0</v>
      </c>
      <c r="AC6" s="357">
        <v>0</v>
      </c>
      <c r="AD6" s="357">
        <v>0</v>
      </c>
      <c r="AE6" s="357">
        <v>0</v>
      </c>
      <c r="AF6" s="357">
        <v>0</v>
      </c>
      <c r="AG6" s="357">
        <v>0</v>
      </c>
      <c r="AH6" s="357">
        <v>0</v>
      </c>
      <c r="AI6" s="357">
        <v>520</v>
      </c>
      <c r="AJ6" s="357">
        <v>0</v>
      </c>
      <c r="AK6" s="357">
        <v>0</v>
      </c>
      <c r="AL6" s="357">
        <v>0</v>
      </c>
      <c r="AM6" s="357">
        <v>0</v>
      </c>
      <c r="AN6" s="357">
        <v>168</v>
      </c>
      <c r="AO6" s="357">
        <v>0</v>
      </c>
    </row>
    <row r="7" spans="1:41" x14ac:dyDescent="0.3">
      <c r="A7" s="357" t="s">
        <v>197</v>
      </c>
      <c r="B7" s="382">
        <v>4</v>
      </c>
      <c r="C7" s="357">
        <v>9</v>
      </c>
      <c r="D7" s="357">
        <v>1</v>
      </c>
      <c r="E7" s="357">
        <v>3</v>
      </c>
      <c r="F7" s="357">
        <v>233</v>
      </c>
      <c r="G7" s="357">
        <v>0</v>
      </c>
      <c r="H7" s="357">
        <v>20</v>
      </c>
      <c r="I7" s="357">
        <v>0</v>
      </c>
      <c r="J7" s="357">
        <v>0</v>
      </c>
      <c r="K7" s="357">
        <v>193</v>
      </c>
      <c r="L7" s="357">
        <v>20</v>
      </c>
      <c r="M7" s="357">
        <v>0</v>
      </c>
      <c r="N7" s="357">
        <v>0</v>
      </c>
      <c r="O7" s="357">
        <v>0</v>
      </c>
      <c r="P7" s="357">
        <v>0</v>
      </c>
      <c r="Q7" s="357">
        <v>0</v>
      </c>
      <c r="R7" s="357">
        <v>0</v>
      </c>
      <c r="S7" s="357">
        <v>0</v>
      </c>
      <c r="T7" s="357">
        <v>0</v>
      </c>
      <c r="U7" s="357">
        <v>0</v>
      </c>
      <c r="V7" s="357">
        <v>0</v>
      </c>
      <c r="W7" s="357">
        <v>0</v>
      </c>
      <c r="X7" s="357">
        <v>0</v>
      </c>
      <c r="Y7" s="357">
        <v>0</v>
      </c>
      <c r="Z7" s="357">
        <v>0</v>
      </c>
      <c r="AA7" s="357">
        <v>0</v>
      </c>
      <c r="AB7" s="357">
        <v>0</v>
      </c>
      <c r="AC7" s="357">
        <v>0</v>
      </c>
      <c r="AD7" s="357">
        <v>0</v>
      </c>
      <c r="AE7" s="357">
        <v>0</v>
      </c>
      <c r="AF7" s="357">
        <v>0</v>
      </c>
      <c r="AG7" s="357">
        <v>0</v>
      </c>
      <c r="AH7" s="357">
        <v>0</v>
      </c>
      <c r="AI7" s="357">
        <v>0</v>
      </c>
      <c r="AJ7" s="357">
        <v>0</v>
      </c>
      <c r="AK7" s="357">
        <v>0</v>
      </c>
      <c r="AL7" s="357">
        <v>0</v>
      </c>
      <c r="AM7" s="357">
        <v>0</v>
      </c>
      <c r="AN7" s="357">
        <v>0</v>
      </c>
      <c r="AO7" s="357">
        <v>0</v>
      </c>
    </row>
    <row r="8" spans="1:41" x14ac:dyDescent="0.3">
      <c r="A8" s="357" t="s">
        <v>198</v>
      </c>
      <c r="B8" s="382">
        <v>5</v>
      </c>
      <c r="C8" s="357">
        <v>9</v>
      </c>
      <c r="D8" s="357">
        <v>1</v>
      </c>
      <c r="E8" s="357">
        <v>4</v>
      </c>
      <c r="F8" s="357">
        <v>314.5</v>
      </c>
      <c r="G8" s="357">
        <v>0</v>
      </c>
      <c r="H8" s="357">
        <v>268</v>
      </c>
      <c r="I8" s="357">
        <v>0</v>
      </c>
      <c r="J8" s="357">
        <v>0</v>
      </c>
      <c r="K8" s="357">
        <v>16</v>
      </c>
      <c r="L8" s="357">
        <v>0</v>
      </c>
      <c r="M8" s="357">
        <v>0</v>
      </c>
      <c r="N8" s="357">
        <v>0</v>
      </c>
      <c r="O8" s="357">
        <v>0</v>
      </c>
      <c r="P8" s="357">
        <v>0</v>
      </c>
      <c r="Q8" s="357">
        <v>0</v>
      </c>
      <c r="R8" s="357">
        <v>0</v>
      </c>
      <c r="S8" s="357">
        <v>0</v>
      </c>
      <c r="T8" s="357">
        <v>0</v>
      </c>
      <c r="U8" s="357">
        <v>0</v>
      </c>
      <c r="V8" s="357">
        <v>0</v>
      </c>
      <c r="W8" s="357">
        <v>0</v>
      </c>
      <c r="X8" s="357">
        <v>0</v>
      </c>
      <c r="Y8" s="357">
        <v>0</v>
      </c>
      <c r="Z8" s="357">
        <v>0</v>
      </c>
      <c r="AA8" s="357">
        <v>0</v>
      </c>
      <c r="AB8" s="357">
        <v>0</v>
      </c>
      <c r="AC8" s="357">
        <v>0</v>
      </c>
      <c r="AD8" s="357">
        <v>0</v>
      </c>
      <c r="AE8" s="357">
        <v>0</v>
      </c>
      <c r="AF8" s="357">
        <v>0</v>
      </c>
      <c r="AG8" s="357">
        <v>0</v>
      </c>
      <c r="AH8" s="357">
        <v>0</v>
      </c>
      <c r="AI8" s="357">
        <v>30.5</v>
      </c>
      <c r="AJ8" s="357">
        <v>0</v>
      </c>
      <c r="AK8" s="357">
        <v>0</v>
      </c>
      <c r="AL8" s="357">
        <v>0</v>
      </c>
      <c r="AM8" s="357">
        <v>0</v>
      </c>
      <c r="AN8" s="357">
        <v>0</v>
      </c>
      <c r="AO8" s="357">
        <v>0</v>
      </c>
    </row>
    <row r="9" spans="1:41" x14ac:dyDescent="0.3">
      <c r="A9" s="357" t="s">
        <v>199</v>
      </c>
      <c r="B9" s="382">
        <v>6</v>
      </c>
      <c r="C9" s="357">
        <v>9</v>
      </c>
      <c r="D9" s="357">
        <v>1</v>
      </c>
      <c r="E9" s="357">
        <v>5</v>
      </c>
      <c r="F9" s="357">
        <v>46</v>
      </c>
      <c r="G9" s="357">
        <v>46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357">
        <v>0</v>
      </c>
      <c r="P9" s="357">
        <v>0</v>
      </c>
      <c r="Q9" s="357">
        <v>0</v>
      </c>
      <c r="R9" s="357">
        <v>0</v>
      </c>
      <c r="S9" s="357">
        <v>0</v>
      </c>
      <c r="T9" s="357">
        <v>0</v>
      </c>
      <c r="U9" s="357">
        <v>0</v>
      </c>
      <c r="V9" s="357">
        <v>0</v>
      </c>
      <c r="W9" s="357">
        <v>0</v>
      </c>
      <c r="X9" s="357">
        <v>0</v>
      </c>
      <c r="Y9" s="357">
        <v>0</v>
      </c>
      <c r="Z9" s="357">
        <v>0</v>
      </c>
      <c r="AA9" s="357">
        <v>0</v>
      </c>
      <c r="AB9" s="357">
        <v>0</v>
      </c>
      <c r="AC9" s="357">
        <v>0</v>
      </c>
      <c r="AD9" s="357">
        <v>0</v>
      </c>
      <c r="AE9" s="357">
        <v>0</v>
      </c>
      <c r="AF9" s="357">
        <v>0</v>
      </c>
      <c r="AG9" s="357">
        <v>0</v>
      </c>
      <c r="AH9" s="357">
        <v>0</v>
      </c>
      <c r="AI9" s="357">
        <v>0</v>
      </c>
      <c r="AJ9" s="357">
        <v>0</v>
      </c>
      <c r="AK9" s="357">
        <v>0</v>
      </c>
      <c r="AL9" s="357">
        <v>0</v>
      </c>
      <c r="AM9" s="357">
        <v>0</v>
      </c>
      <c r="AN9" s="357">
        <v>0</v>
      </c>
      <c r="AO9" s="357">
        <v>0</v>
      </c>
    </row>
    <row r="10" spans="1:41" x14ac:dyDescent="0.3">
      <c r="A10" s="357" t="s">
        <v>200</v>
      </c>
      <c r="B10" s="382">
        <v>7</v>
      </c>
      <c r="C10" s="357">
        <v>9</v>
      </c>
      <c r="D10" s="357">
        <v>1</v>
      </c>
      <c r="E10" s="357">
        <v>6</v>
      </c>
      <c r="F10" s="357">
        <v>2489841</v>
      </c>
      <c r="G10" s="357">
        <v>11615</v>
      </c>
      <c r="H10" s="357">
        <v>767915</v>
      </c>
      <c r="I10" s="357">
        <v>0</v>
      </c>
      <c r="J10" s="357">
        <v>0</v>
      </c>
      <c r="K10" s="357">
        <v>1611408</v>
      </c>
      <c r="L10" s="357">
        <v>18458</v>
      </c>
      <c r="M10" s="357">
        <v>0</v>
      </c>
      <c r="N10" s="357">
        <v>0</v>
      </c>
      <c r="O10" s="357">
        <v>0</v>
      </c>
      <c r="P10" s="357">
        <v>0</v>
      </c>
      <c r="Q10" s="357">
        <v>0</v>
      </c>
      <c r="R10" s="357">
        <v>0</v>
      </c>
      <c r="S10" s="357">
        <v>0</v>
      </c>
      <c r="T10" s="357">
        <v>0</v>
      </c>
      <c r="U10" s="357">
        <v>0</v>
      </c>
      <c r="V10" s="357">
        <v>0</v>
      </c>
      <c r="W10" s="357">
        <v>0</v>
      </c>
      <c r="X10" s="357">
        <v>0</v>
      </c>
      <c r="Y10" s="357">
        <v>0</v>
      </c>
      <c r="Z10" s="357">
        <v>0</v>
      </c>
      <c r="AA10" s="357">
        <v>0</v>
      </c>
      <c r="AB10" s="357">
        <v>0</v>
      </c>
      <c r="AC10" s="357">
        <v>0</v>
      </c>
      <c r="AD10" s="357">
        <v>0</v>
      </c>
      <c r="AE10" s="357">
        <v>0</v>
      </c>
      <c r="AF10" s="357">
        <v>0</v>
      </c>
      <c r="AG10" s="357">
        <v>0</v>
      </c>
      <c r="AH10" s="357">
        <v>0</v>
      </c>
      <c r="AI10" s="357">
        <v>57865</v>
      </c>
      <c r="AJ10" s="357">
        <v>0</v>
      </c>
      <c r="AK10" s="357">
        <v>0</v>
      </c>
      <c r="AL10" s="357">
        <v>0</v>
      </c>
      <c r="AM10" s="357">
        <v>0</v>
      </c>
      <c r="AN10" s="357">
        <v>22580</v>
      </c>
      <c r="AO10" s="357">
        <v>0</v>
      </c>
    </row>
    <row r="11" spans="1:41" x14ac:dyDescent="0.3">
      <c r="A11" s="357" t="s">
        <v>201</v>
      </c>
      <c r="B11" s="382">
        <v>8</v>
      </c>
      <c r="C11" s="357">
        <v>9</v>
      </c>
      <c r="D11" s="357">
        <v>1</v>
      </c>
      <c r="E11" s="357">
        <v>9</v>
      </c>
      <c r="F11" s="357">
        <v>7224</v>
      </c>
      <c r="G11" s="357">
        <v>0</v>
      </c>
      <c r="H11" s="357">
        <v>0</v>
      </c>
      <c r="I11" s="357">
        <v>0</v>
      </c>
      <c r="J11" s="357">
        <v>0</v>
      </c>
      <c r="K11" s="357">
        <v>6800</v>
      </c>
      <c r="L11" s="357">
        <v>424</v>
      </c>
      <c r="M11" s="357">
        <v>0</v>
      </c>
      <c r="N11" s="357">
        <v>0</v>
      </c>
      <c r="O11" s="357">
        <v>0</v>
      </c>
      <c r="P11" s="357">
        <v>0</v>
      </c>
      <c r="Q11" s="357">
        <v>0</v>
      </c>
      <c r="R11" s="357">
        <v>0</v>
      </c>
      <c r="S11" s="357">
        <v>0</v>
      </c>
      <c r="T11" s="357">
        <v>0</v>
      </c>
      <c r="U11" s="357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0</v>
      </c>
      <c r="AB11" s="357">
        <v>0</v>
      </c>
      <c r="AC11" s="357">
        <v>0</v>
      </c>
      <c r="AD11" s="357">
        <v>0</v>
      </c>
      <c r="AE11" s="357">
        <v>0</v>
      </c>
      <c r="AF11" s="357">
        <v>0</v>
      </c>
      <c r="AG11" s="357">
        <v>0</v>
      </c>
      <c r="AH11" s="357">
        <v>0</v>
      </c>
      <c r="AI11" s="357">
        <v>0</v>
      </c>
      <c r="AJ11" s="357">
        <v>0</v>
      </c>
      <c r="AK11" s="357">
        <v>0</v>
      </c>
      <c r="AL11" s="357">
        <v>0</v>
      </c>
      <c r="AM11" s="357">
        <v>0</v>
      </c>
      <c r="AN11" s="357">
        <v>0</v>
      </c>
      <c r="AO11" s="357">
        <v>0</v>
      </c>
    </row>
    <row r="12" spans="1:41" x14ac:dyDescent="0.3">
      <c r="A12" s="357" t="s">
        <v>202</v>
      </c>
      <c r="B12" s="382">
        <v>9</v>
      </c>
      <c r="C12" s="357">
        <v>9</v>
      </c>
      <c r="D12" s="357">
        <v>1</v>
      </c>
      <c r="E12" s="357">
        <v>10</v>
      </c>
      <c r="F12" s="357">
        <v>6000</v>
      </c>
      <c r="G12" s="357">
        <v>0</v>
      </c>
      <c r="H12" s="357">
        <v>6000</v>
      </c>
      <c r="I12" s="357">
        <v>0</v>
      </c>
      <c r="J12" s="357">
        <v>0</v>
      </c>
      <c r="K12" s="357">
        <v>0</v>
      </c>
      <c r="L12" s="357">
        <v>0</v>
      </c>
      <c r="M12" s="357">
        <v>0</v>
      </c>
      <c r="N12" s="357">
        <v>0</v>
      </c>
      <c r="O12" s="357">
        <v>0</v>
      </c>
      <c r="P12" s="357">
        <v>0</v>
      </c>
      <c r="Q12" s="357">
        <v>0</v>
      </c>
      <c r="R12" s="357">
        <v>0</v>
      </c>
      <c r="S12" s="357">
        <v>0</v>
      </c>
      <c r="T12" s="357">
        <v>0</v>
      </c>
      <c r="U12" s="357">
        <v>0</v>
      </c>
      <c r="V12" s="357">
        <v>0</v>
      </c>
      <c r="W12" s="357">
        <v>0</v>
      </c>
      <c r="X12" s="357">
        <v>0</v>
      </c>
      <c r="Y12" s="357">
        <v>0</v>
      </c>
      <c r="Z12" s="357">
        <v>0</v>
      </c>
      <c r="AA12" s="357">
        <v>0</v>
      </c>
      <c r="AB12" s="357">
        <v>0</v>
      </c>
      <c r="AC12" s="357">
        <v>0</v>
      </c>
      <c r="AD12" s="357">
        <v>0</v>
      </c>
      <c r="AE12" s="357">
        <v>0</v>
      </c>
      <c r="AF12" s="357">
        <v>0</v>
      </c>
      <c r="AG12" s="357">
        <v>0</v>
      </c>
      <c r="AH12" s="357">
        <v>0</v>
      </c>
      <c r="AI12" s="357">
        <v>0</v>
      </c>
      <c r="AJ12" s="357">
        <v>0</v>
      </c>
      <c r="AK12" s="357">
        <v>0</v>
      </c>
      <c r="AL12" s="357">
        <v>0</v>
      </c>
      <c r="AM12" s="357">
        <v>0</v>
      </c>
      <c r="AN12" s="357">
        <v>0</v>
      </c>
      <c r="AO12" s="357">
        <v>0</v>
      </c>
    </row>
    <row r="13" spans="1:41" x14ac:dyDescent="0.3">
      <c r="A13" s="357" t="s">
        <v>203</v>
      </c>
      <c r="B13" s="382">
        <v>10</v>
      </c>
      <c r="C13" s="357">
        <v>9</v>
      </c>
      <c r="D13" s="357">
        <v>1</v>
      </c>
      <c r="E13" s="357">
        <v>11</v>
      </c>
      <c r="F13" s="357">
        <v>5886.0626066925806</v>
      </c>
      <c r="G13" s="357">
        <v>0</v>
      </c>
      <c r="H13" s="357">
        <v>2969.3959400259141</v>
      </c>
      <c r="I13" s="357">
        <v>0</v>
      </c>
      <c r="J13" s="357">
        <v>0</v>
      </c>
      <c r="K13" s="357">
        <v>2916.6666666666665</v>
      </c>
      <c r="L13" s="357">
        <v>0</v>
      </c>
      <c r="M13" s="357">
        <v>0</v>
      </c>
      <c r="N13" s="357">
        <v>0</v>
      </c>
      <c r="O13" s="357">
        <v>0</v>
      </c>
      <c r="P13" s="357">
        <v>0</v>
      </c>
      <c r="Q13" s="357">
        <v>0</v>
      </c>
      <c r="R13" s="357">
        <v>0</v>
      </c>
      <c r="S13" s="357">
        <v>0</v>
      </c>
      <c r="T13" s="357">
        <v>0</v>
      </c>
      <c r="U13" s="357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0</v>
      </c>
      <c r="AB13" s="357">
        <v>0</v>
      </c>
      <c r="AC13" s="357">
        <v>0</v>
      </c>
      <c r="AD13" s="357">
        <v>0</v>
      </c>
      <c r="AE13" s="357">
        <v>0</v>
      </c>
      <c r="AF13" s="357">
        <v>0</v>
      </c>
      <c r="AG13" s="357">
        <v>0</v>
      </c>
      <c r="AH13" s="357">
        <v>0</v>
      </c>
      <c r="AI13" s="357">
        <v>0</v>
      </c>
      <c r="AJ13" s="357">
        <v>0</v>
      </c>
      <c r="AK13" s="357">
        <v>0</v>
      </c>
      <c r="AL13" s="357">
        <v>0</v>
      </c>
      <c r="AM13" s="357">
        <v>0</v>
      </c>
      <c r="AN13" s="357">
        <v>0</v>
      </c>
      <c r="AO13" s="357">
        <v>0</v>
      </c>
    </row>
    <row r="14" spans="1:41" x14ac:dyDescent="0.3">
      <c r="A14" s="357" t="s">
        <v>204</v>
      </c>
      <c r="B14" s="382">
        <v>11</v>
      </c>
      <c r="C14" s="357">
        <v>9</v>
      </c>
      <c r="D14" s="357">
        <v>2</v>
      </c>
      <c r="E14" s="357">
        <v>1</v>
      </c>
      <c r="F14" s="357">
        <v>67.25</v>
      </c>
      <c r="G14" s="357">
        <v>0</v>
      </c>
      <c r="H14" s="357">
        <v>9.5</v>
      </c>
      <c r="I14" s="357">
        <v>0</v>
      </c>
      <c r="J14" s="357">
        <v>0</v>
      </c>
      <c r="K14" s="357">
        <v>51.25</v>
      </c>
      <c r="L14" s="357">
        <v>1.5</v>
      </c>
      <c r="M14" s="357">
        <v>0</v>
      </c>
      <c r="N14" s="357">
        <v>0</v>
      </c>
      <c r="O14" s="357">
        <v>0</v>
      </c>
      <c r="P14" s="357">
        <v>0</v>
      </c>
      <c r="Q14" s="357">
        <v>0</v>
      </c>
      <c r="R14" s="357">
        <v>0</v>
      </c>
      <c r="S14" s="357">
        <v>0</v>
      </c>
      <c r="T14" s="357">
        <v>0</v>
      </c>
      <c r="U14" s="357">
        <v>0</v>
      </c>
      <c r="V14" s="357">
        <v>0</v>
      </c>
      <c r="W14" s="357">
        <v>0</v>
      </c>
      <c r="X14" s="357">
        <v>0</v>
      </c>
      <c r="Y14" s="357">
        <v>0</v>
      </c>
      <c r="Z14" s="357">
        <v>0</v>
      </c>
      <c r="AA14" s="357">
        <v>0</v>
      </c>
      <c r="AB14" s="357">
        <v>0</v>
      </c>
      <c r="AC14" s="357">
        <v>0</v>
      </c>
      <c r="AD14" s="357">
        <v>0</v>
      </c>
      <c r="AE14" s="357">
        <v>0</v>
      </c>
      <c r="AF14" s="357">
        <v>0</v>
      </c>
      <c r="AG14" s="357">
        <v>0</v>
      </c>
      <c r="AH14" s="357">
        <v>0</v>
      </c>
      <c r="AI14" s="357">
        <v>4</v>
      </c>
      <c r="AJ14" s="357">
        <v>0</v>
      </c>
      <c r="AK14" s="357">
        <v>0</v>
      </c>
      <c r="AL14" s="357">
        <v>0</v>
      </c>
      <c r="AM14" s="357">
        <v>0</v>
      </c>
      <c r="AN14" s="357">
        <v>1</v>
      </c>
      <c r="AO14" s="357">
        <v>0</v>
      </c>
    </row>
    <row r="15" spans="1:41" x14ac:dyDescent="0.3">
      <c r="A15" s="357" t="s">
        <v>205</v>
      </c>
      <c r="B15" s="382">
        <v>12</v>
      </c>
      <c r="C15" s="357">
        <v>9</v>
      </c>
      <c r="D15" s="357">
        <v>2</v>
      </c>
      <c r="E15" s="357">
        <v>2</v>
      </c>
      <c r="F15" s="357">
        <v>8527.5</v>
      </c>
      <c r="G15" s="357">
        <v>0</v>
      </c>
      <c r="H15" s="357">
        <v>1480</v>
      </c>
      <c r="I15" s="357">
        <v>0</v>
      </c>
      <c r="J15" s="357">
        <v>0</v>
      </c>
      <c r="K15" s="357">
        <v>6523.5</v>
      </c>
      <c r="L15" s="357">
        <v>60</v>
      </c>
      <c r="M15" s="357">
        <v>0</v>
      </c>
      <c r="N15" s="357">
        <v>0</v>
      </c>
      <c r="O15" s="357">
        <v>0</v>
      </c>
      <c r="P15" s="357">
        <v>0</v>
      </c>
      <c r="Q15" s="357">
        <v>0</v>
      </c>
      <c r="R15" s="357">
        <v>0</v>
      </c>
      <c r="S15" s="357">
        <v>0</v>
      </c>
      <c r="T15" s="357">
        <v>0</v>
      </c>
      <c r="U15" s="357">
        <v>0</v>
      </c>
      <c r="V15" s="357">
        <v>0</v>
      </c>
      <c r="W15" s="357">
        <v>0</v>
      </c>
      <c r="X15" s="357">
        <v>0</v>
      </c>
      <c r="Y15" s="357">
        <v>0</v>
      </c>
      <c r="Z15" s="357">
        <v>0</v>
      </c>
      <c r="AA15" s="357">
        <v>0</v>
      </c>
      <c r="AB15" s="357">
        <v>0</v>
      </c>
      <c r="AC15" s="357">
        <v>0</v>
      </c>
      <c r="AD15" s="357">
        <v>0</v>
      </c>
      <c r="AE15" s="357">
        <v>0</v>
      </c>
      <c r="AF15" s="357">
        <v>0</v>
      </c>
      <c r="AG15" s="357">
        <v>0</v>
      </c>
      <c r="AH15" s="357">
        <v>0</v>
      </c>
      <c r="AI15" s="357">
        <v>320</v>
      </c>
      <c r="AJ15" s="357">
        <v>0</v>
      </c>
      <c r="AK15" s="357">
        <v>0</v>
      </c>
      <c r="AL15" s="357">
        <v>0</v>
      </c>
      <c r="AM15" s="357">
        <v>0</v>
      </c>
      <c r="AN15" s="357">
        <v>144</v>
      </c>
      <c r="AO15" s="357">
        <v>0</v>
      </c>
    </row>
    <row r="16" spans="1:41" x14ac:dyDescent="0.3">
      <c r="A16" s="357" t="s">
        <v>193</v>
      </c>
      <c r="B16" s="382">
        <v>2015</v>
      </c>
      <c r="C16" s="357">
        <v>9</v>
      </c>
      <c r="D16" s="357">
        <v>2</v>
      </c>
      <c r="E16" s="357">
        <v>3</v>
      </c>
      <c r="F16" s="357">
        <v>489.5</v>
      </c>
      <c r="G16" s="357">
        <v>0</v>
      </c>
      <c r="H16" s="357">
        <v>11.5</v>
      </c>
      <c r="I16" s="357">
        <v>0</v>
      </c>
      <c r="J16" s="357">
        <v>0</v>
      </c>
      <c r="K16" s="357">
        <v>448</v>
      </c>
      <c r="L16" s="357">
        <v>30</v>
      </c>
      <c r="M16" s="357">
        <v>0</v>
      </c>
      <c r="N16" s="357">
        <v>0</v>
      </c>
      <c r="O16" s="357">
        <v>0</v>
      </c>
      <c r="P16" s="357">
        <v>0</v>
      </c>
      <c r="Q16" s="357">
        <v>0</v>
      </c>
      <c r="R16" s="357">
        <v>0</v>
      </c>
      <c r="S16" s="357">
        <v>0</v>
      </c>
      <c r="T16" s="357">
        <v>0</v>
      </c>
      <c r="U16" s="357">
        <v>0</v>
      </c>
      <c r="V16" s="357">
        <v>0</v>
      </c>
      <c r="W16" s="357">
        <v>0</v>
      </c>
      <c r="X16" s="357">
        <v>0</v>
      </c>
      <c r="Y16" s="357">
        <v>0</v>
      </c>
      <c r="Z16" s="357">
        <v>0</v>
      </c>
      <c r="AA16" s="357">
        <v>0</v>
      </c>
      <c r="AB16" s="357">
        <v>0</v>
      </c>
      <c r="AC16" s="357">
        <v>0</v>
      </c>
      <c r="AD16" s="357">
        <v>0</v>
      </c>
      <c r="AE16" s="357">
        <v>0</v>
      </c>
      <c r="AF16" s="357">
        <v>0</v>
      </c>
      <c r="AG16" s="357">
        <v>0</v>
      </c>
      <c r="AH16" s="357">
        <v>0</v>
      </c>
      <c r="AI16" s="357">
        <v>0</v>
      </c>
      <c r="AJ16" s="357">
        <v>0</v>
      </c>
      <c r="AK16" s="357">
        <v>0</v>
      </c>
      <c r="AL16" s="357">
        <v>0</v>
      </c>
      <c r="AM16" s="357">
        <v>0</v>
      </c>
      <c r="AN16" s="357">
        <v>0</v>
      </c>
      <c r="AO16" s="357">
        <v>0</v>
      </c>
    </row>
    <row r="17" spans="3:41" x14ac:dyDescent="0.3">
      <c r="C17" s="357">
        <v>9</v>
      </c>
      <c r="D17" s="357">
        <v>2</v>
      </c>
      <c r="E17" s="357">
        <v>4</v>
      </c>
      <c r="F17" s="357">
        <v>550.63</v>
      </c>
      <c r="G17" s="357">
        <v>0</v>
      </c>
      <c r="H17" s="357">
        <v>266.38</v>
      </c>
      <c r="I17" s="357">
        <v>0</v>
      </c>
      <c r="J17" s="357">
        <v>0</v>
      </c>
      <c r="K17" s="357">
        <v>234.25</v>
      </c>
      <c r="L17" s="357">
        <v>0</v>
      </c>
      <c r="M17" s="357">
        <v>0</v>
      </c>
      <c r="N17" s="357">
        <v>0</v>
      </c>
      <c r="O17" s="357">
        <v>0</v>
      </c>
      <c r="P17" s="357">
        <v>0</v>
      </c>
      <c r="Q17" s="357">
        <v>0</v>
      </c>
      <c r="R17" s="357">
        <v>0</v>
      </c>
      <c r="S17" s="357">
        <v>0</v>
      </c>
      <c r="T17" s="357">
        <v>0</v>
      </c>
      <c r="U17" s="357">
        <v>0</v>
      </c>
      <c r="V17" s="357">
        <v>0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  <c r="AC17" s="357">
        <v>0</v>
      </c>
      <c r="AD17" s="357">
        <v>0</v>
      </c>
      <c r="AE17" s="357">
        <v>0</v>
      </c>
      <c r="AF17" s="357">
        <v>0</v>
      </c>
      <c r="AG17" s="357">
        <v>0</v>
      </c>
      <c r="AH17" s="357">
        <v>0</v>
      </c>
      <c r="AI17" s="357">
        <v>50</v>
      </c>
      <c r="AJ17" s="357">
        <v>0</v>
      </c>
      <c r="AK17" s="357">
        <v>0</v>
      </c>
      <c r="AL17" s="357">
        <v>0</v>
      </c>
      <c r="AM17" s="357">
        <v>0</v>
      </c>
      <c r="AN17" s="357">
        <v>0</v>
      </c>
      <c r="AO17" s="357">
        <v>0</v>
      </c>
    </row>
    <row r="18" spans="3:41" x14ac:dyDescent="0.3">
      <c r="C18" s="357">
        <v>9</v>
      </c>
      <c r="D18" s="357">
        <v>2</v>
      </c>
      <c r="E18" s="357">
        <v>5</v>
      </c>
      <c r="F18" s="357">
        <v>26.5</v>
      </c>
      <c r="G18" s="357">
        <v>26.5</v>
      </c>
      <c r="H18" s="357">
        <v>0</v>
      </c>
      <c r="I18" s="357">
        <v>0</v>
      </c>
      <c r="J18" s="357">
        <v>0</v>
      </c>
      <c r="K18" s="357">
        <v>0</v>
      </c>
      <c r="L18" s="357">
        <v>0</v>
      </c>
      <c r="M18" s="357">
        <v>0</v>
      </c>
      <c r="N18" s="357">
        <v>0</v>
      </c>
      <c r="O18" s="357">
        <v>0</v>
      </c>
      <c r="P18" s="357">
        <v>0</v>
      </c>
      <c r="Q18" s="357">
        <v>0</v>
      </c>
      <c r="R18" s="357">
        <v>0</v>
      </c>
      <c r="S18" s="357">
        <v>0</v>
      </c>
      <c r="T18" s="357">
        <v>0</v>
      </c>
      <c r="U18" s="357">
        <v>0</v>
      </c>
      <c r="V18" s="357">
        <v>0</v>
      </c>
      <c r="W18" s="357">
        <v>0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57">
        <v>0</v>
      </c>
      <c r="AD18" s="357">
        <v>0</v>
      </c>
      <c r="AE18" s="357">
        <v>0</v>
      </c>
      <c r="AF18" s="357">
        <v>0</v>
      </c>
      <c r="AG18" s="357">
        <v>0</v>
      </c>
      <c r="AH18" s="357">
        <v>0</v>
      </c>
      <c r="AI18" s="357">
        <v>0</v>
      </c>
      <c r="AJ18" s="357">
        <v>0</v>
      </c>
      <c r="AK18" s="357">
        <v>0</v>
      </c>
      <c r="AL18" s="357">
        <v>0</v>
      </c>
      <c r="AM18" s="357">
        <v>0</v>
      </c>
      <c r="AN18" s="357">
        <v>0</v>
      </c>
      <c r="AO18" s="357">
        <v>0</v>
      </c>
    </row>
    <row r="19" spans="3:41" x14ac:dyDescent="0.3">
      <c r="C19" s="357">
        <v>9</v>
      </c>
      <c r="D19" s="357">
        <v>2</v>
      </c>
      <c r="E19" s="357">
        <v>6</v>
      </c>
      <c r="F19" s="357">
        <v>2521225</v>
      </c>
      <c r="G19" s="357">
        <v>10490</v>
      </c>
      <c r="H19" s="357">
        <v>743495</v>
      </c>
      <c r="I19" s="357">
        <v>0</v>
      </c>
      <c r="J19" s="357">
        <v>0</v>
      </c>
      <c r="K19" s="357">
        <v>1682216</v>
      </c>
      <c r="L19" s="357">
        <v>19481</v>
      </c>
      <c r="M19" s="357">
        <v>0</v>
      </c>
      <c r="N19" s="357">
        <v>0</v>
      </c>
      <c r="O19" s="357">
        <v>0</v>
      </c>
      <c r="P19" s="357">
        <v>0</v>
      </c>
      <c r="Q19" s="357">
        <v>0</v>
      </c>
      <c r="R19" s="357">
        <v>0</v>
      </c>
      <c r="S19" s="357">
        <v>0</v>
      </c>
      <c r="T19" s="357">
        <v>0</v>
      </c>
      <c r="U19" s="357">
        <v>0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57">
        <v>0</v>
      </c>
      <c r="AD19" s="357">
        <v>0</v>
      </c>
      <c r="AE19" s="357">
        <v>0</v>
      </c>
      <c r="AF19" s="357">
        <v>0</v>
      </c>
      <c r="AG19" s="357">
        <v>0</v>
      </c>
      <c r="AH19" s="357">
        <v>0</v>
      </c>
      <c r="AI19" s="357">
        <v>43018</v>
      </c>
      <c r="AJ19" s="357">
        <v>0</v>
      </c>
      <c r="AK19" s="357">
        <v>0</v>
      </c>
      <c r="AL19" s="357">
        <v>0</v>
      </c>
      <c r="AM19" s="357">
        <v>0</v>
      </c>
      <c r="AN19" s="357">
        <v>22525</v>
      </c>
      <c r="AO19" s="357">
        <v>0</v>
      </c>
    </row>
    <row r="20" spans="3:41" x14ac:dyDescent="0.3">
      <c r="C20" s="357">
        <v>9</v>
      </c>
      <c r="D20" s="357">
        <v>2</v>
      </c>
      <c r="E20" s="357">
        <v>9</v>
      </c>
      <c r="F20" s="357">
        <v>33066</v>
      </c>
      <c r="G20" s="357">
        <v>0</v>
      </c>
      <c r="H20" s="357">
        <v>0</v>
      </c>
      <c r="I20" s="357">
        <v>0</v>
      </c>
      <c r="J20" s="357">
        <v>0</v>
      </c>
      <c r="K20" s="357">
        <v>27266</v>
      </c>
      <c r="L20" s="357">
        <v>500</v>
      </c>
      <c r="M20" s="357">
        <v>0</v>
      </c>
      <c r="N20" s="357">
        <v>0</v>
      </c>
      <c r="O20" s="357">
        <v>0</v>
      </c>
      <c r="P20" s="357">
        <v>0</v>
      </c>
      <c r="Q20" s="357">
        <v>0</v>
      </c>
      <c r="R20" s="357">
        <v>0</v>
      </c>
      <c r="S20" s="357">
        <v>0</v>
      </c>
      <c r="T20" s="357">
        <v>0</v>
      </c>
      <c r="U20" s="357">
        <v>0</v>
      </c>
      <c r="V20" s="357">
        <v>0</v>
      </c>
      <c r="W20" s="357">
        <v>0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57">
        <v>0</v>
      </c>
      <c r="AD20" s="357">
        <v>0</v>
      </c>
      <c r="AE20" s="357">
        <v>0</v>
      </c>
      <c r="AF20" s="357">
        <v>0</v>
      </c>
      <c r="AG20" s="357">
        <v>0</v>
      </c>
      <c r="AH20" s="357">
        <v>0</v>
      </c>
      <c r="AI20" s="357">
        <v>5300</v>
      </c>
      <c r="AJ20" s="357">
        <v>0</v>
      </c>
      <c r="AK20" s="357">
        <v>0</v>
      </c>
      <c r="AL20" s="357">
        <v>0</v>
      </c>
      <c r="AM20" s="357">
        <v>0</v>
      </c>
      <c r="AN20" s="357">
        <v>0</v>
      </c>
      <c r="AO20" s="357">
        <v>0</v>
      </c>
    </row>
    <row r="21" spans="3:41" x14ac:dyDescent="0.3">
      <c r="C21" s="357">
        <v>9</v>
      </c>
      <c r="D21" s="357">
        <v>2</v>
      </c>
      <c r="E21" s="357">
        <v>10</v>
      </c>
      <c r="F21" s="357">
        <v>3450</v>
      </c>
      <c r="G21" s="357">
        <v>0</v>
      </c>
      <c r="H21" s="357">
        <v>1450</v>
      </c>
      <c r="I21" s="357">
        <v>0</v>
      </c>
      <c r="J21" s="357">
        <v>0</v>
      </c>
      <c r="K21" s="357">
        <v>2000</v>
      </c>
      <c r="L21" s="357">
        <v>0</v>
      </c>
      <c r="M21" s="357">
        <v>0</v>
      </c>
      <c r="N21" s="357">
        <v>0</v>
      </c>
      <c r="O21" s="357">
        <v>0</v>
      </c>
      <c r="P21" s="357">
        <v>0</v>
      </c>
      <c r="Q21" s="357">
        <v>0</v>
      </c>
      <c r="R21" s="357">
        <v>0</v>
      </c>
      <c r="S21" s="357">
        <v>0</v>
      </c>
      <c r="T21" s="357">
        <v>0</v>
      </c>
      <c r="U21" s="357">
        <v>0</v>
      </c>
      <c r="V21" s="357">
        <v>0</v>
      </c>
      <c r="W21" s="357">
        <v>0</v>
      </c>
      <c r="X21" s="357">
        <v>0</v>
      </c>
      <c r="Y21" s="357">
        <v>0</v>
      </c>
      <c r="Z21" s="357">
        <v>0</v>
      </c>
      <c r="AA21" s="357">
        <v>0</v>
      </c>
      <c r="AB21" s="357">
        <v>0</v>
      </c>
      <c r="AC21" s="357">
        <v>0</v>
      </c>
      <c r="AD21" s="357">
        <v>0</v>
      </c>
      <c r="AE21" s="357">
        <v>0</v>
      </c>
      <c r="AF21" s="357">
        <v>0</v>
      </c>
      <c r="AG21" s="357">
        <v>0</v>
      </c>
      <c r="AH21" s="357">
        <v>0</v>
      </c>
      <c r="AI21" s="357">
        <v>0</v>
      </c>
      <c r="AJ21" s="357">
        <v>0</v>
      </c>
      <c r="AK21" s="357">
        <v>0</v>
      </c>
      <c r="AL21" s="357">
        <v>0</v>
      </c>
      <c r="AM21" s="357">
        <v>0</v>
      </c>
      <c r="AN21" s="357">
        <v>0</v>
      </c>
      <c r="AO21" s="357">
        <v>0</v>
      </c>
    </row>
    <row r="22" spans="3:41" x14ac:dyDescent="0.3">
      <c r="C22" s="357">
        <v>9</v>
      </c>
      <c r="D22" s="357">
        <v>2</v>
      </c>
      <c r="E22" s="357">
        <v>11</v>
      </c>
      <c r="F22" s="357">
        <v>5886.0626066925806</v>
      </c>
      <c r="G22" s="357">
        <v>0</v>
      </c>
      <c r="H22" s="357">
        <v>2969.3959400259141</v>
      </c>
      <c r="I22" s="357">
        <v>0</v>
      </c>
      <c r="J22" s="357">
        <v>0</v>
      </c>
      <c r="K22" s="357">
        <v>2916.6666666666665</v>
      </c>
      <c r="L22" s="357">
        <v>0</v>
      </c>
      <c r="M22" s="357">
        <v>0</v>
      </c>
      <c r="N22" s="357">
        <v>0</v>
      </c>
      <c r="O22" s="357">
        <v>0</v>
      </c>
      <c r="P22" s="357">
        <v>0</v>
      </c>
      <c r="Q22" s="357">
        <v>0</v>
      </c>
      <c r="R22" s="357">
        <v>0</v>
      </c>
      <c r="S22" s="357">
        <v>0</v>
      </c>
      <c r="T22" s="357">
        <v>0</v>
      </c>
      <c r="U22" s="357">
        <v>0</v>
      </c>
      <c r="V22" s="357">
        <v>0</v>
      </c>
      <c r="W22" s="357">
        <v>0</v>
      </c>
      <c r="X22" s="357">
        <v>0</v>
      </c>
      <c r="Y22" s="357">
        <v>0</v>
      </c>
      <c r="Z22" s="357">
        <v>0</v>
      </c>
      <c r="AA22" s="357">
        <v>0</v>
      </c>
      <c r="AB22" s="357">
        <v>0</v>
      </c>
      <c r="AC22" s="357">
        <v>0</v>
      </c>
      <c r="AD22" s="357">
        <v>0</v>
      </c>
      <c r="AE22" s="357">
        <v>0</v>
      </c>
      <c r="AF22" s="357">
        <v>0</v>
      </c>
      <c r="AG22" s="357">
        <v>0</v>
      </c>
      <c r="AH22" s="357">
        <v>0</v>
      </c>
      <c r="AI22" s="357">
        <v>0</v>
      </c>
      <c r="AJ22" s="357">
        <v>0</v>
      </c>
      <c r="AK22" s="357">
        <v>0</v>
      </c>
      <c r="AL22" s="357">
        <v>0</v>
      </c>
      <c r="AM22" s="357">
        <v>0</v>
      </c>
      <c r="AN22" s="357">
        <v>0</v>
      </c>
      <c r="AO22" s="357">
        <v>0</v>
      </c>
    </row>
    <row r="23" spans="3:41" x14ac:dyDescent="0.3">
      <c r="C23" s="357">
        <v>9</v>
      </c>
      <c r="D23" s="357">
        <v>3</v>
      </c>
      <c r="E23" s="357">
        <v>1</v>
      </c>
      <c r="F23" s="357">
        <v>66.25</v>
      </c>
      <c r="G23" s="357">
        <v>0</v>
      </c>
      <c r="H23" s="357">
        <v>9.5</v>
      </c>
      <c r="I23" s="357">
        <v>0</v>
      </c>
      <c r="J23" s="357">
        <v>0</v>
      </c>
      <c r="K23" s="357">
        <v>50.25</v>
      </c>
      <c r="L23" s="357">
        <v>1.5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0</v>
      </c>
      <c r="U23" s="357">
        <v>0</v>
      </c>
      <c r="V23" s="357">
        <v>0</v>
      </c>
      <c r="W23" s="357">
        <v>0</v>
      </c>
      <c r="X23" s="357">
        <v>0</v>
      </c>
      <c r="Y23" s="357">
        <v>0</v>
      </c>
      <c r="Z23" s="357">
        <v>0</v>
      </c>
      <c r="AA23" s="357">
        <v>0</v>
      </c>
      <c r="AB23" s="357">
        <v>0</v>
      </c>
      <c r="AC23" s="357">
        <v>0</v>
      </c>
      <c r="AD23" s="357">
        <v>0</v>
      </c>
      <c r="AE23" s="357">
        <v>0</v>
      </c>
      <c r="AF23" s="357">
        <v>0</v>
      </c>
      <c r="AG23" s="357">
        <v>0</v>
      </c>
      <c r="AH23" s="357">
        <v>0</v>
      </c>
      <c r="AI23" s="357">
        <v>4</v>
      </c>
      <c r="AJ23" s="357">
        <v>0</v>
      </c>
      <c r="AK23" s="357">
        <v>0</v>
      </c>
      <c r="AL23" s="357">
        <v>0</v>
      </c>
      <c r="AM23" s="357">
        <v>0</v>
      </c>
      <c r="AN23" s="357">
        <v>1</v>
      </c>
      <c r="AO23" s="357">
        <v>0</v>
      </c>
    </row>
    <row r="24" spans="3:41" x14ac:dyDescent="0.3">
      <c r="C24" s="357">
        <v>9</v>
      </c>
      <c r="D24" s="357">
        <v>3</v>
      </c>
      <c r="E24" s="357">
        <v>2</v>
      </c>
      <c r="F24" s="357">
        <v>8808</v>
      </c>
      <c r="G24" s="357">
        <v>0</v>
      </c>
      <c r="H24" s="357">
        <v>1540</v>
      </c>
      <c r="I24" s="357">
        <v>0</v>
      </c>
      <c r="J24" s="357">
        <v>0</v>
      </c>
      <c r="K24" s="357">
        <v>6624</v>
      </c>
      <c r="L24" s="357">
        <v>36</v>
      </c>
      <c r="M24" s="357">
        <v>0</v>
      </c>
      <c r="N24" s="357">
        <v>0</v>
      </c>
      <c r="O24" s="357">
        <v>0</v>
      </c>
      <c r="P24" s="357">
        <v>0</v>
      </c>
      <c r="Q24" s="357">
        <v>0</v>
      </c>
      <c r="R24" s="357">
        <v>0</v>
      </c>
      <c r="S24" s="357">
        <v>0</v>
      </c>
      <c r="T24" s="357">
        <v>0</v>
      </c>
      <c r="U24" s="357">
        <v>0</v>
      </c>
      <c r="V24" s="357">
        <v>0</v>
      </c>
      <c r="W24" s="357">
        <v>0</v>
      </c>
      <c r="X24" s="357">
        <v>0</v>
      </c>
      <c r="Y24" s="357">
        <v>0</v>
      </c>
      <c r="Z24" s="357">
        <v>0</v>
      </c>
      <c r="AA24" s="357">
        <v>0</v>
      </c>
      <c r="AB24" s="357">
        <v>0</v>
      </c>
      <c r="AC24" s="357">
        <v>0</v>
      </c>
      <c r="AD24" s="357">
        <v>0</v>
      </c>
      <c r="AE24" s="357">
        <v>0</v>
      </c>
      <c r="AF24" s="357">
        <v>0</v>
      </c>
      <c r="AG24" s="357">
        <v>0</v>
      </c>
      <c r="AH24" s="357">
        <v>0</v>
      </c>
      <c r="AI24" s="357">
        <v>432</v>
      </c>
      <c r="AJ24" s="357">
        <v>0</v>
      </c>
      <c r="AK24" s="357">
        <v>0</v>
      </c>
      <c r="AL24" s="357">
        <v>0</v>
      </c>
      <c r="AM24" s="357">
        <v>0</v>
      </c>
      <c r="AN24" s="357">
        <v>176</v>
      </c>
      <c r="AO24" s="357">
        <v>0</v>
      </c>
    </row>
    <row r="25" spans="3:41" x14ac:dyDescent="0.3">
      <c r="C25" s="357">
        <v>9</v>
      </c>
      <c r="D25" s="357">
        <v>3</v>
      </c>
      <c r="E25" s="357">
        <v>3</v>
      </c>
      <c r="F25" s="357">
        <v>725.5</v>
      </c>
      <c r="G25" s="357">
        <v>0</v>
      </c>
      <c r="H25" s="357">
        <v>11.5</v>
      </c>
      <c r="I25" s="357">
        <v>0</v>
      </c>
      <c r="J25" s="357">
        <v>0</v>
      </c>
      <c r="K25" s="357">
        <v>684</v>
      </c>
      <c r="L25" s="357">
        <v>30</v>
      </c>
      <c r="M25" s="357">
        <v>0</v>
      </c>
      <c r="N25" s="357">
        <v>0</v>
      </c>
      <c r="O25" s="357">
        <v>0</v>
      </c>
      <c r="P25" s="357">
        <v>0</v>
      </c>
      <c r="Q25" s="357">
        <v>0</v>
      </c>
      <c r="R25" s="357">
        <v>0</v>
      </c>
      <c r="S25" s="357">
        <v>0</v>
      </c>
      <c r="T25" s="357">
        <v>0</v>
      </c>
      <c r="U25" s="357">
        <v>0</v>
      </c>
      <c r="V25" s="357">
        <v>0</v>
      </c>
      <c r="W25" s="357">
        <v>0</v>
      </c>
      <c r="X25" s="357">
        <v>0</v>
      </c>
      <c r="Y25" s="357">
        <v>0</v>
      </c>
      <c r="Z25" s="357">
        <v>0</v>
      </c>
      <c r="AA25" s="357">
        <v>0</v>
      </c>
      <c r="AB25" s="357">
        <v>0</v>
      </c>
      <c r="AC25" s="357">
        <v>0</v>
      </c>
      <c r="AD25" s="357">
        <v>0</v>
      </c>
      <c r="AE25" s="357">
        <v>0</v>
      </c>
      <c r="AF25" s="357">
        <v>0</v>
      </c>
      <c r="AG25" s="357">
        <v>0</v>
      </c>
      <c r="AH25" s="357">
        <v>0</v>
      </c>
      <c r="AI25" s="357">
        <v>0</v>
      </c>
      <c r="AJ25" s="357">
        <v>0</v>
      </c>
      <c r="AK25" s="357">
        <v>0</v>
      </c>
      <c r="AL25" s="357">
        <v>0</v>
      </c>
      <c r="AM25" s="357">
        <v>0</v>
      </c>
      <c r="AN25" s="357">
        <v>0</v>
      </c>
      <c r="AO25" s="357">
        <v>0</v>
      </c>
    </row>
    <row r="26" spans="3:41" x14ac:dyDescent="0.3">
      <c r="C26" s="357">
        <v>9</v>
      </c>
      <c r="D26" s="357">
        <v>3</v>
      </c>
      <c r="E26" s="357">
        <v>4</v>
      </c>
      <c r="F26" s="357">
        <v>696.5</v>
      </c>
      <c r="G26" s="357">
        <v>0</v>
      </c>
      <c r="H26" s="357">
        <v>239.5</v>
      </c>
      <c r="I26" s="357">
        <v>0</v>
      </c>
      <c r="J26" s="357">
        <v>0</v>
      </c>
      <c r="K26" s="357">
        <v>414.5</v>
      </c>
      <c r="L26" s="357">
        <v>0</v>
      </c>
      <c r="M26" s="357">
        <v>0</v>
      </c>
      <c r="N26" s="357">
        <v>0</v>
      </c>
      <c r="O26" s="357">
        <v>0</v>
      </c>
      <c r="P26" s="357">
        <v>0</v>
      </c>
      <c r="Q26" s="357">
        <v>0</v>
      </c>
      <c r="R26" s="357">
        <v>0</v>
      </c>
      <c r="S26" s="357">
        <v>0</v>
      </c>
      <c r="T26" s="357">
        <v>0</v>
      </c>
      <c r="U26" s="357">
        <v>0</v>
      </c>
      <c r="V26" s="357">
        <v>0</v>
      </c>
      <c r="W26" s="357">
        <v>0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57">
        <v>0</v>
      </c>
      <c r="AD26" s="357">
        <v>0</v>
      </c>
      <c r="AE26" s="357">
        <v>0</v>
      </c>
      <c r="AF26" s="357">
        <v>0</v>
      </c>
      <c r="AG26" s="357">
        <v>0</v>
      </c>
      <c r="AH26" s="357">
        <v>0</v>
      </c>
      <c r="AI26" s="357">
        <v>42.5</v>
      </c>
      <c r="AJ26" s="357">
        <v>0</v>
      </c>
      <c r="AK26" s="357">
        <v>0</v>
      </c>
      <c r="AL26" s="357">
        <v>0</v>
      </c>
      <c r="AM26" s="357">
        <v>0</v>
      </c>
      <c r="AN26" s="357">
        <v>0</v>
      </c>
      <c r="AO26" s="357">
        <v>0</v>
      </c>
    </row>
    <row r="27" spans="3:41" x14ac:dyDescent="0.3">
      <c r="C27" s="357">
        <v>9</v>
      </c>
      <c r="D27" s="357">
        <v>3</v>
      </c>
      <c r="E27" s="357">
        <v>5</v>
      </c>
      <c r="F27" s="357">
        <v>96</v>
      </c>
      <c r="G27" s="357">
        <v>96</v>
      </c>
      <c r="H27" s="357">
        <v>0</v>
      </c>
      <c r="I27" s="357">
        <v>0</v>
      </c>
      <c r="J27" s="357">
        <v>0</v>
      </c>
      <c r="K27" s="357">
        <v>0</v>
      </c>
      <c r="L27" s="357">
        <v>0</v>
      </c>
      <c r="M27" s="357">
        <v>0</v>
      </c>
      <c r="N27" s="357">
        <v>0</v>
      </c>
      <c r="O27" s="357">
        <v>0</v>
      </c>
      <c r="P27" s="357">
        <v>0</v>
      </c>
      <c r="Q27" s="357">
        <v>0</v>
      </c>
      <c r="R27" s="357">
        <v>0</v>
      </c>
      <c r="S27" s="357">
        <v>0</v>
      </c>
      <c r="T27" s="357">
        <v>0</v>
      </c>
      <c r="U27" s="357">
        <v>0</v>
      </c>
      <c r="V27" s="357">
        <v>0</v>
      </c>
      <c r="W27" s="357">
        <v>0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57">
        <v>0</v>
      </c>
      <c r="AD27" s="357">
        <v>0</v>
      </c>
      <c r="AE27" s="357">
        <v>0</v>
      </c>
      <c r="AF27" s="357">
        <v>0</v>
      </c>
      <c r="AG27" s="357">
        <v>0</v>
      </c>
      <c r="AH27" s="357">
        <v>0</v>
      </c>
      <c r="AI27" s="357">
        <v>0</v>
      </c>
      <c r="AJ27" s="357">
        <v>0</v>
      </c>
      <c r="AK27" s="357">
        <v>0</v>
      </c>
      <c r="AL27" s="357">
        <v>0</v>
      </c>
      <c r="AM27" s="357">
        <v>0</v>
      </c>
      <c r="AN27" s="357">
        <v>0</v>
      </c>
      <c r="AO27" s="357">
        <v>0</v>
      </c>
    </row>
    <row r="28" spans="3:41" x14ac:dyDescent="0.3">
      <c r="C28" s="357">
        <v>9</v>
      </c>
      <c r="D28" s="357">
        <v>3</v>
      </c>
      <c r="E28" s="357">
        <v>6</v>
      </c>
      <c r="F28" s="357">
        <v>2621004</v>
      </c>
      <c r="G28" s="357">
        <v>40415</v>
      </c>
      <c r="H28" s="357">
        <v>729670</v>
      </c>
      <c r="I28" s="357">
        <v>0</v>
      </c>
      <c r="J28" s="357">
        <v>0</v>
      </c>
      <c r="K28" s="357">
        <v>1762683</v>
      </c>
      <c r="L28" s="357">
        <v>19840</v>
      </c>
      <c r="M28" s="357">
        <v>0</v>
      </c>
      <c r="N28" s="357">
        <v>0</v>
      </c>
      <c r="O28" s="357">
        <v>0</v>
      </c>
      <c r="P28" s="357">
        <v>0</v>
      </c>
      <c r="Q28" s="357">
        <v>0</v>
      </c>
      <c r="R28" s="357">
        <v>0</v>
      </c>
      <c r="S28" s="357">
        <v>0</v>
      </c>
      <c r="T28" s="357">
        <v>0</v>
      </c>
      <c r="U28" s="357">
        <v>0</v>
      </c>
      <c r="V28" s="357">
        <v>0</v>
      </c>
      <c r="W28" s="357">
        <v>0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57">
        <v>0</v>
      </c>
      <c r="AD28" s="357">
        <v>0</v>
      </c>
      <c r="AE28" s="357">
        <v>0</v>
      </c>
      <c r="AF28" s="357">
        <v>0</v>
      </c>
      <c r="AG28" s="357">
        <v>0</v>
      </c>
      <c r="AH28" s="357">
        <v>0</v>
      </c>
      <c r="AI28" s="357">
        <v>45966</v>
      </c>
      <c r="AJ28" s="357">
        <v>0</v>
      </c>
      <c r="AK28" s="357">
        <v>0</v>
      </c>
      <c r="AL28" s="357">
        <v>0</v>
      </c>
      <c r="AM28" s="357">
        <v>0</v>
      </c>
      <c r="AN28" s="357">
        <v>22430</v>
      </c>
      <c r="AO28" s="357">
        <v>0</v>
      </c>
    </row>
    <row r="29" spans="3:41" x14ac:dyDescent="0.3">
      <c r="C29" s="357">
        <v>9</v>
      </c>
      <c r="D29" s="357">
        <v>3</v>
      </c>
      <c r="E29" s="357">
        <v>9</v>
      </c>
      <c r="F29" s="357">
        <v>12540</v>
      </c>
      <c r="G29" s="357">
        <v>0</v>
      </c>
      <c r="H29" s="357">
        <v>0</v>
      </c>
      <c r="I29" s="357">
        <v>0</v>
      </c>
      <c r="J29" s="357">
        <v>0</v>
      </c>
      <c r="K29" s="357">
        <v>9500</v>
      </c>
      <c r="L29" s="357">
        <v>400</v>
      </c>
      <c r="M29" s="357">
        <v>0</v>
      </c>
      <c r="N29" s="357">
        <v>0</v>
      </c>
      <c r="O29" s="357">
        <v>0</v>
      </c>
      <c r="P29" s="357">
        <v>0</v>
      </c>
      <c r="Q29" s="357">
        <v>0</v>
      </c>
      <c r="R29" s="357">
        <v>0</v>
      </c>
      <c r="S29" s="357">
        <v>0</v>
      </c>
      <c r="T29" s="357">
        <v>0</v>
      </c>
      <c r="U29" s="357">
        <v>0</v>
      </c>
      <c r="V29" s="357">
        <v>0</v>
      </c>
      <c r="W29" s="357">
        <v>0</v>
      </c>
      <c r="X29" s="357">
        <v>0</v>
      </c>
      <c r="Y29" s="357">
        <v>0</v>
      </c>
      <c r="Z29" s="357">
        <v>0</v>
      </c>
      <c r="AA29" s="357">
        <v>0</v>
      </c>
      <c r="AB29" s="357">
        <v>0</v>
      </c>
      <c r="AC29" s="357">
        <v>0</v>
      </c>
      <c r="AD29" s="357">
        <v>0</v>
      </c>
      <c r="AE29" s="357">
        <v>0</v>
      </c>
      <c r="AF29" s="357">
        <v>0</v>
      </c>
      <c r="AG29" s="357">
        <v>0</v>
      </c>
      <c r="AH29" s="357">
        <v>0</v>
      </c>
      <c r="AI29" s="357">
        <v>2640</v>
      </c>
      <c r="AJ29" s="357">
        <v>0</v>
      </c>
      <c r="AK29" s="357">
        <v>0</v>
      </c>
      <c r="AL29" s="357">
        <v>0</v>
      </c>
      <c r="AM29" s="357">
        <v>0</v>
      </c>
      <c r="AN29" s="357">
        <v>0</v>
      </c>
      <c r="AO29" s="357">
        <v>0</v>
      </c>
    </row>
    <row r="30" spans="3:41" x14ac:dyDescent="0.3">
      <c r="C30" s="357">
        <v>9</v>
      </c>
      <c r="D30" s="357">
        <v>3</v>
      </c>
      <c r="E30" s="357">
        <v>10</v>
      </c>
      <c r="F30" s="357">
        <v>1800</v>
      </c>
      <c r="G30" s="357">
        <v>0</v>
      </c>
      <c r="H30" s="357">
        <v>0</v>
      </c>
      <c r="I30" s="357">
        <v>0</v>
      </c>
      <c r="J30" s="357">
        <v>0</v>
      </c>
      <c r="K30" s="357">
        <v>1800</v>
      </c>
      <c r="L30" s="357">
        <v>0</v>
      </c>
      <c r="M30" s="357">
        <v>0</v>
      </c>
      <c r="N30" s="357">
        <v>0</v>
      </c>
      <c r="O30" s="357">
        <v>0</v>
      </c>
      <c r="P30" s="357">
        <v>0</v>
      </c>
      <c r="Q30" s="357">
        <v>0</v>
      </c>
      <c r="R30" s="357">
        <v>0</v>
      </c>
      <c r="S30" s="357">
        <v>0</v>
      </c>
      <c r="T30" s="357">
        <v>0</v>
      </c>
      <c r="U30" s="357">
        <v>0</v>
      </c>
      <c r="V30" s="357">
        <v>0</v>
      </c>
      <c r="W30" s="357">
        <v>0</v>
      </c>
      <c r="X30" s="357">
        <v>0</v>
      </c>
      <c r="Y30" s="357">
        <v>0</v>
      </c>
      <c r="Z30" s="357">
        <v>0</v>
      </c>
      <c r="AA30" s="357">
        <v>0</v>
      </c>
      <c r="AB30" s="357">
        <v>0</v>
      </c>
      <c r="AC30" s="357">
        <v>0</v>
      </c>
      <c r="AD30" s="357">
        <v>0</v>
      </c>
      <c r="AE30" s="357">
        <v>0</v>
      </c>
      <c r="AF30" s="357">
        <v>0</v>
      </c>
      <c r="AG30" s="357">
        <v>0</v>
      </c>
      <c r="AH30" s="357">
        <v>0</v>
      </c>
      <c r="AI30" s="357">
        <v>0</v>
      </c>
      <c r="AJ30" s="357">
        <v>0</v>
      </c>
      <c r="AK30" s="357">
        <v>0</v>
      </c>
      <c r="AL30" s="357">
        <v>0</v>
      </c>
      <c r="AM30" s="357">
        <v>0</v>
      </c>
      <c r="AN30" s="357">
        <v>0</v>
      </c>
      <c r="AO30" s="357">
        <v>0</v>
      </c>
    </row>
    <row r="31" spans="3:41" x14ac:dyDescent="0.3">
      <c r="C31" s="357">
        <v>9</v>
      </c>
      <c r="D31" s="357">
        <v>3</v>
      </c>
      <c r="E31" s="357">
        <v>11</v>
      </c>
      <c r="F31" s="357">
        <v>5886.0626066925806</v>
      </c>
      <c r="G31" s="357">
        <v>0</v>
      </c>
      <c r="H31" s="357">
        <v>2969.3959400259141</v>
      </c>
      <c r="I31" s="357">
        <v>0</v>
      </c>
      <c r="J31" s="357">
        <v>0</v>
      </c>
      <c r="K31" s="357">
        <v>2916.6666666666665</v>
      </c>
      <c r="L31" s="357">
        <v>0</v>
      </c>
      <c r="M31" s="357">
        <v>0</v>
      </c>
      <c r="N31" s="357">
        <v>0</v>
      </c>
      <c r="O31" s="357">
        <v>0</v>
      </c>
      <c r="P31" s="357">
        <v>0</v>
      </c>
      <c r="Q31" s="357">
        <v>0</v>
      </c>
      <c r="R31" s="357">
        <v>0</v>
      </c>
      <c r="S31" s="357">
        <v>0</v>
      </c>
      <c r="T31" s="357">
        <v>0</v>
      </c>
      <c r="U31" s="357">
        <v>0</v>
      </c>
      <c r="V31" s="357">
        <v>0</v>
      </c>
      <c r="W31" s="357">
        <v>0</v>
      </c>
      <c r="X31" s="357">
        <v>0</v>
      </c>
      <c r="Y31" s="357">
        <v>0</v>
      </c>
      <c r="Z31" s="357">
        <v>0</v>
      </c>
      <c r="AA31" s="357">
        <v>0</v>
      </c>
      <c r="AB31" s="357">
        <v>0</v>
      </c>
      <c r="AC31" s="357">
        <v>0</v>
      </c>
      <c r="AD31" s="357">
        <v>0</v>
      </c>
      <c r="AE31" s="357">
        <v>0</v>
      </c>
      <c r="AF31" s="357">
        <v>0</v>
      </c>
      <c r="AG31" s="357">
        <v>0</v>
      </c>
      <c r="AH31" s="357">
        <v>0</v>
      </c>
      <c r="AI31" s="357">
        <v>0</v>
      </c>
      <c r="AJ31" s="357">
        <v>0</v>
      </c>
      <c r="AK31" s="357">
        <v>0</v>
      </c>
      <c r="AL31" s="357">
        <v>0</v>
      </c>
      <c r="AM31" s="357">
        <v>0</v>
      </c>
      <c r="AN31" s="357">
        <v>0</v>
      </c>
      <c r="AO31" s="357">
        <v>0</v>
      </c>
    </row>
    <row r="32" spans="3:41" x14ac:dyDescent="0.3">
      <c r="C32" s="357">
        <v>9</v>
      </c>
      <c r="D32" s="357">
        <v>4</v>
      </c>
      <c r="E32" s="357">
        <v>1</v>
      </c>
      <c r="F32" s="357">
        <v>66.75</v>
      </c>
      <c r="G32" s="357">
        <v>0</v>
      </c>
      <c r="H32" s="357">
        <v>9.5</v>
      </c>
      <c r="I32" s="357">
        <v>0</v>
      </c>
      <c r="J32" s="357">
        <v>0</v>
      </c>
      <c r="K32" s="357">
        <v>50.75</v>
      </c>
      <c r="L32" s="357">
        <v>1.5</v>
      </c>
      <c r="M32" s="357">
        <v>0</v>
      </c>
      <c r="N32" s="357">
        <v>0</v>
      </c>
      <c r="O32" s="357">
        <v>0</v>
      </c>
      <c r="P32" s="357">
        <v>0</v>
      </c>
      <c r="Q32" s="357">
        <v>0</v>
      </c>
      <c r="R32" s="357">
        <v>0</v>
      </c>
      <c r="S32" s="357">
        <v>0</v>
      </c>
      <c r="T32" s="357">
        <v>0</v>
      </c>
      <c r="U32" s="357">
        <v>0</v>
      </c>
      <c r="V32" s="357">
        <v>0</v>
      </c>
      <c r="W32" s="357">
        <v>0</v>
      </c>
      <c r="X32" s="357">
        <v>0</v>
      </c>
      <c r="Y32" s="357">
        <v>0</v>
      </c>
      <c r="Z32" s="357">
        <v>0</v>
      </c>
      <c r="AA32" s="357">
        <v>0</v>
      </c>
      <c r="AB32" s="357">
        <v>0</v>
      </c>
      <c r="AC32" s="357">
        <v>0</v>
      </c>
      <c r="AD32" s="357">
        <v>0</v>
      </c>
      <c r="AE32" s="357">
        <v>0</v>
      </c>
      <c r="AF32" s="357">
        <v>0</v>
      </c>
      <c r="AG32" s="357">
        <v>0</v>
      </c>
      <c r="AH32" s="357">
        <v>0</v>
      </c>
      <c r="AI32" s="357">
        <v>4</v>
      </c>
      <c r="AJ32" s="357">
        <v>0</v>
      </c>
      <c r="AK32" s="357">
        <v>0</v>
      </c>
      <c r="AL32" s="357">
        <v>0</v>
      </c>
      <c r="AM32" s="357">
        <v>0</v>
      </c>
      <c r="AN32" s="357">
        <v>1</v>
      </c>
      <c r="AO32" s="357">
        <v>0</v>
      </c>
    </row>
    <row r="33" spans="3:41" x14ac:dyDescent="0.3">
      <c r="C33" s="357">
        <v>9</v>
      </c>
      <c r="D33" s="357">
        <v>4</v>
      </c>
      <c r="E33" s="357">
        <v>2</v>
      </c>
      <c r="F33" s="357">
        <v>9709.25</v>
      </c>
      <c r="G33" s="357">
        <v>0</v>
      </c>
      <c r="H33" s="357">
        <v>1588</v>
      </c>
      <c r="I33" s="357">
        <v>0</v>
      </c>
      <c r="J33" s="357">
        <v>0</v>
      </c>
      <c r="K33" s="357">
        <v>7437.25</v>
      </c>
      <c r="L33" s="357">
        <v>84</v>
      </c>
      <c r="M33" s="357">
        <v>0</v>
      </c>
      <c r="N33" s="357">
        <v>0</v>
      </c>
      <c r="O33" s="357">
        <v>0</v>
      </c>
      <c r="P33" s="357">
        <v>0</v>
      </c>
      <c r="Q33" s="357">
        <v>0</v>
      </c>
      <c r="R33" s="357">
        <v>0</v>
      </c>
      <c r="S33" s="357">
        <v>0</v>
      </c>
      <c r="T33" s="357">
        <v>0</v>
      </c>
      <c r="U33" s="357">
        <v>0</v>
      </c>
      <c r="V33" s="357">
        <v>0</v>
      </c>
      <c r="W33" s="357">
        <v>0</v>
      </c>
      <c r="X33" s="357">
        <v>0</v>
      </c>
      <c r="Y33" s="357">
        <v>0</v>
      </c>
      <c r="Z33" s="357">
        <v>0</v>
      </c>
      <c r="AA33" s="357">
        <v>0</v>
      </c>
      <c r="AB33" s="357">
        <v>0</v>
      </c>
      <c r="AC33" s="357">
        <v>0</v>
      </c>
      <c r="AD33" s="357">
        <v>0</v>
      </c>
      <c r="AE33" s="357">
        <v>0</v>
      </c>
      <c r="AF33" s="357">
        <v>0</v>
      </c>
      <c r="AG33" s="357">
        <v>0</v>
      </c>
      <c r="AH33" s="357">
        <v>0</v>
      </c>
      <c r="AI33" s="357">
        <v>464</v>
      </c>
      <c r="AJ33" s="357">
        <v>0</v>
      </c>
      <c r="AK33" s="357">
        <v>0</v>
      </c>
      <c r="AL33" s="357">
        <v>0</v>
      </c>
      <c r="AM33" s="357">
        <v>0</v>
      </c>
      <c r="AN33" s="357">
        <v>136</v>
      </c>
      <c r="AO33" s="357">
        <v>0</v>
      </c>
    </row>
    <row r="34" spans="3:41" x14ac:dyDescent="0.3">
      <c r="C34" s="357">
        <v>9</v>
      </c>
      <c r="D34" s="357">
        <v>4</v>
      </c>
      <c r="E34" s="357">
        <v>3</v>
      </c>
      <c r="F34" s="357">
        <v>876.5</v>
      </c>
      <c r="G34" s="357">
        <v>0</v>
      </c>
      <c r="H34" s="357">
        <v>11.5</v>
      </c>
      <c r="I34" s="357">
        <v>0</v>
      </c>
      <c r="J34" s="357">
        <v>0</v>
      </c>
      <c r="K34" s="357">
        <v>830</v>
      </c>
      <c r="L34" s="357">
        <v>35</v>
      </c>
      <c r="M34" s="357">
        <v>0</v>
      </c>
      <c r="N34" s="357">
        <v>0</v>
      </c>
      <c r="O34" s="357">
        <v>0</v>
      </c>
      <c r="P34" s="357">
        <v>0</v>
      </c>
      <c r="Q34" s="357">
        <v>0</v>
      </c>
      <c r="R34" s="357">
        <v>0</v>
      </c>
      <c r="S34" s="357">
        <v>0</v>
      </c>
      <c r="T34" s="357">
        <v>0</v>
      </c>
      <c r="U34" s="357">
        <v>0</v>
      </c>
      <c r="V34" s="357">
        <v>0</v>
      </c>
      <c r="W34" s="357">
        <v>0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57">
        <v>0</v>
      </c>
      <c r="AD34" s="357">
        <v>0</v>
      </c>
      <c r="AE34" s="357">
        <v>0</v>
      </c>
      <c r="AF34" s="357">
        <v>0</v>
      </c>
      <c r="AG34" s="357">
        <v>0</v>
      </c>
      <c r="AH34" s="357">
        <v>0</v>
      </c>
      <c r="AI34" s="357">
        <v>0</v>
      </c>
      <c r="AJ34" s="357">
        <v>0</v>
      </c>
      <c r="AK34" s="357">
        <v>0</v>
      </c>
      <c r="AL34" s="357">
        <v>0</v>
      </c>
      <c r="AM34" s="357">
        <v>0</v>
      </c>
      <c r="AN34" s="357">
        <v>0</v>
      </c>
      <c r="AO34" s="357">
        <v>0</v>
      </c>
    </row>
    <row r="35" spans="3:41" x14ac:dyDescent="0.3">
      <c r="C35" s="357">
        <v>9</v>
      </c>
      <c r="D35" s="357">
        <v>4</v>
      </c>
      <c r="E35" s="357">
        <v>4</v>
      </c>
      <c r="F35" s="357">
        <v>815.15</v>
      </c>
      <c r="G35" s="357">
        <v>0</v>
      </c>
      <c r="H35" s="357">
        <v>291.5</v>
      </c>
      <c r="I35" s="357">
        <v>0</v>
      </c>
      <c r="J35" s="357">
        <v>0</v>
      </c>
      <c r="K35" s="357">
        <v>498.15</v>
      </c>
      <c r="L35" s="357">
        <v>0</v>
      </c>
      <c r="M35" s="357">
        <v>0</v>
      </c>
      <c r="N35" s="357">
        <v>0</v>
      </c>
      <c r="O35" s="357">
        <v>0</v>
      </c>
      <c r="P35" s="357">
        <v>0</v>
      </c>
      <c r="Q35" s="357">
        <v>0</v>
      </c>
      <c r="R35" s="357">
        <v>0</v>
      </c>
      <c r="S35" s="357">
        <v>0</v>
      </c>
      <c r="T35" s="357">
        <v>0</v>
      </c>
      <c r="U35" s="357">
        <v>0</v>
      </c>
      <c r="V35" s="357">
        <v>0</v>
      </c>
      <c r="W35" s="357">
        <v>0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57">
        <v>0</v>
      </c>
      <c r="AD35" s="357">
        <v>0</v>
      </c>
      <c r="AE35" s="357">
        <v>0</v>
      </c>
      <c r="AF35" s="357">
        <v>0</v>
      </c>
      <c r="AG35" s="357">
        <v>0</v>
      </c>
      <c r="AH35" s="357">
        <v>0</v>
      </c>
      <c r="AI35" s="357">
        <v>25.5</v>
      </c>
      <c r="AJ35" s="357">
        <v>0</v>
      </c>
      <c r="AK35" s="357">
        <v>0</v>
      </c>
      <c r="AL35" s="357">
        <v>0</v>
      </c>
      <c r="AM35" s="357">
        <v>0</v>
      </c>
      <c r="AN35" s="357">
        <v>0</v>
      </c>
      <c r="AO35" s="357">
        <v>0</v>
      </c>
    </row>
    <row r="36" spans="3:41" x14ac:dyDescent="0.3">
      <c r="C36" s="357">
        <v>9</v>
      </c>
      <c r="D36" s="357">
        <v>4</v>
      </c>
      <c r="E36" s="357">
        <v>5</v>
      </c>
      <c r="F36" s="357">
        <v>73</v>
      </c>
      <c r="G36" s="357">
        <v>73</v>
      </c>
      <c r="H36" s="357">
        <v>0</v>
      </c>
      <c r="I36" s="357">
        <v>0</v>
      </c>
      <c r="J36" s="357">
        <v>0</v>
      </c>
      <c r="K36" s="357">
        <v>0</v>
      </c>
      <c r="L36" s="357">
        <v>0</v>
      </c>
      <c r="M36" s="357">
        <v>0</v>
      </c>
      <c r="N36" s="357">
        <v>0</v>
      </c>
      <c r="O36" s="357">
        <v>0</v>
      </c>
      <c r="P36" s="357">
        <v>0</v>
      </c>
      <c r="Q36" s="357">
        <v>0</v>
      </c>
      <c r="R36" s="357">
        <v>0</v>
      </c>
      <c r="S36" s="357">
        <v>0</v>
      </c>
      <c r="T36" s="357">
        <v>0</v>
      </c>
      <c r="U36" s="357">
        <v>0</v>
      </c>
      <c r="V36" s="357">
        <v>0</v>
      </c>
      <c r="W36" s="357">
        <v>0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57">
        <v>0</v>
      </c>
      <c r="AD36" s="357">
        <v>0</v>
      </c>
      <c r="AE36" s="357">
        <v>0</v>
      </c>
      <c r="AF36" s="357">
        <v>0</v>
      </c>
      <c r="AG36" s="357">
        <v>0</v>
      </c>
      <c r="AH36" s="357">
        <v>0</v>
      </c>
      <c r="AI36" s="357">
        <v>0</v>
      </c>
      <c r="AJ36" s="357">
        <v>0</v>
      </c>
      <c r="AK36" s="357">
        <v>0</v>
      </c>
      <c r="AL36" s="357">
        <v>0</v>
      </c>
      <c r="AM36" s="357">
        <v>0</v>
      </c>
      <c r="AN36" s="357">
        <v>0</v>
      </c>
      <c r="AO36" s="357">
        <v>0</v>
      </c>
    </row>
    <row r="37" spans="3:41" x14ac:dyDescent="0.3">
      <c r="C37" s="357">
        <v>9</v>
      </c>
      <c r="D37" s="357">
        <v>4</v>
      </c>
      <c r="E37" s="357">
        <v>6</v>
      </c>
      <c r="F37" s="357">
        <v>2740372</v>
      </c>
      <c r="G37" s="357">
        <v>34665</v>
      </c>
      <c r="H37" s="357">
        <v>767160</v>
      </c>
      <c r="I37" s="357">
        <v>0</v>
      </c>
      <c r="J37" s="357">
        <v>0</v>
      </c>
      <c r="K37" s="357">
        <v>1848700</v>
      </c>
      <c r="L37" s="357">
        <v>18763</v>
      </c>
      <c r="M37" s="357">
        <v>0</v>
      </c>
      <c r="N37" s="357">
        <v>0</v>
      </c>
      <c r="O37" s="357">
        <v>0</v>
      </c>
      <c r="P37" s="357">
        <v>0</v>
      </c>
      <c r="Q37" s="357">
        <v>0</v>
      </c>
      <c r="R37" s="357">
        <v>0</v>
      </c>
      <c r="S37" s="357">
        <v>0</v>
      </c>
      <c r="T37" s="357">
        <v>0</v>
      </c>
      <c r="U37" s="357">
        <v>0</v>
      </c>
      <c r="V37" s="357">
        <v>0</v>
      </c>
      <c r="W37" s="357">
        <v>0</v>
      </c>
      <c r="X37" s="357">
        <v>0</v>
      </c>
      <c r="Y37" s="357">
        <v>0</v>
      </c>
      <c r="Z37" s="357">
        <v>0</v>
      </c>
      <c r="AA37" s="357">
        <v>0</v>
      </c>
      <c r="AB37" s="357">
        <v>0</v>
      </c>
      <c r="AC37" s="357">
        <v>0</v>
      </c>
      <c r="AD37" s="357">
        <v>0</v>
      </c>
      <c r="AE37" s="357">
        <v>0</v>
      </c>
      <c r="AF37" s="357">
        <v>0</v>
      </c>
      <c r="AG37" s="357">
        <v>0</v>
      </c>
      <c r="AH37" s="357">
        <v>0</v>
      </c>
      <c r="AI37" s="357">
        <v>47489</v>
      </c>
      <c r="AJ37" s="357">
        <v>0</v>
      </c>
      <c r="AK37" s="357">
        <v>0</v>
      </c>
      <c r="AL37" s="357">
        <v>0</v>
      </c>
      <c r="AM37" s="357">
        <v>0</v>
      </c>
      <c r="AN37" s="357">
        <v>23595</v>
      </c>
      <c r="AO37" s="357">
        <v>0</v>
      </c>
    </row>
    <row r="38" spans="3:41" x14ac:dyDescent="0.3">
      <c r="C38" s="357">
        <v>9</v>
      </c>
      <c r="D38" s="357">
        <v>4</v>
      </c>
      <c r="E38" s="357">
        <v>9</v>
      </c>
      <c r="F38" s="357">
        <v>40394</v>
      </c>
      <c r="G38" s="357">
        <v>0</v>
      </c>
      <c r="H38" s="357">
        <v>13650</v>
      </c>
      <c r="I38" s="357">
        <v>0</v>
      </c>
      <c r="J38" s="357">
        <v>0</v>
      </c>
      <c r="K38" s="357">
        <v>26444</v>
      </c>
      <c r="L38" s="357">
        <v>300</v>
      </c>
      <c r="M38" s="357">
        <v>0</v>
      </c>
      <c r="N38" s="357">
        <v>0</v>
      </c>
      <c r="O38" s="357">
        <v>0</v>
      </c>
      <c r="P38" s="357">
        <v>0</v>
      </c>
      <c r="Q38" s="357">
        <v>0</v>
      </c>
      <c r="R38" s="357">
        <v>0</v>
      </c>
      <c r="S38" s="357">
        <v>0</v>
      </c>
      <c r="T38" s="357">
        <v>0</v>
      </c>
      <c r="U38" s="357">
        <v>0</v>
      </c>
      <c r="V38" s="357">
        <v>0</v>
      </c>
      <c r="W38" s="357">
        <v>0</v>
      </c>
      <c r="X38" s="357">
        <v>0</v>
      </c>
      <c r="Y38" s="357">
        <v>0</v>
      </c>
      <c r="Z38" s="357">
        <v>0</v>
      </c>
      <c r="AA38" s="357">
        <v>0</v>
      </c>
      <c r="AB38" s="357">
        <v>0</v>
      </c>
      <c r="AC38" s="357">
        <v>0</v>
      </c>
      <c r="AD38" s="357">
        <v>0</v>
      </c>
      <c r="AE38" s="357">
        <v>0</v>
      </c>
      <c r="AF38" s="357">
        <v>0</v>
      </c>
      <c r="AG38" s="357">
        <v>0</v>
      </c>
      <c r="AH38" s="357">
        <v>0</v>
      </c>
      <c r="AI38" s="357">
        <v>0</v>
      </c>
      <c r="AJ38" s="357">
        <v>0</v>
      </c>
      <c r="AK38" s="357">
        <v>0</v>
      </c>
      <c r="AL38" s="357">
        <v>0</v>
      </c>
      <c r="AM38" s="357">
        <v>0</v>
      </c>
      <c r="AN38" s="357">
        <v>0</v>
      </c>
      <c r="AO38" s="357">
        <v>0</v>
      </c>
    </row>
    <row r="39" spans="3:41" x14ac:dyDescent="0.3">
      <c r="C39" s="357">
        <v>9</v>
      </c>
      <c r="D39" s="357">
        <v>4</v>
      </c>
      <c r="E39" s="357">
        <v>10</v>
      </c>
      <c r="F39" s="357">
        <v>8250</v>
      </c>
      <c r="G39" s="357">
        <v>0</v>
      </c>
      <c r="H39" s="357">
        <v>3250</v>
      </c>
      <c r="I39" s="357">
        <v>0</v>
      </c>
      <c r="J39" s="357">
        <v>0</v>
      </c>
      <c r="K39" s="357">
        <v>5000</v>
      </c>
      <c r="L39" s="357">
        <v>0</v>
      </c>
      <c r="M39" s="357">
        <v>0</v>
      </c>
      <c r="N39" s="357">
        <v>0</v>
      </c>
      <c r="O39" s="357">
        <v>0</v>
      </c>
      <c r="P39" s="357">
        <v>0</v>
      </c>
      <c r="Q39" s="357">
        <v>0</v>
      </c>
      <c r="R39" s="357">
        <v>0</v>
      </c>
      <c r="S39" s="357">
        <v>0</v>
      </c>
      <c r="T39" s="357">
        <v>0</v>
      </c>
      <c r="U39" s="357">
        <v>0</v>
      </c>
      <c r="V39" s="357">
        <v>0</v>
      </c>
      <c r="W39" s="357">
        <v>0</v>
      </c>
      <c r="X39" s="357">
        <v>0</v>
      </c>
      <c r="Y39" s="357">
        <v>0</v>
      </c>
      <c r="Z39" s="357">
        <v>0</v>
      </c>
      <c r="AA39" s="357">
        <v>0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</row>
    <row r="40" spans="3:41" x14ac:dyDescent="0.3">
      <c r="C40" s="357">
        <v>9</v>
      </c>
      <c r="D40" s="357">
        <v>4</v>
      </c>
      <c r="E40" s="357">
        <v>11</v>
      </c>
      <c r="F40" s="357">
        <v>5886.0626066925806</v>
      </c>
      <c r="G40" s="357">
        <v>0</v>
      </c>
      <c r="H40" s="357">
        <v>2969.3959400259141</v>
      </c>
      <c r="I40" s="357">
        <v>0</v>
      </c>
      <c r="J40" s="357">
        <v>0</v>
      </c>
      <c r="K40" s="357">
        <v>2916.6666666666665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7">
        <v>0</v>
      </c>
      <c r="AB40" s="357">
        <v>0</v>
      </c>
      <c r="AC40" s="357">
        <v>0</v>
      </c>
      <c r="AD40" s="357">
        <v>0</v>
      </c>
      <c r="AE40" s="357">
        <v>0</v>
      </c>
      <c r="AF40" s="357">
        <v>0</v>
      </c>
      <c r="AG40" s="357">
        <v>0</v>
      </c>
      <c r="AH40" s="357">
        <v>0</v>
      </c>
      <c r="AI40" s="357">
        <v>0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  <c r="AO40" s="357">
        <v>0</v>
      </c>
    </row>
    <row r="41" spans="3:41" x14ac:dyDescent="0.3">
      <c r="C41" s="357">
        <v>9</v>
      </c>
      <c r="D41" s="357">
        <v>5</v>
      </c>
      <c r="E41" s="357">
        <v>1</v>
      </c>
      <c r="F41" s="357">
        <v>65.75</v>
      </c>
      <c r="G41" s="357">
        <v>0</v>
      </c>
      <c r="H41" s="357">
        <v>9.5</v>
      </c>
      <c r="I41" s="357">
        <v>0</v>
      </c>
      <c r="J41" s="357">
        <v>0</v>
      </c>
      <c r="K41" s="357">
        <v>50.75</v>
      </c>
      <c r="L41" s="357">
        <v>0.5</v>
      </c>
      <c r="M41" s="357">
        <v>0</v>
      </c>
      <c r="N41" s="357">
        <v>0</v>
      </c>
      <c r="O41" s="357">
        <v>0</v>
      </c>
      <c r="P41" s="357">
        <v>0</v>
      </c>
      <c r="Q41" s="357">
        <v>0</v>
      </c>
      <c r="R41" s="357">
        <v>0</v>
      </c>
      <c r="S41" s="357">
        <v>0</v>
      </c>
      <c r="T41" s="357">
        <v>0</v>
      </c>
      <c r="U41" s="357">
        <v>0</v>
      </c>
      <c r="V41" s="357">
        <v>0</v>
      </c>
      <c r="W41" s="357">
        <v>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57">
        <v>0</v>
      </c>
      <c r="AD41" s="357">
        <v>0</v>
      </c>
      <c r="AE41" s="357">
        <v>0</v>
      </c>
      <c r="AF41" s="357">
        <v>0</v>
      </c>
      <c r="AG41" s="357">
        <v>0</v>
      </c>
      <c r="AH41" s="357">
        <v>0</v>
      </c>
      <c r="AI41" s="357">
        <v>4</v>
      </c>
      <c r="AJ41" s="357">
        <v>0</v>
      </c>
      <c r="AK41" s="357">
        <v>0</v>
      </c>
      <c r="AL41" s="357">
        <v>0</v>
      </c>
      <c r="AM41" s="357">
        <v>0</v>
      </c>
      <c r="AN41" s="357">
        <v>1</v>
      </c>
      <c r="AO41" s="357">
        <v>0</v>
      </c>
    </row>
    <row r="42" spans="3:41" x14ac:dyDescent="0.3">
      <c r="C42" s="357">
        <v>9</v>
      </c>
      <c r="D42" s="357">
        <v>5</v>
      </c>
      <c r="E42" s="357">
        <v>2</v>
      </c>
      <c r="F42" s="357">
        <v>8952.5</v>
      </c>
      <c r="G42" s="357">
        <v>0</v>
      </c>
      <c r="H42" s="357">
        <v>1380</v>
      </c>
      <c r="I42" s="357">
        <v>0</v>
      </c>
      <c r="J42" s="357">
        <v>0</v>
      </c>
      <c r="K42" s="357">
        <v>6796.5</v>
      </c>
      <c r="L42" s="357">
        <v>60</v>
      </c>
      <c r="M42" s="357">
        <v>0</v>
      </c>
      <c r="N42" s="357">
        <v>0</v>
      </c>
      <c r="O42" s="357">
        <v>0</v>
      </c>
      <c r="P42" s="357">
        <v>0</v>
      </c>
      <c r="Q42" s="357">
        <v>0</v>
      </c>
      <c r="R42" s="357">
        <v>0</v>
      </c>
      <c r="S42" s="357">
        <v>0</v>
      </c>
      <c r="T42" s="357">
        <v>0</v>
      </c>
      <c r="U42" s="357">
        <v>0</v>
      </c>
      <c r="V42" s="357">
        <v>0</v>
      </c>
      <c r="W42" s="357">
        <v>0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57">
        <v>0</v>
      </c>
      <c r="AD42" s="357">
        <v>0</v>
      </c>
      <c r="AE42" s="357">
        <v>0</v>
      </c>
      <c r="AF42" s="357">
        <v>0</v>
      </c>
      <c r="AG42" s="357">
        <v>0</v>
      </c>
      <c r="AH42" s="357">
        <v>0</v>
      </c>
      <c r="AI42" s="357">
        <v>548</v>
      </c>
      <c r="AJ42" s="357">
        <v>0</v>
      </c>
      <c r="AK42" s="357">
        <v>0</v>
      </c>
      <c r="AL42" s="357">
        <v>0</v>
      </c>
      <c r="AM42" s="357">
        <v>0</v>
      </c>
      <c r="AN42" s="357">
        <v>168</v>
      </c>
      <c r="AO42" s="357">
        <v>0</v>
      </c>
    </row>
    <row r="43" spans="3:41" x14ac:dyDescent="0.3">
      <c r="C43" s="357">
        <v>9</v>
      </c>
      <c r="D43" s="357">
        <v>5</v>
      </c>
      <c r="E43" s="357">
        <v>3</v>
      </c>
      <c r="F43" s="357">
        <v>778</v>
      </c>
      <c r="G43" s="357">
        <v>0</v>
      </c>
      <c r="H43" s="357">
        <v>34.5</v>
      </c>
      <c r="I43" s="357">
        <v>0</v>
      </c>
      <c r="J43" s="357">
        <v>0</v>
      </c>
      <c r="K43" s="357">
        <v>723.5</v>
      </c>
      <c r="L43" s="357">
        <v>20</v>
      </c>
      <c r="M43" s="357">
        <v>0</v>
      </c>
      <c r="N43" s="357">
        <v>0</v>
      </c>
      <c r="O43" s="357">
        <v>0</v>
      </c>
      <c r="P43" s="357">
        <v>0</v>
      </c>
      <c r="Q43" s="357">
        <v>0</v>
      </c>
      <c r="R43" s="357">
        <v>0</v>
      </c>
      <c r="S43" s="357">
        <v>0</v>
      </c>
      <c r="T43" s="357">
        <v>0</v>
      </c>
      <c r="U43" s="357">
        <v>0</v>
      </c>
      <c r="V43" s="357">
        <v>0</v>
      </c>
      <c r="W43" s="357">
        <v>0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57">
        <v>0</v>
      </c>
      <c r="AD43" s="357">
        <v>0</v>
      </c>
      <c r="AE43" s="357">
        <v>0</v>
      </c>
      <c r="AF43" s="357">
        <v>0</v>
      </c>
      <c r="AG43" s="357">
        <v>0</v>
      </c>
      <c r="AH43" s="357">
        <v>0</v>
      </c>
      <c r="AI43" s="357">
        <v>0</v>
      </c>
      <c r="AJ43" s="357">
        <v>0</v>
      </c>
      <c r="AK43" s="357">
        <v>0</v>
      </c>
      <c r="AL43" s="357">
        <v>0</v>
      </c>
      <c r="AM43" s="357">
        <v>0</v>
      </c>
      <c r="AN43" s="357">
        <v>0</v>
      </c>
      <c r="AO43" s="357">
        <v>0</v>
      </c>
    </row>
    <row r="44" spans="3:41" x14ac:dyDescent="0.3">
      <c r="C44" s="357">
        <v>9</v>
      </c>
      <c r="D44" s="357">
        <v>5</v>
      </c>
      <c r="E44" s="357">
        <v>4</v>
      </c>
      <c r="F44" s="357">
        <v>731.5</v>
      </c>
      <c r="G44" s="357">
        <v>0</v>
      </c>
      <c r="H44" s="357">
        <v>258.5</v>
      </c>
      <c r="I44" s="357">
        <v>0</v>
      </c>
      <c r="J44" s="357">
        <v>0</v>
      </c>
      <c r="K44" s="357">
        <v>423</v>
      </c>
      <c r="L44" s="357">
        <v>0</v>
      </c>
      <c r="M44" s="357">
        <v>0</v>
      </c>
      <c r="N44" s="357">
        <v>0</v>
      </c>
      <c r="O44" s="357">
        <v>0</v>
      </c>
      <c r="P44" s="357">
        <v>0</v>
      </c>
      <c r="Q44" s="357">
        <v>0</v>
      </c>
      <c r="R44" s="357">
        <v>0</v>
      </c>
      <c r="S44" s="357">
        <v>0</v>
      </c>
      <c r="T44" s="357">
        <v>0</v>
      </c>
      <c r="U44" s="357">
        <v>0</v>
      </c>
      <c r="V44" s="357">
        <v>0</v>
      </c>
      <c r="W44" s="357">
        <v>0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57">
        <v>0</v>
      </c>
      <c r="AD44" s="357">
        <v>0</v>
      </c>
      <c r="AE44" s="357">
        <v>0</v>
      </c>
      <c r="AF44" s="357">
        <v>0</v>
      </c>
      <c r="AG44" s="357">
        <v>0</v>
      </c>
      <c r="AH44" s="357">
        <v>0</v>
      </c>
      <c r="AI44" s="357">
        <v>50</v>
      </c>
      <c r="AJ44" s="357">
        <v>0</v>
      </c>
      <c r="AK44" s="357">
        <v>0</v>
      </c>
      <c r="AL44" s="357">
        <v>0</v>
      </c>
      <c r="AM44" s="357">
        <v>0</v>
      </c>
      <c r="AN44" s="357">
        <v>0</v>
      </c>
      <c r="AO44" s="357">
        <v>0</v>
      </c>
    </row>
    <row r="45" spans="3:41" x14ac:dyDescent="0.3">
      <c r="C45" s="357">
        <v>9</v>
      </c>
      <c r="D45" s="357">
        <v>5</v>
      </c>
      <c r="E45" s="357">
        <v>5</v>
      </c>
      <c r="F45" s="357">
        <v>109</v>
      </c>
      <c r="G45" s="357">
        <v>109</v>
      </c>
      <c r="H45" s="357">
        <v>0</v>
      </c>
      <c r="I45" s="357">
        <v>0</v>
      </c>
      <c r="J45" s="357">
        <v>0</v>
      </c>
      <c r="K45" s="357">
        <v>0</v>
      </c>
      <c r="L45" s="357">
        <v>0</v>
      </c>
      <c r="M45" s="357">
        <v>0</v>
      </c>
      <c r="N45" s="357">
        <v>0</v>
      </c>
      <c r="O45" s="357">
        <v>0</v>
      </c>
      <c r="P45" s="357">
        <v>0</v>
      </c>
      <c r="Q45" s="357">
        <v>0</v>
      </c>
      <c r="R45" s="357">
        <v>0</v>
      </c>
      <c r="S45" s="357">
        <v>0</v>
      </c>
      <c r="T45" s="357">
        <v>0</v>
      </c>
      <c r="U45" s="357">
        <v>0</v>
      </c>
      <c r="V45" s="357">
        <v>0</v>
      </c>
      <c r="W45" s="357">
        <v>0</v>
      </c>
      <c r="X45" s="357">
        <v>0</v>
      </c>
      <c r="Y45" s="357">
        <v>0</v>
      </c>
      <c r="Z45" s="357">
        <v>0</v>
      </c>
      <c r="AA45" s="357">
        <v>0</v>
      </c>
      <c r="AB45" s="357">
        <v>0</v>
      </c>
      <c r="AC45" s="357">
        <v>0</v>
      </c>
      <c r="AD45" s="357">
        <v>0</v>
      </c>
      <c r="AE45" s="357">
        <v>0</v>
      </c>
      <c r="AF45" s="357">
        <v>0</v>
      </c>
      <c r="AG45" s="357">
        <v>0</v>
      </c>
      <c r="AH45" s="357">
        <v>0</v>
      </c>
      <c r="AI45" s="357">
        <v>0</v>
      </c>
      <c r="AJ45" s="357">
        <v>0</v>
      </c>
      <c r="AK45" s="357">
        <v>0</v>
      </c>
      <c r="AL45" s="357">
        <v>0</v>
      </c>
      <c r="AM45" s="357">
        <v>0</v>
      </c>
      <c r="AN45" s="357">
        <v>0</v>
      </c>
      <c r="AO45" s="357">
        <v>0</v>
      </c>
    </row>
    <row r="46" spans="3:41" x14ac:dyDescent="0.3">
      <c r="C46" s="357">
        <v>9</v>
      </c>
      <c r="D46" s="357">
        <v>5</v>
      </c>
      <c r="E46" s="357">
        <v>6</v>
      </c>
      <c r="F46" s="357">
        <v>2756242</v>
      </c>
      <c r="G46" s="357">
        <v>39265</v>
      </c>
      <c r="H46" s="357">
        <v>749498</v>
      </c>
      <c r="I46" s="357">
        <v>0</v>
      </c>
      <c r="J46" s="357">
        <v>0</v>
      </c>
      <c r="K46" s="357">
        <v>1859123</v>
      </c>
      <c r="L46" s="357">
        <v>19297</v>
      </c>
      <c r="M46" s="357">
        <v>0</v>
      </c>
      <c r="N46" s="357">
        <v>0</v>
      </c>
      <c r="O46" s="357">
        <v>0</v>
      </c>
      <c r="P46" s="357">
        <v>0</v>
      </c>
      <c r="Q46" s="357">
        <v>0</v>
      </c>
      <c r="R46" s="357">
        <v>0</v>
      </c>
      <c r="S46" s="357">
        <v>0</v>
      </c>
      <c r="T46" s="357">
        <v>0</v>
      </c>
      <c r="U46" s="357">
        <v>0</v>
      </c>
      <c r="V46" s="357">
        <v>0</v>
      </c>
      <c r="W46" s="357">
        <v>0</v>
      </c>
      <c r="X46" s="357">
        <v>0</v>
      </c>
      <c r="Y46" s="357">
        <v>0</v>
      </c>
      <c r="Z46" s="357">
        <v>0</v>
      </c>
      <c r="AA46" s="357">
        <v>0</v>
      </c>
      <c r="AB46" s="357">
        <v>0</v>
      </c>
      <c r="AC46" s="357">
        <v>0</v>
      </c>
      <c r="AD46" s="357">
        <v>0</v>
      </c>
      <c r="AE46" s="357">
        <v>0</v>
      </c>
      <c r="AF46" s="357">
        <v>0</v>
      </c>
      <c r="AG46" s="357">
        <v>0</v>
      </c>
      <c r="AH46" s="357">
        <v>0</v>
      </c>
      <c r="AI46" s="357">
        <v>66589</v>
      </c>
      <c r="AJ46" s="357">
        <v>0</v>
      </c>
      <c r="AK46" s="357">
        <v>0</v>
      </c>
      <c r="AL46" s="357">
        <v>0</v>
      </c>
      <c r="AM46" s="357">
        <v>0</v>
      </c>
      <c r="AN46" s="357">
        <v>22470</v>
      </c>
      <c r="AO46" s="357">
        <v>0</v>
      </c>
    </row>
    <row r="47" spans="3:41" x14ac:dyDescent="0.3">
      <c r="C47" s="357">
        <v>9</v>
      </c>
      <c r="D47" s="357">
        <v>5</v>
      </c>
      <c r="E47" s="357">
        <v>9</v>
      </c>
      <c r="F47" s="357">
        <v>29288</v>
      </c>
      <c r="G47" s="357">
        <v>0</v>
      </c>
      <c r="H47" s="357">
        <v>0</v>
      </c>
      <c r="I47" s="357">
        <v>0</v>
      </c>
      <c r="J47" s="357">
        <v>0</v>
      </c>
      <c r="K47" s="357">
        <v>29288</v>
      </c>
      <c r="L47" s="357">
        <v>0</v>
      </c>
      <c r="M47" s="357">
        <v>0</v>
      </c>
      <c r="N47" s="357">
        <v>0</v>
      </c>
      <c r="O47" s="357">
        <v>0</v>
      </c>
      <c r="P47" s="357">
        <v>0</v>
      </c>
      <c r="Q47" s="357">
        <v>0</v>
      </c>
      <c r="R47" s="357">
        <v>0</v>
      </c>
      <c r="S47" s="357">
        <v>0</v>
      </c>
      <c r="T47" s="357">
        <v>0</v>
      </c>
      <c r="U47" s="357">
        <v>0</v>
      </c>
      <c r="V47" s="357">
        <v>0</v>
      </c>
      <c r="W47" s="357">
        <v>0</v>
      </c>
      <c r="X47" s="357">
        <v>0</v>
      </c>
      <c r="Y47" s="357">
        <v>0</v>
      </c>
      <c r="Z47" s="357">
        <v>0</v>
      </c>
      <c r="AA47" s="357">
        <v>0</v>
      </c>
      <c r="AB47" s="357">
        <v>0</v>
      </c>
      <c r="AC47" s="357">
        <v>0</v>
      </c>
      <c r="AD47" s="357">
        <v>0</v>
      </c>
      <c r="AE47" s="357">
        <v>0</v>
      </c>
      <c r="AF47" s="357">
        <v>0</v>
      </c>
      <c r="AG47" s="357">
        <v>0</v>
      </c>
      <c r="AH47" s="357">
        <v>0</v>
      </c>
      <c r="AI47" s="357">
        <v>0</v>
      </c>
      <c r="AJ47" s="357">
        <v>0</v>
      </c>
      <c r="AK47" s="357">
        <v>0</v>
      </c>
      <c r="AL47" s="357">
        <v>0</v>
      </c>
      <c r="AM47" s="357">
        <v>0</v>
      </c>
      <c r="AN47" s="357">
        <v>0</v>
      </c>
      <c r="AO47" s="357">
        <v>0</v>
      </c>
    </row>
    <row r="48" spans="3:41" x14ac:dyDescent="0.3">
      <c r="C48" s="357">
        <v>9</v>
      </c>
      <c r="D48" s="357">
        <v>5</v>
      </c>
      <c r="E48" s="357">
        <v>10</v>
      </c>
      <c r="F48" s="357">
        <v>2300</v>
      </c>
      <c r="G48" s="357">
        <v>0</v>
      </c>
      <c r="H48" s="357">
        <v>1800</v>
      </c>
      <c r="I48" s="357">
        <v>0</v>
      </c>
      <c r="J48" s="357">
        <v>0</v>
      </c>
      <c r="K48" s="357">
        <v>500</v>
      </c>
      <c r="L48" s="357">
        <v>0</v>
      </c>
      <c r="M48" s="357">
        <v>0</v>
      </c>
      <c r="N48" s="357">
        <v>0</v>
      </c>
      <c r="O48" s="357">
        <v>0</v>
      </c>
      <c r="P48" s="357">
        <v>0</v>
      </c>
      <c r="Q48" s="357">
        <v>0</v>
      </c>
      <c r="R48" s="357">
        <v>0</v>
      </c>
      <c r="S48" s="357">
        <v>0</v>
      </c>
      <c r="T48" s="357">
        <v>0</v>
      </c>
      <c r="U48" s="357">
        <v>0</v>
      </c>
      <c r="V48" s="357">
        <v>0</v>
      </c>
      <c r="W48" s="357">
        <v>0</v>
      </c>
      <c r="X48" s="357">
        <v>0</v>
      </c>
      <c r="Y48" s="357">
        <v>0</v>
      </c>
      <c r="Z48" s="357">
        <v>0</v>
      </c>
      <c r="AA48" s="357">
        <v>0</v>
      </c>
      <c r="AB48" s="357">
        <v>0</v>
      </c>
      <c r="AC48" s="357">
        <v>0</v>
      </c>
      <c r="AD48" s="357">
        <v>0</v>
      </c>
      <c r="AE48" s="357">
        <v>0</v>
      </c>
      <c r="AF48" s="357">
        <v>0</v>
      </c>
      <c r="AG48" s="357">
        <v>0</v>
      </c>
      <c r="AH48" s="357">
        <v>0</v>
      </c>
      <c r="AI48" s="357">
        <v>0</v>
      </c>
      <c r="AJ48" s="357">
        <v>0</v>
      </c>
      <c r="AK48" s="357">
        <v>0</v>
      </c>
      <c r="AL48" s="357">
        <v>0</v>
      </c>
      <c r="AM48" s="357">
        <v>0</v>
      </c>
      <c r="AN48" s="357">
        <v>0</v>
      </c>
      <c r="AO48" s="357">
        <v>0</v>
      </c>
    </row>
    <row r="49" spans="3:41" x14ac:dyDescent="0.3">
      <c r="C49" s="357">
        <v>9</v>
      </c>
      <c r="D49" s="357">
        <v>5</v>
      </c>
      <c r="E49" s="357">
        <v>11</v>
      </c>
      <c r="F49" s="357">
        <v>5886.0626066925806</v>
      </c>
      <c r="G49" s="357">
        <v>0</v>
      </c>
      <c r="H49" s="357">
        <v>2969.3959400259141</v>
      </c>
      <c r="I49" s="357">
        <v>0</v>
      </c>
      <c r="J49" s="357">
        <v>0</v>
      </c>
      <c r="K49" s="357">
        <v>2916.6666666666665</v>
      </c>
      <c r="L49" s="357">
        <v>0</v>
      </c>
      <c r="M49" s="357">
        <v>0</v>
      </c>
      <c r="N49" s="357">
        <v>0</v>
      </c>
      <c r="O49" s="357">
        <v>0</v>
      </c>
      <c r="P49" s="357">
        <v>0</v>
      </c>
      <c r="Q49" s="357">
        <v>0</v>
      </c>
      <c r="R49" s="357">
        <v>0</v>
      </c>
      <c r="S49" s="357">
        <v>0</v>
      </c>
      <c r="T49" s="357">
        <v>0</v>
      </c>
      <c r="U49" s="357">
        <v>0</v>
      </c>
      <c r="V49" s="357">
        <v>0</v>
      </c>
      <c r="W49" s="357">
        <v>0</v>
      </c>
      <c r="X49" s="357">
        <v>0</v>
      </c>
      <c r="Y49" s="357">
        <v>0</v>
      </c>
      <c r="Z49" s="357">
        <v>0</v>
      </c>
      <c r="AA49" s="357">
        <v>0</v>
      </c>
      <c r="AB49" s="357">
        <v>0</v>
      </c>
      <c r="AC49" s="357">
        <v>0</v>
      </c>
      <c r="AD49" s="357">
        <v>0</v>
      </c>
      <c r="AE49" s="357">
        <v>0</v>
      </c>
      <c r="AF49" s="357">
        <v>0</v>
      </c>
      <c r="AG49" s="357">
        <v>0</v>
      </c>
      <c r="AH49" s="357">
        <v>0</v>
      </c>
      <c r="AI49" s="357">
        <v>0</v>
      </c>
      <c r="AJ49" s="357">
        <v>0</v>
      </c>
      <c r="AK49" s="357">
        <v>0</v>
      </c>
      <c r="AL49" s="357">
        <v>0</v>
      </c>
      <c r="AM49" s="357">
        <v>0</v>
      </c>
      <c r="AN49" s="357">
        <v>0</v>
      </c>
      <c r="AO49" s="35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38" bestFit="1" customWidth="1"/>
    <col min="2" max="2" width="7.77734375" style="203" customWidth="1"/>
    <col min="3" max="3" width="0.109375" style="238" hidden="1" customWidth="1"/>
    <col min="4" max="4" width="7.77734375" style="203" customWidth="1"/>
    <col min="5" max="5" width="5.4414062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5.44140625" style="238" hidden="1" customWidth="1"/>
    <col min="10" max="10" width="7.77734375" style="203" customWidth="1"/>
    <col min="11" max="11" width="5.44140625" style="238" hidden="1" customWidth="1"/>
    <col min="12" max="12" width="7.77734375" style="203" customWidth="1"/>
    <col min="13" max="13" width="7.77734375" style="322" customWidth="1"/>
    <col min="14" max="14" width="7.77734375" style="203" customWidth="1"/>
    <col min="15" max="15" width="5" style="238" hidden="1" customWidth="1"/>
    <col min="16" max="16" width="7.77734375" style="203" customWidth="1"/>
    <col min="17" max="17" width="5" style="238" hidden="1" customWidth="1"/>
    <col min="18" max="18" width="7.77734375" style="203" customWidth="1"/>
    <col min="19" max="19" width="7.77734375" style="322" customWidth="1"/>
    <col min="20" max="16384" width="8.88671875" style="238"/>
  </cols>
  <sheetData>
    <row r="1" spans="1:19" ht="18.600000000000001" customHeight="1" thickBot="1" x14ac:dyDescent="0.4">
      <c r="A1" s="461" t="s">
        <v>140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19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  <c r="N2" s="334"/>
      <c r="O2" s="208"/>
      <c r="P2" s="334"/>
      <c r="Q2" s="208"/>
      <c r="R2" s="334"/>
      <c r="S2" s="335"/>
    </row>
    <row r="3" spans="1:19" ht="14.4" customHeight="1" thickBot="1" x14ac:dyDescent="0.35">
      <c r="A3" s="328" t="s">
        <v>142</v>
      </c>
      <c r="B3" s="329">
        <f>SUBTOTAL(9,B6:B1048576)</f>
        <v>31298534</v>
      </c>
      <c r="C3" s="330">
        <f t="shared" ref="C3:R3" si="0">SUBTOTAL(9,C6:C1048576)</f>
        <v>1</v>
      </c>
      <c r="D3" s="330">
        <f t="shared" si="0"/>
        <v>31325553</v>
      </c>
      <c r="E3" s="330">
        <f t="shared" si="0"/>
        <v>1.0008632672699622</v>
      </c>
      <c r="F3" s="330">
        <f t="shared" si="0"/>
        <v>26182512</v>
      </c>
      <c r="G3" s="333">
        <f>IF(B3&lt;&gt;0,F3/B3,"")</f>
        <v>0.83654116195985406</v>
      </c>
      <c r="H3" s="329">
        <f t="shared" si="0"/>
        <v>377185.64999999997</v>
      </c>
      <c r="I3" s="330">
        <f t="shared" si="0"/>
        <v>1</v>
      </c>
      <c r="J3" s="330">
        <f t="shared" si="0"/>
        <v>520982.85999999993</v>
      </c>
      <c r="K3" s="330">
        <f t="shared" si="0"/>
        <v>1.3812372236324473</v>
      </c>
      <c r="L3" s="330">
        <f t="shared" si="0"/>
        <v>303952.43999999994</v>
      </c>
      <c r="M3" s="331">
        <f>IF(H3&lt;&gt;0,L3/H3,"")</f>
        <v>0.80584306428412633</v>
      </c>
      <c r="N3" s="332">
        <f t="shared" si="0"/>
        <v>184928.58</v>
      </c>
      <c r="O3" s="330">
        <f t="shared" si="0"/>
        <v>1</v>
      </c>
      <c r="P3" s="330">
        <f t="shared" si="0"/>
        <v>0</v>
      </c>
      <c r="Q3" s="330">
        <f t="shared" si="0"/>
        <v>0</v>
      </c>
      <c r="R3" s="330">
        <f t="shared" si="0"/>
        <v>0</v>
      </c>
      <c r="S3" s="331">
        <f>IF(N3&lt;&gt;0,R3/N3,"")</f>
        <v>0</v>
      </c>
    </row>
    <row r="4" spans="1:19" ht="14.4" customHeight="1" x14ac:dyDescent="0.3">
      <c r="A4" s="510" t="s">
        <v>116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  <c r="N4" s="511" t="s">
        <v>112</v>
      </c>
      <c r="O4" s="512"/>
      <c r="P4" s="512"/>
      <c r="Q4" s="512"/>
      <c r="R4" s="512"/>
      <c r="S4" s="513"/>
    </row>
    <row r="5" spans="1:19" ht="14.4" customHeight="1" thickBot="1" x14ac:dyDescent="0.35">
      <c r="A5" s="695"/>
      <c r="B5" s="696">
        <v>2013</v>
      </c>
      <c r="C5" s="697"/>
      <c r="D5" s="697">
        <v>2014</v>
      </c>
      <c r="E5" s="697"/>
      <c r="F5" s="697">
        <v>2015</v>
      </c>
      <c r="G5" s="698" t="s">
        <v>2</v>
      </c>
      <c r="H5" s="696">
        <v>2013</v>
      </c>
      <c r="I5" s="697"/>
      <c r="J5" s="697">
        <v>2014</v>
      </c>
      <c r="K5" s="697"/>
      <c r="L5" s="697">
        <v>2015</v>
      </c>
      <c r="M5" s="698" t="s">
        <v>2</v>
      </c>
      <c r="N5" s="696">
        <v>2013</v>
      </c>
      <c r="O5" s="697"/>
      <c r="P5" s="697">
        <v>2014</v>
      </c>
      <c r="Q5" s="697"/>
      <c r="R5" s="697">
        <v>2015</v>
      </c>
      <c r="S5" s="698" t="s">
        <v>2</v>
      </c>
    </row>
    <row r="6" spans="1:19" ht="14.4" customHeight="1" thickBot="1" x14ac:dyDescent="0.35">
      <c r="A6" s="701" t="s">
        <v>1183</v>
      </c>
      <c r="B6" s="699">
        <v>31298534</v>
      </c>
      <c r="C6" s="700">
        <v>1</v>
      </c>
      <c r="D6" s="699">
        <v>31325553</v>
      </c>
      <c r="E6" s="700">
        <v>1.0008632672699622</v>
      </c>
      <c r="F6" s="699">
        <v>26182512</v>
      </c>
      <c r="G6" s="434">
        <v>0.83654116195985406</v>
      </c>
      <c r="H6" s="699">
        <v>377185.64999999997</v>
      </c>
      <c r="I6" s="700">
        <v>1</v>
      </c>
      <c r="J6" s="699">
        <v>520982.85999999993</v>
      </c>
      <c r="K6" s="700">
        <v>1.3812372236324473</v>
      </c>
      <c r="L6" s="699">
        <v>303952.43999999994</v>
      </c>
      <c r="M6" s="434">
        <v>0.80584306428412633</v>
      </c>
      <c r="N6" s="699">
        <v>184928.58</v>
      </c>
      <c r="O6" s="700">
        <v>1</v>
      </c>
      <c r="P6" s="699"/>
      <c r="Q6" s="700"/>
      <c r="R6" s="699"/>
      <c r="S6" s="43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52" t="s">
        <v>1783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39"/>
      <c r="C2" s="239"/>
      <c r="D2" s="239"/>
      <c r="E2" s="239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336"/>
    </row>
    <row r="3" spans="1:17" ht="14.4" customHeight="1" thickBot="1" x14ac:dyDescent="0.35">
      <c r="E3" s="97" t="s">
        <v>142</v>
      </c>
      <c r="F3" s="195">
        <f t="shared" ref="F3:O3" si="0">SUBTOTAL(9,F6:F1048576)</f>
        <v>13192.880000000001</v>
      </c>
      <c r="G3" s="196">
        <f t="shared" si="0"/>
        <v>31860648.23</v>
      </c>
      <c r="H3" s="196"/>
      <c r="I3" s="196"/>
      <c r="J3" s="196">
        <f t="shared" si="0"/>
        <v>12301.720000000003</v>
      </c>
      <c r="K3" s="196">
        <f t="shared" si="0"/>
        <v>31846535.859999999</v>
      </c>
      <c r="L3" s="196"/>
      <c r="M3" s="196"/>
      <c r="N3" s="196">
        <f t="shared" si="0"/>
        <v>12559.220000000003</v>
      </c>
      <c r="O3" s="196">
        <f t="shared" si="0"/>
        <v>26486464.440000001</v>
      </c>
      <c r="P3" s="70">
        <f>IF(G3=0,0,O3/G3)</f>
        <v>0.83132220816086011</v>
      </c>
      <c r="Q3" s="197">
        <f>IF(N3=0,0,O3/N3)</f>
        <v>2108.9259078191158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108</v>
      </c>
      <c r="E4" s="517" t="s">
        <v>68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531</v>
      </c>
      <c r="B6" s="606" t="s">
        <v>1615</v>
      </c>
      <c r="C6" s="606" t="s">
        <v>1616</v>
      </c>
      <c r="D6" s="606" t="s">
        <v>1617</v>
      </c>
      <c r="E6" s="606" t="s">
        <v>1166</v>
      </c>
      <c r="F6" s="609">
        <v>4</v>
      </c>
      <c r="G6" s="609">
        <v>2128.64</v>
      </c>
      <c r="H6" s="609">
        <v>1</v>
      </c>
      <c r="I6" s="609">
        <v>532.16</v>
      </c>
      <c r="J6" s="609"/>
      <c r="K6" s="609"/>
      <c r="L6" s="609"/>
      <c r="M6" s="609"/>
      <c r="N6" s="609">
        <v>8</v>
      </c>
      <c r="O6" s="609">
        <v>3478.96</v>
      </c>
      <c r="P6" s="627">
        <v>1.634358087793145</v>
      </c>
      <c r="Q6" s="610">
        <v>434.87</v>
      </c>
    </row>
    <row r="7" spans="1:17" ht="14.4" customHeight="1" x14ac:dyDescent="0.3">
      <c r="A7" s="611" t="s">
        <v>531</v>
      </c>
      <c r="B7" s="612" t="s">
        <v>1615</v>
      </c>
      <c r="C7" s="612" t="s">
        <v>1616</v>
      </c>
      <c r="D7" s="612" t="s">
        <v>1618</v>
      </c>
      <c r="E7" s="612"/>
      <c r="F7" s="615">
        <v>0.8</v>
      </c>
      <c r="G7" s="615">
        <v>863.44</v>
      </c>
      <c r="H7" s="615">
        <v>1</v>
      </c>
      <c r="I7" s="615">
        <v>1079.3</v>
      </c>
      <c r="J7" s="615"/>
      <c r="K7" s="615"/>
      <c r="L7" s="615"/>
      <c r="M7" s="615"/>
      <c r="N7" s="615"/>
      <c r="O7" s="615"/>
      <c r="P7" s="628"/>
      <c r="Q7" s="616"/>
    </row>
    <row r="8" spans="1:17" ht="14.4" customHeight="1" x14ac:dyDescent="0.3">
      <c r="A8" s="611" t="s">
        <v>531</v>
      </c>
      <c r="B8" s="612" t="s">
        <v>1615</v>
      </c>
      <c r="C8" s="612" t="s">
        <v>1616</v>
      </c>
      <c r="D8" s="612" t="s">
        <v>1619</v>
      </c>
      <c r="E8" s="612" t="s">
        <v>1620</v>
      </c>
      <c r="F8" s="615"/>
      <c r="G8" s="615"/>
      <c r="H8" s="615"/>
      <c r="I8" s="615"/>
      <c r="J8" s="615"/>
      <c r="K8" s="615"/>
      <c r="L8" s="615"/>
      <c r="M8" s="615"/>
      <c r="N8" s="615">
        <v>3</v>
      </c>
      <c r="O8" s="615">
        <v>529.23</v>
      </c>
      <c r="P8" s="628"/>
      <c r="Q8" s="616">
        <v>176.41</v>
      </c>
    </row>
    <row r="9" spans="1:17" ht="14.4" customHeight="1" x14ac:dyDescent="0.3">
      <c r="A9" s="611" t="s">
        <v>531</v>
      </c>
      <c r="B9" s="612" t="s">
        <v>1615</v>
      </c>
      <c r="C9" s="612" t="s">
        <v>1616</v>
      </c>
      <c r="D9" s="612" t="s">
        <v>1621</v>
      </c>
      <c r="E9" s="612" t="s">
        <v>1163</v>
      </c>
      <c r="F9" s="615"/>
      <c r="G9" s="615"/>
      <c r="H9" s="615"/>
      <c r="I9" s="615"/>
      <c r="J9" s="615"/>
      <c r="K9" s="615"/>
      <c r="L9" s="615"/>
      <c r="M9" s="615"/>
      <c r="N9" s="615">
        <v>1</v>
      </c>
      <c r="O9" s="615">
        <v>38.61</v>
      </c>
      <c r="P9" s="628"/>
      <c r="Q9" s="616">
        <v>38.61</v>
      </c>
    </row>
    <row r="10" spans="1:17" ht="14.4" customHeight="1" x14ac:dyDescent="0.3">
      <c r="A10" s="611" t="s">
        <v>531</v>
      </c>
      <c r="B10" s="612" t="s">
        <v>1615</v>
      </c>
      <c r="C10" s="612" t="s">
        <v>1616</v>
      </c>
      <c r="D10" s="612" t="s">
        <v>1622</v>
      </c>
      <c r="E10" s="612" t="s">
        <v>1169</v>
      </c>
      <c r="F10" s="615"/>
      <c r="G10" s="615"/>
      <c r="H10" s="615"/>
      <c r="I10" s="615"/>
      <c r="J10" s="615"/>
      <c r="K10" s="615"/>
      <c r="L10" s="615"/>
      <c r="M10" s="615"/>
      <c r="N10" s="615">
        <v>0.4</v>
      </c>
      <c r="O10" s="615">
        <v>18.16</v>
      </c>
      <c r="P10" s="628"/>
      <c r="Q10" s="616">
        <v>45.4</v>
      </c>
    </row>
    <row r="11" spans="1:17" ht="14.4" customHeight="1" x14ac:dyDescent="0.3">
      <c r="A11" s="611" t="s">
        <v>531</v>
      </c>
      <c r="B11" s="612" t="s">
        <v>1615</v>
      </c>
      <c r="C11" s="612" t="s">
        <v>1616</v>
      </c>
      <c r="D11" s="612" t="s">
        <v>1623</v>
      </c>
      <c r="E11" s="612" t="s">
        <v>1624</v>
      </c>
      <c r="F11" s="615"/>
      <c r="G11" s="615"/>
      <c r="H11" s="615"/>
      <c r="I11" s="615"/>
      <c r="J11" s="615"/>
      <c r="K11" s="615"/>
      <c r="L11" s="615"/>
      <c r="M11" s="615"/>
      <c r="N11" s="615">
        <v>0.1</v>
      </c>
      <c r="O11" s="615">
        <v>27.01</v>
      </c>
      <c r="P11" s="628"/>
      <c r="Q11" s="616">
        <v>270.10000000000002</v>
      </c>
    </row>
    <row r="12" spans="1:17" ht="14.4" customHeight="1" x14ac:dyDescent="0.3">
      <c r="A12" s="611" t="s">
        <v>531</v>
      </c>
      <c r="B12" s="612" t="s">
        <v>1615</v>
      </c>
      <c r="C12" s="612" t="s">
        <v>1616</v>
      </c>
      <c r="D12" s="612" t="s">
        <v>1625</v>
      </c>
      <c r="E12" s="612" t="s">
        <v>1137</v>
      </c>
      <c r="F12" s="615">
        <v>4</v>
      </c>
      <c r="G12" s="615">
        <v>471.6</v>
      </c>
      <c r="H12" s="615">
        <v>1</v>
      </c>
      <c r="I12" s="615">
        <v>117.9</v>
      </c>
      <c r="J12" s="615">
        <v>2.5</v>
      </c>
      <c r="K12" s="615">
        <v>353</v>
      </c>
      <c r="L12" s="615">
        <v>0.74851569126378281</v>
      </c>
      <c r="M12" s="615">
        <v>141.19999999999999</v>
      </c>
      <c r="N12" s="615">
        <v>3.8999999999999995</v>
      </c>
      <c r="O12" s="615">
        <v>526.89</v>
      </c>
      <c r="P12" s="628">
        <v>1.1172391857506361</v>
      </c>
      <c r="Q12" s="616">
        <v>135.10000000000002</v>
      </c>
    </row>
    <row r="13" spans="1:17" ht="14.4" customHeight="1" x14ac:dyDescent="0.3">
      <c r="A13" s="611" t="s">
        <v>531</v>
      </c>
      <c r="B13" s="612" t="s">
        <v>1615</v>
      </c>
      <c r="C13" s="612" t="s">
        <v>1616</v>
      </c>
      <c r="D13" s="612" t="s">
        <v>1626</v>
      </c>
      <c r="E13" s="612" t="s">
        <v>778</v>
      </c>
      <c r="F13" s="615"/>
      <c r="G13" s="615"/>
      <c r="H13" s="615"/>
      <c r="I13" s="615"/>
      <c r="J13" s="615">
        <v>0.4</v>
      </c>
      <c r="K13" s="615">
        <v>100.6</v>
      </c>
      <c r="L13" s="615"/>
      <c r="M13" s="615">
        <v>251.49999999999997</v>
      </c>
      <c r="N13" s="615"/>
      <c r="O13" s="615"/>
      <c r="P13" s="628"/>
      <c r="Q13" s="616"/>
    </row>
    <row r="14" spans="1:17" ht="14.4" customHeight="1" x14ac:dyDescent="0.3">
      <c r="A14" s="611" t="s">
        <v>531</v>
      </c>
      <c r="B14" s="612" t="s">
        <v>1615</v>
      </c>
      <c r="C14" s="612" t="s">
        <v>1616</v>
      </c>
      <c r="D14" s="612" t="s">
        <v>1627</v>
      </c>
      <c r="E14" s="612" t="s">
        <v>1628</v>
      </c>
      <c r="F14" s="615"/>
      <c r="G14" s="615"/>
      <c r="H14" s="615"/>
      <c r="I14" s="615"/>
      <c r="J14" s="615">
        <v>2</v>
      </c>
      <c r="K14" s="615">
        <v>71.22</v>
      </c>
      <c r="L14" s="615"/>
      <c r="M14" s="615">
        <v>35.61</v>
      </c>
      <c r="N14" s="615"/>
      <c r="O14" s="615"/>
      <c r="P14" s="628"/>
      <c r="Q14" s="616"/>
    </row>
    <row r="15" spans="1:17" ht="14.4" customHeight="1" x14ac:dyDescent="0.3">
      <c r="A15" s="611" t="s">
        <v>531</v>
      </c>
      <c r="B15" s="612" t="s">
        <v>1615</v>
      </c>
      <c r="C15" s="612" t="s">
        <v>1616</v>
      </c>
      <c r="D15" s="612" t="s">
        <v>1629</v>
      </c>
      <c r="E15" s="612" t="s">
        <v>1630</v>
      </c>
      <c r="F15" s="615">
        <v>0.2</v>
      </c>
      <c r="G15" s="615">
        <v>88.64</v>
      </c>
      <c r="H15" s="615">
        <v>1</v>
      </c>
      <c r="I15" s="615">
        <v>443.2</v>
      </c>
      <c r="J15" s="615">
        <v>0.4</v>
      </c>
      <c r="K15" s="615">
        <v>177.28</v>
      </c>
      <c r="L15" s="615">
        <v>2</v>
      </c>
      <c r="M15" s="615">
        <v>443.2</v>
      </c>
      <c r="N15" s="615"/>
      <c r="O15" s="615"/>
      <c r="P15" s="628"/>
      <c r="Q15" s="616"/>
    </row>
    <row r="16" spans="1:17" ht="14.4" customHeight="1" x14ac:dyDescent="0.3">
      <c r="A16" s="611" t="s">
        <v>531</v>
      </c>
      <c r="B16" s="612" t="s">
        <v>1615</v>
      </c>
      <c r="C16" s="612" t="s">
        <v>1616</v>
      </c>
      <c r="D16" s="612" t="s">
        <v>1631</v>
      </c>
      <c r="E16" s="612" t="s">
        <v>1063</v>
      </c>
      <c r="F16" s="615">
        <v>1</v>
      </c>
      <c r="G16" s="615">
        <v>114.58</v>
      </c>
      <c r="H16" s="615">
        <v>1</v>
      </c>
      <c r="I16" s="615">
        <v>114.58</v>
      </c>
      <c r="J16" s="615"/>
      <c r="K16" s="615"/>
      <c r="L16" s="615"/>
      <c r="M16" s="615"/>
      <c r="N16" s="615">
        <v>3</v>
      </c>
      <c r="O16" s="615">
        <v>328.8</v>
      </c>
      <c r="P16" s="628">
        <v>2.8696107523127945</v>
      </c>
      <c r="Q16" s="616">
        <v>109.60000000000001</v>
      </c>
    </row>
    <row r="17" spans="1:17" ht="14.4" customHeight="1" x14ac:dyDescent="0.3">
      <c r="A17" s="611" t="s">
        <v>531</v>
      </c>
      <c r="B17" s="612" t="s">
        <v>1615</v>
      </c>
      <c r="C17" s="612" t="s">
        <v>1616</v>
      </c>
      <c r="D17" s="612" t="s">
        <v>1632</v>
      </c>
      <c r="E17" s="612" t="s">
        <v>785</v>
      </c>
      <c r="F17" s="615"/>
      <c r="G17" s="615"/>
      <c r="H17" s="615"/>
      <c r="I17" s="615"/>
      <c r="J17" s="615"/>
      <c r="K17" s="615"/>
      <c r="L17" s="615"/>
      <c r="M17" s="615"/>
      <c r="N17" s="615">
        <v>5</v>
      </c>
      <c r="O17" s="615">
        <v>328.75</v>
      </c>
      <c r="P17" s="628"/>
      <c r="Q17" s="616">
        <v>65.75</v>
      </c>
    </row>
    <row r="18" spans="1:17" ht="14.4" customHeight="1" x14ac:dyDescent="0.3">
      <c r="A18" s="611" t="s">
        <v>531</v>
      </c>
      <c r="B18" s="612" t="s">
        <v>1615</v>
      </c>
      <c r="C18" s="612" t="s">
        <v>1616</v>
      </c>
      <c r="D18" s="612" t="s">
        <v>1633</v>
      </c>
      <c r="E18" s="612" t="s">
        <v>1140</v>
      </c>
      <c r="F18" s="615">
        <v>4.6999999999999993</v>
      </c>
      <c r="G18" s="615">
        <v>227.48</v>
      </c>
      <c r="H18" s="615">
        <v>1</v>
      </c>
      <c r="I18" s="615">
        <v>48.400000000000006</v>
      </c>
      <c r="J18" s="615">
        <v>4.8999999999999995</v>
      </c>
      <c r="K18" s="615">
        <v>208.11999999999998</v>
      </c>
      <c r="L18" s="615">
        <v>0.91489361702127658</v>
      </c>
      <c r="M18" s="615">
        <v>42.473469387755102</v>
      </c>
      <c r="N18" s="615">
        <v>4.0999999999999996</v>
      </c>
      <c r="O18" s="615">
        <v>189.83</v>
      </c>
      <c r="P18" s="628">
        <v>0.83449094425883608</v>
      </c>
      <c r="Q18" s="616">
        <v>46.300000000000004</v>
      </c>
    </row>
    <row r="19" spans="1:17" ht="14.4" customHeight="1" x14ac:dyDescent="0.3">
      <c r="A19" s="611" t="s">
        <v>531</v>
      </c>
      <c r="B19" s="612" t="s">
        <v>1615</v>
      </c>
      <c r="C19" s="612" t="s">
        <v>1616</v>
      </c>
      <c r="D19" s="612" t="s">
        <v>1634</v>
      </c>
      <c r="E19" s="612" t="s">
        <v>1635</v>
      </c>
      <c r="F19" s="615"/>
      <c r="G19" s="615"/>
      <c r="H19" s="615"/>
      <c r="I19" s="615"/>
      <c r="J19" s="615"/>
      <c r="K19" s="615"/>
      <c r="L19" s="615"/>
      <c r="M19" s="615"/>
      <c r="N19" s="615">
        <v>0.1</v>
      </c>
      <c r="O19" s="615">
        <v>9.27</v>
      </c>
      <c r="P19" s="628"/>
      <c r="Q19" s="616">
        <v>92.699999999999989</v>
      </c>
    </row>
    <row r="20" spans="1:17" ht="14.4" customHeight="1" x14ac:dyDescent="0.3">
      <c r="A20" s="611" t="s">
        <v>531</v>
      </c>
      <c r="B20" s="612" t="s">
        <v>1615</v>
      </c>
      <c r="C20" s="612" t="s">
        <v>1616</v>
      </c>
      <c r="D20" s="612" t="s">
        <v>1636</v>
      </c>
      <c r="E20" s="612" t="s">
        <v>788</v>
      </c>
      <c r="F20" s="615"/>
      <c r="G20" s="615"/>
      <c r="H20" s="615"/>
      <c r="I20" s="615"/>
      <c r="J20" s="615"/>
      <c r="K20" s="615"/>
      <c r="L20" s="615"/>
      <c r="M20" s="615"/>
      <c r="N20" s="615">
        <v>2</v>
      </c>
      <c r="O20" s="615">
        <v>184.98</v>
      </c>
      <c r="P20" s="628"/>
      <c r="Q20" s="616">
        <v>92.49</v>
      </c>
    </row>
    <row r="21" spans="1:17" ht="14.4" customHeight="1" x14ac:dyDescent="0.3">
      <c r="A21" s="611" t="s">
        <v>531</v>
      </c>
      <c r="B21" s="612" t="s">
        <v>1615</v>
      </c>
      <c r="C21" s="612" t="s">
        <v>1616</v>
      </c>
      <c r="D21" s="612" t="s">
        <v>1637</v>
      </c>
      <c r="E21" s="612" t="s">
        <v>782</v>
      </c>
      <c r="F21" s="615"/>
      <c r="G21" s="615"/>
      <c r="H21" s="615"/>
      <c r="I21" s="615"/>
      <c r="J21" s="615"/>
      <c r="K21" s="615"/>
      <c r="L21" s="615"/>
      <c r="M21" s="615"/>
      <c r="N21" s="615">
        <v>1</v>
      </c>
      <c r="O21" s="615">
        <v>2064.6999999999998</v>
      </c>
      <c r="P21" s="628"/>
      <c r="Q21" s="616">
        <v>2064.6999999999998</v>
      </c>
    </row>
    <row r="22" spans="1:17" ht="14.4" customHeight="1" x14ac:dyDescent="0.3">
      <c r="A22" s="611" t="s">
        <v>531</v>
      </c>
      <c r="B22" s="612" t="s">
        <v>1615</v>
      </c>
      <c r="C22" s="612" t="s">
        <v>1616</v>
      </c>
      <c r="D22" s="612" t="s">
        <v>1638</v>
      </c>
      <c r="E22" s="612" t="s">
        <v>1639</v>
      </c>
      <c r="F22" s="615">
        <v>0.4</v>
      </c>
      <c r="G22" s="615">
        <v>1451.2</v>
      </c>
      <c r="H22" s="615">
        <v>1</v>
      </c>
      <c r="I22" s="615">
        <v>3628</v>
      </c>
      <c r="J22" s="615"/>
      <c r="K22" s="615"/>
      <c r="L22" s="615"/>
      <c r="M22" s="615"/>
      <c r="N22" s="615">
        <v>0.08</v>
      </c>
      <c r="O22" s="615">
        <v>277.62</v>
      </c>
      <c r="P22" s="628">
        <v>0.19130374862183019</v>
      </c>
      <c r="Q22" s="616">
        <v>3470.25</v>
      </c>
    </row>
    <row r="23" spans="1:17" ht="14.4" customHeight="1" x14ac:dyDescent="0.3">
      <c r="A23" s="611" t="s">
        <v>531</v>
      </c>
      <c r="B23" s="612" t="s">
        <v>1615</v>
      </c>
      <c r="C23" s="612" t="s">
        <v>1616</v>
      </c>
      <c r="D23" s="612" t="s">
        <v>1640</v>
      </c>
      <c r="E23" s="612" t="s">
        <v>637</v>
      </c>
      <c r="F23" s="615"/>
      <c r="G23" s="615"/>
      <c r="H23" s="615"/>
      <c r="I23" s="615"/>
      <c r="J23" s="615">
        <v>1</v>
      </c>
      <c r="K23" s="615">
        <v>2211.6999999999998</v>
      </c>
      <c r="L23" s="615"/>
      <c r="M23" s="615">
        <v>2211.6999999999998</v>
      </c>
      <c r="N23" s="615"/>
      <c r="O23" s="615"/>
      <c r="P23" s="628"/>
      <c r="Q23" s="616"/>
    </row>
    <row r="24" spans="1:17" ht="14.4" customHeight="1" x14ac:dyDescent="0.3">
      <c r="A24" s="611" t="s">
        <v>531</v>
      </c>
      <c r="B24" s="612" t="s">
        <v>1615</v>
      </c>
      <c r="C24" s="612" t="s">
        <v>1641</v>
      </c>
      <c r="D24" s="612" t="s">
        <v>1642</v>
      </c>
      <c r="E24" s="612" t="s">
        <v>1643</v>
      </c>
      <c r="F24" s="615">
        <v>4</v>
      </c>
      <c r="G24" s="615">
        <v>6320.58</v>
      </c>
      <c r="H24" s="615">
        <v>1</v>
      </c>
      <c r="I24" s="615">
        <v>1580.145</v>
      </c>
      <c r="J24" s="615">
        <v>1</v>
      </c>
      <c r="K24" s="615">
        <v>1614.05</v>
      </c>
      <c r="L24" s="615">
        <v>0.25536422290359428</v>
      </c>
      <c r="M24" s="615">
        <v>1614.05</v>
      </c>
      <c r="N24" s="615">
        <v>4</v>
      </c>
      <c r="O24" s="615">
        <v>6456.2</v>
      </c>
      <c r="P24" s="628">
        <v>1.0214568916143771</v>
      </c>
      <c r="Q24" s="616">
        <v>1614.05</v>
      </c>
    </row>
    <row r="25" spans="1:17" ht="14.4" customHeight="1" x14ac:dyDescent="0.3">
      <c r="A25" s="611" t="s">
        <v>531</v>
      </c>
      <c r="B25" s="612" t="s">
        <v>1615</v>
      </c>
      <c r="C25" s="612" t="s">
        <v>1641</v>
      </c>
      <c r="D25" s="612" t="s">
        <v>1644</v>
      </c>
      <c r="E25" s="612" t="s">
        <v>1645</v>
      </c>
      <c r="F25" s="615">
        <v>4</v>
      </c>
      <c r="G25" s="615">
        <v>947.74</v>
      </c>
      <c r="H25" s="615">
        <v>1</v>
      </c>
      <c r="I25" s="615">
        <v>236.935</v>
      </c>
      <c r="J25" s="615">
        <v>1</v>
      </c>
      <c r="K25" s="615">
        <v>238.68</v>
      </c>
      <c r="L25" s="615">
        <v>0.25184122227615169</v>
      </c>
      <c r="M25" s="615">
        <v>238.68</v>
      </c>
      <c r="N25" s="615">
        <v>4</v>
      </c>
      <c r="O25" s="615">
        <v>954.72</v>
      </c>
      <c r="P25" s="628">
        <v>1.0073648891046068</v>
      </c>
      <c r="Q25" s="616">
        <v>238.68</v>
      </c>
    </row>
    <row r="26" spans="1:17" ht="14.4" customHeight="1" x14ac:dyDescent="0.3">
      <c r="A26" s="611" t="s">
        <v>531</v>
      </c>
      <c r="B26" s="612" t="s">
        <v>1615</v>
      </c>
      <c r="C26" s="612" t="s">
        <v>1646</v>
      </c>
      <c r="D26" s="612" t="s">
        <v>1647</v>
      </c>
      <c r="E26" s="612" t="s">
        <v>1648</v>
      </c>
      <c r="F26" s="615">
        <v>237</v>
      </c>
      <c r="G26" s="615">
        <v>41001</v>
      </c>
      <c r="H26" s="615">
        <v>1</v>
      </c>
      <c r="I26" s="615">
        <v>173</v>
      </c>
      <c r="J26" s="615">
        <v>369</v>
      </c>
      <c r="K26" s="615">
        <v>63303</v>
      </c>
      <c r="L26" s="615">
        <v>1.5439379527328603</v>
      </c>
      <c r="M26" s="615">
        <v>171.55284552845529</v>
      </c>
      <c r="N26" s="615">
        <v>286</v>
      </c>
      <c r="O26" s="615">
        <v>50622</v>
      </c>
      <c r="P26" s="628">
        <v>1.234652813346016</v>
      </c>
      <c r="Q26" s="616">
        <v>177</v>
      </c>
    </row>
    <row r="27" spans="1:17" ht="14.4" customHeight="1" x14ac:dyDescent="0.3">
      <c r="A27" s="611" t="s">
        <v>531</v>
      </c>
      <c r="B27" s="612" t="s">
        <v>1615</v>
      </c>
      <c r="C27" s="612" t="s">
        <v>1646</v>
      </c>
      <c r="D27" s="612" t="s">
        <v>1649</v>
      </c>
      <c r="E27" s="612" t="s">
        <v>1650</v>
      </c>
      <c r="F27" s="615">
        <v>4</v>
      </c>
      <c r="G27" s="615">
        <v>740</v>
      </c>
      <c r="H27" s="615">
        <v>1</v>
      </c>
      <c r="I27" s="615">
        <v>185</v>
      </c>
      <c r="J27" s="615">
        <v>1</v>
      </c>
      <c r="K27" s="615">
        <v>188</v>
      </c>
      <c r="L27" s="615">
        <v>0.25405405405405407</v>
      </c>
      <c r="M27" s="615">
        <v>188</v>
      </c>
      <c r="N27" s="615">
        <v>2</v>
      </c>
      <c r="O27" s="615">
        <v>378</v>
      </c>
      <c r="P27" s="628">
        <v>0.51081081081081081</v>
      </c>
      <c r="Q27" s="616">
        <v>189</v>
      </c>
    </row>
    <row r="28" spans="1:17" ht="14.4" customHeight="1" x14ac:dyDescent="0.3">
      <c r="A28" s="611" t="s">
        <v>531</v>
      </c>
      <c r="B28" s="612" t="s">
        <v>1615</v>
      </c>
      <c r="C28" s="612" t="s">
        <v>1646</v>
      </c>
      <c r="D28" s="612" t="s">
        <v>1651</v>
      </c>
      <c r="E28" s="612" t="s">
        <v>1652</v>
      </c>
      <c r="F28" s="615">
        <v>8</v>
      </c>
      <c r="G28" s="615">
        <v>7840</v>
      </c>
      <c r="H28" s="615">
        <v>1</v>
      </c>
      <c r="I28" s="615">
        <v>980</v>
      </c>
      <c r="J28" s="615"/>
      <c r="K28" s="615"/>
      <c r="L28" s="615"/>
      <c r="M28" s="615"/>
      <c r="N28" s="615">
        <v>2</v>
      </c>
      <c r="O28" s="615">
        <v>1970</v>
      </c>
      <c r="P28" s="628">
        <v>0.25127551020408162</v>
      </c>
      <c r="Q28" s="616">
        <v>985</v>
      </c>
    </row>
    <row r="29" spans="1:17" ht="14.4" customHeight="1" x14ac:dyDescent="0.3">
      <c r="A29" s="611" t="s">
        <v>531</v>
      </c>
      <c r="B29" s="612" t="s">
        <v>1615</v>
      </c>
      <c r="C29" s="612" t="s">
        <v>1646</v>
      </c>
      <c r="D29" s="612" t="s">
        <v>1653</v>
      </c>
      <c r="E29" s="612" t="s">
        <v>1654</v>
      </c>
      <c r="F29" s="615">
        <v>0</v>
      </c>
      <c r="G29" s="615">
        <v>0</v>
      </c>
      <c r="H29" s="615"/>
      <c r="I29" s="615"/>
      <c r="J29" s="615">
        <v>0</v>
      </c>
      <c r="K29" s="615">
        <v>0</v>
      </c>
      <c r="L29" s="615"/>
      <c r="M29" s="615"/>
      <c r="N29" s="615">
        <v>0</v>
      </c>
      <c r="O29" s="615">
        <v>0</v>
      </c>
      <c r="P29" s="628"/>
      <c r="Q29" s="616"/>
    </row>
    <row r="30" spans="1:17" ht="14.4" customHeight="1" x14ac:dyDescent="0.3">
      <c r="A30" s="611" t="s">
        <v>531</v>
      </c>
      <c r="B30" s="612" t="s">
        <v>1615</v>
      </c>
      <c r="C30" s="612" t="s">
        <v>1646</v>
      </c>
      <c r="D30" s="612" t="s">
        <v>1655</v>
      </c>
      <c r="E30" s="612" t="s">
        <v>1656</v>
      </c>
      <c r="F30" s="615">
        <v>1878</v>
      </c>
      <c r="G30" s="615">
        <v>0</v>
      </c>
      <c r="H30" s="615"/>
      <c r="I30" s="615">
        <v>0</v>
      </c>
      <c r="J30" s="615">
        <v>1473</v>
      </c>
      <c r="K30" s="615">
        <v>0</v>
      </c>
      <c r="L30" s="615"/>
      <c r="M30" s="615">
        <v>0</v>
      </c>
      <c r="N30" s="615">
        <v>1616</v>
      </c>
      <c r="O30" s="615">
        <v>0</v>
      </c>
      <c r="P30" s="628"/>
      <c r="Q30" s="616">
        <v>0</v>
      </c>
    </row>
    <row r="31" spans="1:17" ht="14.4" customHeight="1" x14ac:dyDescent="0.3">
      <c r="A31" s="611" t="s">
        <v>531</v>
      </c>
      <c r="B31" s="612" t="s">
        <v>1615</v>
      </c>
      <c r="C31" s="612" t="s">
        <v>1646</v>
      </c>
      <c r="D31" s="612" t="s">
        <v>1657</v>
      </c>
      <c r="E31" s="612" t="s">
        <v>1658</v>
      </c>
      <c r="F31" s="615">
        <v>45</v>
      </c>
      <c r="G31" s="615">
        <v>0</v>
      </c>
      <c r="H31" s="615"/>
      <c r="I31" s="615">
        <v>0</v>
      </c>
      <c r="J31" s="615">
        <v>26</v>
      </c>
      <c r="K31" s="615">
        <v>0</v>
      </c>
      <c r="L31" s="615"/>
      <c r="M31" s="615">
        <v>0</v>
      </c>
      <c r="N31" s="615">
        <v>48</v>
      </c>
      <c r="O31" s="615">
        <v>0</v>
      </c>
      <c r="P31" s="628"/>
      <c r="Q31" s="616">
        <v>0</v>
      </c>
    </row>
    <row r="32" spans="1:17" ht="14.4" customHeight="1" x14ac:dyDescent="0.3">
      <c r="A32" s="611" t="s">
        <v>531</v>
      </c>
      <c r="B32" s="612" t="s">
        <v>1615</v>
      </c>
      <c r="C32" s="612" t="s">
        <v>1646</v>
      </c>
      <c r="D32" s="612" t="s">
        <v>1659</v>
      </c>
      <c r="E32" s="612" t="s">
        <v>1660</v>
      </c>
      <c r="F32" s="615">
        <v>756</v>
      </c>
      <c r="G32" s="615">
        <v>0</v>
      </c>
      <c r="H32" s="615"/>
      <c r="I32" s="615">
        <v>0</v>
      </c>
      <c r="J32" s="615">
        <v>782</v>
      </c>
      <c r="K32" s="615">
        <v>0</v>
      </c>
      <c r="L32" s="615"/>
      <c r="M32" s="615">
        <v>0</v>
      </c>
      <c r="N32" s="615">
        <v>758</v>
      </c>
      <c r="O32" s="615">
        <v>0</v>
      </c>
      <c r="P32" s="628"/>
      <c r="Q32" s="616">
        <v>0</v>
      </c>
    </row>
    <row r="33" spans="1:17" ht="14.4" customHeight="1" x14ac:dyDescent="0.3">
      <c r="A33" s="611" t="s">
        <v>531</v>
      </c>
      <c r="B33" s="612" t="s">
        <v>1615</v>
      </c>
      <c r="C33" s="612" t="s">
        <v>1646</v>
      </c>
      <c r="D33" s="612" t="s">
        <v>1661</v>
      </c>
      <c r="E33" s="612" t="s">
        <v>1662</v>
      </c>
      <c r="F33" s="615">
        <v>13</v>
      </c>
      <c r="G33" s="615">
        <v>0</v>
      </c>
      <c r="H33" s="615"/>
      <c r="I33" s="615">
        <v>0</v>
      </c>
      <c r="J33" s="615"/>
      <c r="K33" s="615"/>
      <c r="L33" s="615"/>
      <c r="M33" s="615"/>
      <c r="N33" s="615"/>
      <c r="O33" s="615"/>
      <c r="P33" s="628"/>
      <c r="Q33" s="616"/>
    </row>
    <row r="34" spans="1:17" ht="14.4" customHeight="1" x14ac:dyDescent="0.3">
      <c r="A34" s="611" t="s">
        <v>531</v>
      </c>
      <c r="B34" s="612" t="s">
        <v>1615</v>
      </c>
      <c r="C34" s="612" t="s">
        <v>1646</v>
      </c>
      <c r="D34" s="612" t="s">
        <v>1663</v>
      </c>
      <c r="E34" s="612" t="s">
        <v>1664</v>
      </c>
      <c r="F34" s="615">
        <v>849</v>
      </c>
      <c r="G34" s="615">
        <v>277624</v>
      </c>
      <c r="H34" s="615">
        <v>1</v>
      </c>
      <c r="I34" s="615">
        <v>327.00117785630152</v>
      </c>
      <c r="J34" s="615">
        <v>877</v>
      </c>
      <c r="K34" s="615">
        <v>283356</v>
      </c>
      <c r="L34" s="615">
        <v>1.0206466299743537</v>
      </c>
      <c r="M34" s="615">
        <v>323.096921322691</v>
      </c>
      <c r="N34" s="615">
        <v>892</v>
      </c>
      <c r="O34" s="615">
        <v>295252</v>
      </c>
      <c r="P34" s="628">
        <v>1.0634959513586721</v>
      </c>
      <c r="Q34" s="616">
        <v>331</v>
      </c>
    </row>
    <row r="35" spans="1:17" ht="14.4" customHeight="1" x14ac:dyDescent="0.3">
      <c r="A35" s="611" t="s">
        <v>531</v>
      </c>
      <c r="B35" s="612" t="s">
        <v>1615</v>
      </c>
      <c r="C35" s="612" t="s">
        <v>1646</v>
      </c>
      <c r="D35" s="612" t="s">
        <v>1665</v>
      </c>
      <c r="E35" s="612" t="s">
        <v>1666</v>
      </c>
      <c r="F35" s="615">
        <v>788</v>
      </c>
      <c r="G35" s="615">
        <v>508243</v>
      </c>
      <c r="H35" s="615">
        <v>1</v>
      </c>
      <c r="I35" s="615">
        <v>644.9784263959391</v>
      </c>
      <c r="J35" s="615">
        <v>811</v>
      </c>
      <c r="K35" s="615">
        <v>516177</v>
      </c>
      <c r="L35" s="615">
        <v>1.0156106429404832</v>
      </c>
      <c r="M35" s="615">
        <v>636.46979038224413</v>
      </c>
      <c r="N35" s="615">
        <v>821</v>
      </c>
      <c r="O35" s="615">
        <v>536077</v>
      </c>
      <c r="P35" s="628">
        <v>1.0547651418711128</v>
      </c>
      <c r="Q35" s="616">
        <v>652.95615103532282</v>
      </c>
    </row>
    <row r="36" spans="1:17" ht="14.4" customHeight="1" x14ac:dyDescent="0.3">
      <c r="A36" s="611" t="s">
        <v>531</v>
      </c>
      <c r="B36" s="612" t="s">
        <v>1615</v>
      </c>
      <c r="C36" s="612" t="s">
        <v>1646</v>
      </c>
      <c r="D36" s="612" t="s">
        <v>1667</v>
      </c>
      <c r="E36" s="612" t="s">
        <v>1668</v>
      </c>
      <c r="F36" s="615">
        <v>6</v>
      </c>
      <c r="G36" s="615">
        <v>0</v>
      </c>
      <c r="H36" s="615"/>
      <c r="I36" s="615">
        <v>0</v>
      </c>
      <c r="J36" s="615">
        <v>5</v>
      </c>
      <c r="K36" s="615">
        <v>0</v>
      </c>
      <c r="L36" s="615"/>
      <c r="M36" s="615">
        <v>0</v>
      </c>
      <c r="N36" s="615">
        <v>11</v>
      </c>
      <c r="O36" s="615">
        <v>0</v>
      </c>
      <c r="P36" s="628"/>
      <c r="Q36" s="616">
        <v>0</v>
      </c>
    </row>
    <row r="37" spans="1:17" ht="14.4" customHeight="1" x14ac:dyDescent="0.3">
      <c r="A37" s="611" t="s">
        <v>531</v>
      </c>
      <c r="B37" s="612" t="s">
        <v>1615</v>
      </c>
      <c r="C37" s="612" t="s">
        <v>1646</v>
      </c>
      <c r="D37" s="612" t="s">
        <v>1669</v>
      </c>
      <c r="E37" s="612" t="s">
        <v>1670</v>
      </c>
      <c r="F37" s="615">
        <v>112</v>
      </c>
      <c r="G37" s="615">
        <v>16239</v>
      </c>
      <c r="H37" s="615">
        <v>1</v>
      </c>
      <c r="I37" s="615">
        <v>144.99107142857142</v>
      </c>
      <c r="J37" s="615">
        <v>161</v>
      </c>
      <c r="K37" s="615">
        <v>22893</v>
      </c>
      <c r="L37" s="615">
        <v>1.4097542952152227</v>
      </c>
      <c r="M37" s="615">
        <v>142.19254658385094</v>
      </c>
      <c r="N37" s="615">
        <v>146</v>
      </c>
      <c r="O37" s="615">
        <v>21606</v>
      </c>
      <c r="P37" s="628">
        <v>1.330500646591539</v>
      </c>
      <c r="Q37" s="616">
        <v>147.98630136986301</v>
      </c>
    </row>
    <row r="38" spans="1:17" ht="14.4" customHeight="1" x14ac:dyDescent="0.3">
      <c r="A38" s="611" t="s">
        <v>531</v>
      </c>
      <c r="B38" s="612" t="s">
        <v>1615</v>
      </c>
      <c r="C38" s="612" t="s">
        <v>1646</v>
      </c>
      <c r="D38" s="612" t="s">
        <v>1671</v>
      </c>
      <c r="E38" s="612" t="s">
        <v>1672</v>
      </c>
      <c r="F38" s="615">
        <v>3897</v>
      </c>
      <c r="G38" s="615">
        <v>3696505</v>
      </c>
      <c r="H38" s="615">
        <v>1</v>
      </c>
      <c r="I38" s="615">
        <v>948.55144983320508</v>
      </c>
      <c r="J38" s="615">
        <v>3804</v>
      </c>
      <c r="K38" s="615">
        <v>3556852</v>
      </c>
      <c r="L38" s="615">
        <v>0.9622202594071968</v>
      </c>
      <c r="M38" s="615">
        <v>935.02944269190323</v>
      </c>
      <c r="N38" s="615">
        <v>3969</v>
      </c>
      <c r="O38" s="615">
        <v>3763734</v>
      </c>
      <c r="P38" s="628">
        <v>1.0181871795114574</v>
      </c>
      <c r="Q38" s="616">
        <v>948.28269085411944</v>
      </c>
    </row>
    <row r="39" spans="1:17" ht="14.4" customHeight="1" x14ac:dyDescent="0.3">
      <c r="A39" s="611" t="s">
        <v>531</v>
      </c>
      <c r="B39" s="612" t="s">
        <v>1615</v>
      </c>
      <c r="C39" s="612" t="s">
        <v>1646</v>
      </c>
      <c r="D39" s="612" t="s">
        <v>1673</v>
      </c>
      <c r="E39" s="612" t="s">
        <v>1674</v>
      </c>
      <c r="F39" s="615"/>
      <c r="G39" s="615"/>
      <c r="H39" s="615"/>
      <c r="I39" s="615"/>
      <c r="J39" s="615"/>
      <c r="K39" s="615"/>
      <c r="L39" s="615"/>
      <c r="M39" s="615"/>
      <c r="N39" s="615">
        <v>1</v>
      </c>
      <c r="O39" s="615">
        <v>0</v>
      </c>
      <c r="P39" s="628"/>
      <c r="Q39" s="616">
        <v>0</v>
      </c>
    </row>
    <row r="40" spans="1:17" ht="14.4" customHeight="1" x14ac:dyDescent="0.3">
      <c r="A40" s="611" t="s">
        <v>531</v>
      </c>
      <c r="B40" s="612" t="s">
        <v>1675</v>
      </c>
      <c r="C40" s="612" t="s">
        <v>1616</v>
      </c>
      <c r="D40" s="612" t="s">
        <v>1676</v>
      </c>
      <c r="E40" s="612"/>
      <c r="F40" s="615">
        <v>2</v>
      </c>
      <c r="G40" s="615">
        <v>229.16</v>
      </c>
      <c r="H40" s="615">
        <v>1</v>
      </c>
      <c r="I40" s="615">
        <v>114.58</v>
      </c>
      <c r="J40" s="615"/>
      <c r="K40" s="615"/>
      <c r="L40" s="615"/>
      <c r="M40" s="615"/>
      <c r="N40" s="615"/>
      <c r="O40" s="615"/>
      <c r="P40" s="628"/>
      <c r="Q40" s="616"/>
    </row>
    <row r="41" spans="1:17" ht="14.4" customHeight="1" x14ac:dyDescent="0.3">
      <c r="A41" s="611" t="s">
        <v>531</v>
      </c>
      <c r="B41" s="612" t="s">
        <v>1675</v>
      </c>
      <c r="C41" s="612" t="s">
        <v>1616</v>
      </c>
      <c r="D41" s="612" t="s">
        <v>1677</v>
      </c>
      <c r="E41" s="612" t="s">
        <v>1678</v>
      </c>
      <c r="F41" s="615"/>
      <c r="G41" s="615"/>
      <c r="H41" s="615"/>
      <c r="I41" s="615"/>
      <c r="J41" s="615">
        <v>9</v>
      </c>
      <c r="K41" s="615">
        <v>885.05</v>
      </c>
      <c r="L41" s="615"/>
      <c r="M41" s="615">
        <v>98.338888888888889</v>
      </c>
      <c r="N41" s="615"/>
      <c r="O41" s="615"/>
      <c r="P41" s="628"/>
      <c r="Q41" s="616"/>
    </row>
    <row r="42" spans="1:17" ht="14.4" customHeight="1" x14ac:dyDescent="0.3">
      <c r="A42" s="611" t="s">
        <v>531</v>
      </c>
      <c r="B42" s="612" t="s">
        <v>1675</v>
      </c>
      <c r="C42" s="612" t="s">
        <v>1616</v>
      </c>
      <c r="D42" s="612" t="s">
        <v>1617</v>
      </c>
      <c r="E42" s="612" t="s">
        <v>1166</v>
      </c>
      <c r="F42" s="615">
        <v>80</v>
      </c>
      <c r="G42" s="615">
        <v>42545.08</v>
      </c>
      <c r="H42" s="615">
        <v>1</v>
      </c>
      <c r="I42" s="615">
        <v>531.81349999999998</v>
      </c>
      <c r="J42" s="615">
        <v>100</v>
      </c>
      <c r="K42" s="615">
        <v>53216</v>
      </c>
      <c r="L42" s="615">
        <v>1.2508144302466935</v>
      </c>
      <c r="M42" s="615">
        <v>532.16</v>
      </c>
      <c r="N42" s="615">
        <v>45</v>
      </c>
      <c r="O42" s="615">
        <v>19826.03</v>
      </c>
      <c r="P42" s="628">
        <v>0.4660005340217952</v>
      </c>
      <c r="Q42" s="616">
        <v>440.57844444444441</v>
      </c>
    </row>
    <row r="43" spans="1:17" ht="14.4" customHeight="1" x14ac:dyDescent="0.3">
      <c r="A43" s="611" t="s">
        <v>531</v>
      </c>
      <c r="B43" s="612" t="s">
        <v>1675</v>
      </c>
      <c r="C43" s="612" t="s">
        <v>1616</v>
      </c>
      <c r="D43" s="612" t="s">
        <v>1679</v>
      </c>
      <c r="E43" s="612" t="s">
        <v>1680</v>
      </c>
      <c r="F43" s="615"/>
      <c r="G43" s="615"/>
      <c r="H43" s="615"/>
      <c r="I43" s="615"/>
      <c r="J43" s="615">
        <v>1.2</v>
      </c>
      <c r="K43" s="615">
        <v>755.05</v>
      </c>
      <c r="L43" s="615"/>
      <c r="M43" s="615">
        <v>629.20833333333337</v>
      </c>
      <c r="N43" s="615"/>
      <c r="O43" s="615"/>
      <c r="P43" s="628"/>
      <c r="Q43" s="616"/>
    </row>
    <row r="44" spans="1:17" ht="14.4" customHeight="1" x14ac:dyDescent="0.3">
      <c r="A44" s="611" t="s">
        <v>531</v>
      </c>
      <c r="B44" s="612" t="s">
        <v>1675</v>
      </c>
      <c r="C44" s="612" t="s">
        <v>1616</v>
      </c>
      <c r="D44" s="612" t="s">
        <v>1618</v>
      </c>
      <c r="E44" s="612"/>
      <c r="F44" s="615">
        <v>15.6</v>
      </c>
      <c r="G44" s="615">
        <v>16837.080000000002</v>
      </c>
      <c r="H44" s="615">
        <v>1</v>
      </c>
      <c r="I44" s="615">
        <v>1079.3000000000002</v>
      </c>
      <c r="J44" s="615">
        <v>19.700000000000003</v>
      </c>
      <c r="K44" s="615">
        <v>21262.21</v>
      </c>
      <c r="L44" s="615">
        <v>1.2628205128205126</v>
      </c>
      <c r="M44" s="615">
        <v>1079.2999999999997</v>
      </c>
      <c r="N44" s="615"/>
      <c r="O44" s="615"/>
      <c r="P44" s="628"/>
      <c r="Q44" s="616"/>
    </row>
    <row r="45" spans="1:17" ht="14.4" customHeight="1" x14ac:dyDescent="0.3">
      <c r="A45" s="611" t="s">
        <v>531</v>
      </c>
      <c r="B45" s="612" t="s">
        <v>1675</v>
      </c>
      <c r="C45" s="612" t="s">
        <v>1616</v>
      </c>
      <c r="D45" s="612" t="s">
        <v>1619</v>
      </c>
      <c r="E45" s="612" t="s">
        <v>1620</v>
      </c>
      <c r="F45" s="615">
        <v>2</v>
      </c>
      <c r="G45" s="615">
        <v>368.84</v>
      </c>
      <c r="H45" s="615">
        <v>1</v>
      </c>
      <c r="I45" s="615">
        <v>184.42</v>
      </c>
      <c r="J45" s="615"/>
      <c r="K45" s="615"/>
      <c r="L45" s="615"/>
      <c r="M45" s="615"/>
      <c r="N45" s="615">
        <v>11</v>
      </c>
      <c r="O45" s="615">
        <v>1940.51</v>
      </c>
      <c r="P45" s="628">
        <v>5.2611159310270041</v>
      </c>
      <c r="Q45" s="616">
        <v>176.41</v>
      </c>
    </row>
    <row r="46" spans="1:17" ht="14.4" customHeight="1" x14ac:dyDescent="0.3">
      <c r="A46" s="611" t="s">
        <v>531</v>
      </c>
      <c r="B46" s="612" t="s">
        <v>1675</v>
      </c>
      <c r="C46" s="612" t="s">
        <v>1616</v>
      </c>
      <c r="D46" s="612" t="s">
        <v>1681</v>
      </c>
      <c r="E46" s="612" t="s">
        <v>1682</v>
      </c>
      <c r="F46" s="615">
        <v>7</v>
      </c>
      <c r="G46" s="615">
        <v>9058</v>
      </c>
      <c r="H46" s="615">
        <v>1</v>
      </c>
      <c r="I46" s="615">
        <v>1294</v>
      </c>
      <c r="J46" s="615">
        <v>8.5</v>
      </c>
      <c r="K46" s="615">
        <v>10999</v>
      </c>
      <c r="L46" s="615">
        <v>1.2142857142857142</v>
      </c>
      <c r="M46" s="615">
        <v>1294</v>
      </c>
      <c r="N46" s="615"/>
      <c r="O46" s="615"/>
      <c r="P46" s="628"/>
      <c r="Q46" s="616"/>
    </row>
    <row r="47" spans="1:17" ht="14.4" customHeight="1" x14ac:dyDescent="0.3">
      <c r="A47" s="611" t="s">
        <v>531</v>
      </c>
      <c r="B47" s="612" t="s">
        <v>1675</v>
      </c>
      <c r="C47" s="612" t="s">
        <v>1616</v>
      </c>
      <c r="D47" s="612" t="s">
        <v>1683</v>
      </c>
      <c r="E47" s="612" t="s">
        <v>1684</v>
      </c>
      <c r="F47" s="615">
        <v>0</v>
      </c>
      <c r="G47" s="615">
        <v>0</v>
      </c>
      <c r="H47" s="615"/>
      <c r="I47" s="615"/>
      <c r="J47" s="615"/>
      <c r="K47" s="615"/>
      <c r="L47" s="615"/>
      <c r="M47" s="615"/>
      <c r="N47" s="615"/>
      <c r="O47" s="615"/>
      <c r="P47" s="628"/>
      <c r="Q47" s="616"/>
    </row>
    <row r="48" spans="1:17" ht="14.4" customHeight="1" x14ac:dyDescent="0.3">
      <c r="A48" s="611" t="s">
        <v>531</v>
      </c>
      <c r="B48" s="612" t="s">
        <v>1675</v>
      </c>
      <c r="C48" s="612" t="s">
        <v>1616</v>
      </c>
      <c r="D48" s="612" t="s">
        <v>1683</v>
      </c>
      <c r="E48" s="612" t="s">
        <v>1685</v>
      </c>
      <c r="F48" s="615">
        <v>10</v>
      </c>
      <c r="G48" s="615">
        <v>205476.2</v>
      </c>
      <c r="H48" s="615">
        <v>1</v>
      </c>
      <c r="I48" s="615">
        <v>20547.620000000003</v>
      </c>
      <c r="J48" s="615"/>
      <c r="K48" s="615"/>
      <c r="L48" s="615"/>
      <c r="M48" s="615"/>
      <c r="N48" s="615"/>
      <c r="O48" s="615"/>
      <c r="P48" s="628"/>
      <c r="Q48" s="616"/>
    </row>
    <row r="49" spans="1:17" ht="14.4" customHeight="1" x14ac:dyDescent="0.3">
      <c r="A49" s="611" t="s">
        <v>531</v>
      </c>
      <c r="B49" s="612" t="s">
        <v>1675</v>
      </c>
      <c r="C49" s="612" t="s">
        <v>1616</v>
      </c>
      <c r="D49" s="612" t="s">
        <v>1686</v>
      </c>
      <c r="E49" s="612" t="s">
        <v>1687</v>
      </c>
      <c r="F49" s="615">
        <v>38</v>
      </c>
      <c r="G49" s="615">
        <v>5114.42</v>
      </c>
      <c r="H49" s="615">
        <v>1</v>
      </c>
      <c r="I49" s="615">
        <v>134.59</v>
      </c>
      <c r="J49" s="615">
        <v>26</v>
      </c>
      <c r="K49" s="615">
        <v>3499.34</v>
      </c>
      <c r="L49" s="615">
        <v>0.68421052631578949</v>
      </c>
      <c r="M49" s="615">
        <v>134.59</v>
      </c>
      <c r="N49" s="615">
        <v>20</v>
      </c>
      <c r="O49" s="615">
        <v>2580.65</v>
      </c>
      <c r="P49" s="628">
        <v>0.50458311988456173</v>
      </c>
      <c r="Q49" s="616">
        <v>129.0325</v>
      </c>
    </row>
    <row r="50" spans="1:17" ht="14.4" customHeight="1" x14ac:dyDescent="0.3">
      <c r="A50" s="611" t="s">
        <v>531</v>
      </c>
      <c r="B50" s="612" t="s">
        <v>1675</v>
      </c>
      <c r="C50" s="612" t="s">
        <v>1616</v>
      </c>
      <c r="D50" s="612" t="s">
        <v>1621</v>
      </c>
      <c r="E50" s="612" t="s">
        <v>1163</v>
      </c>
      <c r="F50" s="615"/>
      <c r="G50" s="615"/>
      <c r="H50" s="615"/>
      <c r="I50" s="615"/>
      <c r="J50" s="615"/>
      <c r="K50" s="615"/>
      <c r="L50" s="615"/>
      <c r="M50" s="615"/>
      <c r="N50" s="615">
        <v>4</v>
      </c>
      <c r="O50" s="615">
        <v>154.44</v>
      </c>
      <c r="P50" s="628"/>
      <c r="Q50" s="616">
        <v>38.61</v>
      </c>
    </row>
    <row r="51" spans="1:17" ht="14.4" customHeight="1" x14ac:dyDescent="0.3">
      <c r="A51" s="611" t="s">
        <v>531</v>
      </c>
      <c r="B51" s="612" t="s">
        <v>1675</v>
      </c>
      <c r="C51" s="612" t="s">
        <v>1616</v>
      </c>
      <c r="D51" s="612" t="s">
        <v>1688</v>
      </c>
      <c r="E51" s="612"/>
      <c r="F51" s="615">
        <v>19</v>
      </c>
      <c r="G51" s="615">
        <v>5208.75</v>
      </c>
      <c r="H51" s="615">
        <v>1</v>
      </c>
      <c r="I51" s="615">
        <v>274.14473684210526</v>
      </c>
      <c r="J51" s="615"/>
      <c r="K51" s="615"/>
      <c r="L51" s="615"/>
      <c r="M51" s="615"/>
      <c r="N51" s="615"/>
      <c r="O51" s="615"/>
      <c r="P51" s="628"/>
      <c r="Q51" s="616"/>
    </row>
    <row r="52" spans="1:17" ht="14.4" customHeight="1" x14ac:dyDescent="0.3">
      <c r="A52" s="611" t="s">
        <v>531</v>
      </c>
      <c r="B52" s="612" t="s">
        <v>1675</v>
      </c>
      <c r="C52" s="612" t="s">
        <v>1616</v>
      </c>
      <c r="D52" s="612" t="s">
        <v>1622</v>
      </c>
      <c r="E52" s="612" t="s">
        <v>1169</v>
      </c>
      <c r="F52" s="615">
        <v>6.9</v>
      </c>
      <c r="G52" s="615">
        <v>327.75</v>
      </c>
      <c r="H52" s="615">
        <v>1</v>
      </c>
      <c r="I52" s="615">
        <v>47.5</v>
      </c>
      <c r="J52" s="615">
        <v>0.89999999999999991</v>
      </c>
      <c r="K52" s="615">
        <v>42.75</v>
      </c>
      <c r="L52" s="615">
        <v>0.13043478260869565</v>
      </c>
      <c r="M52" s="615">
        <v>47.500000000000007</v>
      </c>
      <c r="N52" s="615">
        <v>3.7</v>
      </c>
      <c r="O52" s="615">
        <v>170.08</v>
      </c>
      <c r="P52" s="628">
        <v>0.518932112890923</v>
      </c>
      <c r="Q52" s="616">
        <v>45.967567567567571</v>
      </c>
    </row>
    <row r="53" spans="1:17" ht="14.4" customHeight="1" x14ac:dyDescent="0.3">
      <c r="A53" s="611" t="s">
        <v>531</v>
      </c>
      <c r="B53" s="612" t="s">
        <v>1675</v>
      </c>
      <c r="C53" s="612" t="s">
        <v>1616</v>
      </c>
      <c r="D53" s="612" t="s">
        <v>1626</v>
      </c>
      <c r="E53" s="612" t="s">
        <v>778</v>
      </c>
      <c r="F53" s="615"/>
      <c r="G53" s="615"/>
      <c r="H53" s="615"/>
      <c r="I53" s="615"/>
      <c r="J53" s="615"/>
      <c r="K53" s="615"/>
      <c r="L53" s="615"/>
      <c r="M53" s="615"/>
      <c r="N53" s="615">
        <v>1</v>
      </c>
      <c r="O53" s="615">
        <v>240.58</v>
      </c>
      <c r="P53" s="628"/>
      <c r="Q53" s="616">
        <v>240.58</v>
      </c>
    </row>
    <row r="54" spans="1:17" ht="14.4" customHeight="1" x14ac:dyDescent="0.3">
      <c r="A54" s="611" t="s">
        <v>531</v>
      </c>
      <c r="B54" s="612" t="s">
        <v>1675</v>
      </c>
      <c r="C54" s="612" t="s">
        <v>1616</v>
      </c>
      <c r="D54" s="612" t="s">
        <v>1627</v>
      </c>
      <c r="E54" s="612" t="s">
        <v>1628</v>
      </c>
      <c r="F54" s="615"/>
      <c r="G54" s="615"/>
      <c r="H54" s="615"/>
      <c r="I54" s="615"/>
      <c r="J54" s="615">
        <v>14</v>
      </c>
      <c r="K54" s="615">
        <v>498.53999999999996</v>
      </c>
      <c r="L54" s="615"/>
      <c r="M54" s="615">
        <v>35.61</v>
      </c>
      <c r="N54" s="615"/>
      <c r="O54" s="615"/>
      <c r="P54" s="628"/>
      <c r="Q54" s="616"/>
    </row>
    <row r="55" spans="1:17" ht="14.4" customHeight="1" x14ac:dyDescent="0.3">
      <c r="A55" s="611" t="s">
        <v>531</v>
      </c>
      <c r="B55" s="612" t="s">
        <v>1675</v>
      </c>
      <c r="C55" s="612" t="s">
        <v>1616</v>
      </c>
      <c r="D55" s="612" t="s">
        <v>1689</v>
      </c>
      <c r="E55" s="612" t="s">
        <v>1690</v>
      </c>
      <c r="F55" s="615">
        <v>5</v>
      </c>
      <c r="G55" s="615">
        <v>365.25</v>
      </c>
      <c r="H55" s="615">
        <v>1</v>
      </c>
      <c r="I55" s="615">
        <v>73.05</v>
      </c>
      <c r="J55" s="615"/>
      <c r="K55" s="615"/>
      <c r="L55" s="615"/>
      <c r="M55" s="615"/>
      <c r="N55" s="615"/>
      <c r="O55" s="615"/>
      <c r="P55" s="628"/>
      <c r="Q55" s="616"/>
    </row>
    <row r="56" spans="1:17" ht="14.4" customHeight="1" x14ac:dyDescent="0.3">
      <c r="A56" s="611" t="s">
        <v>531</v>
      </c>
      <c r="B56" s="612" t="s">
        <v>1675</v>
      </c>
      <c r="C56" s="612" t="s">
        <v>1616</v>
      </c>
      <c r="D56" s="612" t="s">
        <v>1691</v>
      </c>
      <c r="E56" s="612" t="s">
        <v>1692</v>
      </c>
      <c r="F56" s="615">
        <v>1.5</v>
      </c>
      <c r="G56" s="615">
        <v>3304.6499999999996</v>
      </c>
      <c r="H56" s="615">
        <v>1</v>
      </c>
      <c r="I56" s="615">
        <v>2203.1</v>
      </c>
      <c r="J56" s="615">
        <v>1.5</v>
      </c>
      <c r="K56" s="615">
        <v>3304.65</v>
      </c>
      <c r="L56" s="615">
        <v>1.0000000000000002</v>
      </c>
      <c r="M56" s="615">
        <v>2203.1</v>
      </c>
      <c r="N56" s="615">
        <v>1.92</v>
      </c>
      <c r="O56" s="615">
        <v>4093.91</v>
      </c>
      <c r="P56" s="628">
        <v>1.2388331593360871</v>
      </c>
      <c r="Q56" s="616">
        <v>2132.2447916666665</v>
      </c>
    </row>
    <row r="57" spans="1:17" ht="14.4" customHeight="1" x14ac:dyDescent="0.3">
      <c r="A57" s="611" t="s">
        <v>531</v>
      </c>
      <c r="B57" s="612" t="s">
        <v>1675</v>
      </c>
      <c r="C57" s="612" t="s">
        <v>1616</v>
      </c>
      <c r="D57" s="612" t="s">
        <v>1693</v>
      </c>
      <c r="E57" s="612" t="s">
        <v>963</v>
      </c>
      <c r="F57" s="615">
        <v>7</v>
      </c>
      <c r="G57" s="615">
        <v>114100.32</v>
      </c>
      <c r="H57" s="615">
        <v>1</v>
      </c>
      <c r="I57" s="615">
        <v>16300.045714285716</v>
      </c>
      <c r="J57" s="615">
        <v>10</v>
      </c>
      <c r="K57" s="615">
        <v>163010.59</v>
      </c>
      <c r="L57" s="615">
        <v>1.4286602351334334</v>
      </c>
      <c r="M57" s="615">
        <v>16301.058999999999</v>
      </c>
      <c r="N57" s="615">
        <v>8</v>
      </c>
      <c r="O57" s="615">
        <v>125134.83</v>
      </c>
      <c r="P57" s="628">
        <v>1.0967088435860652</v>
      </c>
      <c r="Q57" s="616">
        <v>15641.85375</v>
      </c>
    </row>
    <row r="58" spans="1:17" ht="14.4" customHeight="1" x14ac:dyDescent="0.3">
      <c r="A58" s="611" t="s">
        <v>531</v>
      </c>
      <c r="B58" s="612" t="s">
        <v>1675</v>
      </c>
      <c r="C58" s="612" t="s">
        <v>1616</v>
      </c>
      <c r="D58" s="612" t="s">
        <v>1629</v>
      </c>
      <c r="E58" s="612" t="s">
        <v>1630</v>
      </c>
      <c r="F58" s="615">
        <v>0.9</v>
      </c>
      <c r="G58" s="615">
        <v>401.39</v>
      </c>
      <c r="H58" s="615">
        <v>1</v>
      </c>
      <c r="I58" s="615">
        <v>445.98888888888888</v>
      </c>
      <c r="J58" s="615">
        <v>1.1000000000000001</v>
      </c>
      <c r="K58" s="615">
        <v>487.52</v>
      </c>
      <c r="L58" s="615">
        <v>1.2145793368046041</v>
      </c>
      <c r="M58" s="615">
        <v>443.19999999999993</v>
      </c>
      <c r="N58" s="615">
        <v>4.7</v>
      </c>
      <c r="O58" s="615">
        <v>2000.2399999999998</v>
      </c>
      <c r="P58" s="628">
        <v>4.9832830912578787</v>
      </c>
      <c r="Q58" s="616">
        <v>425.58297872340421</v>
      </c>
    </row>
    <row r="59" spans="1:17" ht="14.4" customHeight="1" x14ac:dyDescent="0.3">
      <c r="A59" s="611" t="s">
        <v>531</v>
      </c>
      <c r="B59" s="612" t="s">
        <v>1675</v>
      </c>
      <c r="C59" s="612" t="s">
        <v>1616</v>
      </c>
      <c r="D59" s="612" t="s">
        <v>1631</v>
      </c>
      <c r="E59" s="612" t="s">
        <v>1063</v>
      </c>
      <c r="F59" s="615">
        <v>12.1</v>
      </c>
      <c r="G59" s="615">
        <v>1386.41</v>
      </c>
      <c r="H59" s="615">
        <v>1</v>
      </c>
      <c r="I59" s="615">
        <v>114.57933884297522</v>
      </c>
      <c r="J59" s="615">
        <v>9</v>
      </c>
      <c r="K59" s="615">
        <v>1031.22</v>
      </c>
      <c r="L59" s="615">
        <v>0.74380594485036888</v>
      </c>
      <c r="M59" s="615">
        <v>114.58</v>
      </c>
      <c r="N59" s="615">
        <v>15</v>
      </c>
      <c r="O59" s="615">
        <v>1663.9199999999998</v>
      </c>
      <c r="P59" s="628">
        <v>1.2001644535166363</v>
      </c>
      <c r="Q59" s="616">
        <v>110.92799999999998</v>
      </c>
    </row>
    <row r="60" spans="1:17" ht="14.4" customHeight="1" x14ac:dyDescent="0.3">
      <c r="A60" s="611" t="s">
        <v>531</v>
      </c>
      <c r="B60" s="612" t="s">
        <v>1675</v>
      </c>
      <c r="C60" s="612" t="s">
        <v>1616</v>
      </c>
      <c r="D60" s="612" t="s">
        <v>1633</v>
      </c>
      <c r="E60" s="612" t="s">
        <v>1140</v>
      </c>
      <c r="F60" s="615">
        <v>13.1</v>
      </c>
      <c r="G60" s="615">
        <v>632.83999999999992</v>
      </c>
      <c r="H60" s="615">
        <v>1</v>
      </c>
      <c r="I60" s="615">
        <v>48.308396946564883</v>
      </c>
      <c r="J60" s="615">
        <v>19.200000000000003</v>
      </c>
      <c r="K60" s="615">
        <v>929.37</v>
      </c>
      <c r="L60" s="615">
        <v>1.4685702547247332</v>
      </c>
      <c r="M60" s="615">
        <v>48.404687499999994</v>
      </c>
      <c r="N60" s="615">
        <v>17.400000000000002</v>
      </c>
      <c r="O60" s="615">
        <v>808.8599999999999</v>
      </c>
      <c r="P60" s="628">
        <v>1.2781429745275268</v>
      </c>
      <c r="Q60" s="616">
        <v>46.486206896551714</v>
      </c>
    </row>
    <row r="61" spans="1:17" ht="14.4" customHeight="1" x14ac:dyDescent="0.3">
      <c r="A61" s="611" t="s">
        <v>531</v>
      </c>
      <c r="B61" s="612" t="s">
        <v>1675</v>
      </c>
      <c r="C61" s="612" t="s">
        <v>1616</v>
      </c>
      <c r="D61" s="612" t="s">
        <v>1694</v>
      </c>
      <c r="E61" s="612" t="s">
        <v>1159</v>
      </c>
      <c r="F61" s="615">
        <v>0.7</v>
      </c>
      <c r="G61" s="615">
        <v>423.57</v>
      </c>
      <c r="H61" s="615">
        <v>1</v>
      </c>
      <c r="I61" s="615">
        <v>605.1</v>
      </c>
      <c r="J61" s="615">
        <v>0.7</v>
      </c>
      <c r="K61" s="615">
        <v>423.57</v>
      </c>
      <c r="L61" s="615">
        <v>1</v>
      </c>
      <c r="M61" s="615">
        <v>605.1</v>
      </c>
      <c r="N61" s="615">
        <v>0.7</v>
      </c>
      <c r="O61" s="615">
        <v>419.86</v>
      </c>
      <c r="P61" s="628">
        <v>0.99124111717071561</v>
      </c>
      <c r="Q61" s="616">
        <v>599.80000000000007</v>
      </c>
    </row>
    <row r="62" spans="1:17" ht="14.4" customHeight="1" x14ac:dyDescent="0.3">
      <c r="A62" s="611" t="s">
        <v>531</v>
      </c>
      <c r="B62" s="612" t="s">
        <v>1675</v>
      </c>
      <c r="C62" s="612" t="s">
        <v>1616</v>
      </c>
      <c r="D62" s="612" t="s">
        <v>1695</v>
      </c>
      <c r="E62" s="612" t="s">
        <v>1696</v>
      </c>
      <c r="F62" s="615">
        <v>1</v>
      </c>
      <c r="G62" s="615">
        <v>3535.84</v>
      </c>
      <c r="H62" s="615">
        <v>1</v>
      </c>
      <c r="I62" s="615">
        <v>3535.84</v>
      </c>
      <c r="J62" s="615"/>
      <c r="K62" s="615"/>
      <c r="L62" s="615"/>
      <c r="M62" s="615"/>
      <c r="N62" s="615"/>
      <c r="O62" s="615"/>
      <c r="P62" s="628"/>
      <c r="Q62" s="616"/>
    </row>
    <row r="63" spans="1:17" ht="14.4" customHeight="1" x14ac:dyDescent="0.3">
      <c r="A63" s="611" t="s">
        <v>531</v>
      </c>
      <c r="B63" s="612" t="s">
        <v>1675</v>
      </c>
      <c r="C63" s="612" t="s">
        <v>1616</v>
      </c>
      <c r="D63" s="612" t="s">
        <v>1636</v>
      </c>
      <c r="E63" s="612" t="s">
        <v>788</v>
      </c>
      <c r="F63" s="615"/>
      <c r="G63" s="615"/>
      <c r="H63" s="615"/>
      <c r="I63" s="615"/>
      <c r="J63" s="615">
        <v>14</v>
      </c>
      <c r="K63" s="615">
        <v>1353.66</v>
      </c>
      <c r="L63" s="615"/>
      <c r="M63" s="615">
        <v>96.690000000000012</v>
      </c>
      <c r="N63" s="615">
        <v>20</v>
      </c>
      <c r="O63" s="615">
        <v>1849.8</v>
      </c>
      <c r="P63" s="628"/>
      <c r="Q63" s="616">
        <v>92.49</v>
      </c>
    </row>
    <row r="64" spans="1:17" ht="14.4" customHeight="1" x14ac:dyDescent="0.3">
      <c r="A64" s="611" t="s">
        <v>531</v>
      </c>
      <c r="B64" s="612" t="s">
        <v>1675</v>
      </c>
      <c r="C64" s="612" t="s">
        <v>1616</v>
      </c>
      <c r="D64" s="612" t="s">
        <v>1637</v>
      </c>
      <c r="E64" s="612" t="s">
        <v>782</v>
      </c>
      <c r="F64" s="615"/>
      <c r="G64" s="615"/>
      <c r="H64" s="615"/>
      <c r="I64" s="615"/>
      <c r="J64" s="615"/>
      <c r="K64" s="615"/>
      <c r="L64" s="615"/>
      <c r="M64" s="615"/>
      <c r="N64" s="615">
        <v>5.3</v>
      </c>
      <c r="O64" s="615">
        <v>11074.369999999999</v>
      </c>
      <c r="P64" s="628"/>
      <c r="Q64" s="616">
        <v>2089.5037735849055</v>
      </c>
    </row>
    <row r="65" spans="1:17" ht="14.4" customHeight="1" x14ac:dyDescent="0.3">
      <c r="A65" s="611" t="s">
        <v>531</v>
      </c>
      <c r="B65" s="612" t="s">
        <v>1675</v>
      </c>
      <c r="C65" s="612" t="s">
        <v>1616</v>
      </c>
      <c r="D65" s="612" t="s">
        <v>1697</v>
      </c>
      <c r="E65" s="612" t="s">
        <v>941</v>
      </c>
      <c r="F65" s="615"/>
      <c r="G65" s="615"/>
      <c r="H65" s="615"/>
      <c r="I65" s="615"/>
      <c r="J65" s="615"/>
      <c r="K65" s="615"/>
      <c r="L65" s="615"/>
      <c r="M65" s="615"/>
      <c r="N65" s="615">
        <v>0.7</v>
      </c>
      <c r="O65" s="615">
        <v>693.14</v>
      </c>
      <c r="P65" s="628"/>
      <c r="Q65" s="616">
        <v>990.2</v>
      </c>
    </row>
    <row r="66" spans="1:17" ht="14.4" customHeight="1" x14ac:dyDescent="0.3">
      <c r="A66" s="611" t="s">
        <v>531</v>
      </c>
      <c r="B66" s="612" t="s">
        <v>1675</v>
      </c>
      <c r="C66" s="612" t="s">
        <v>1616</v>
      </c>
      <c r="D66" s="612" t="s">
        <v>1638</v>
      </c>
      <c r="E66" s="612" t="s">
        <v>1639</v>
      </c>
      <c r="F66" s="615">
        <v>0.98</v>
      </c>
      <c r="G66" s="615">
        <v>3555.44</v>
      </c>
      <c r="H66" s="615">
        <v>1</v>
      </c>
      <c r="I66" s="615">
        <v>3628</v>
      </c>
      <c r="J66" s="615">
        <v>0.72</v>
      </c>
      <c r="K66" s="615">
        <v>2612.16</v>
      </c>
      <c r="L66" s="615">
        <v>0.73469387755102034</v>
      </c>
      <c r="M66" s="615">
        <v>3628</v>
      </c>
      <c r="N66" s="615">
        <v>1.1200000000000001</v>
      </c>
      <c r="O66" s="615">
        <v>3911.92</v>
      </c>
      <c r="P66" s="628">
        <v>1.1002632585559031</v>
      </c>
      <c r="Q66" s="616">
        <v>3492.7857142857142</v>
      </c>
    </row>
    <row r="67" spans="1:17" ht="14.4" customHeight="1" x14ac:dyDescent="0.3">
      <c r="A67" s="611" t="s">
        <v>531</v>
      </c>
      <c r="B67" s="612" t="s">
        <v>1675</v>
      </c>
      <c r="C67" s="612" t="s">
        <v>1616</v>
      </c>
      <c r="D67" s="612" t="s">
        <v>1698</v>
      </c>
      <c r="E67" s="612" t="s">
        <v>1699</v>
      </c>
      <c r="F67" s="615"/>
      <c r="G67" s="615"/>
      <c r="H67" s="615"/>
      <c r="I67" s="615"/>
      <c r="J67" s="615">
        <v>1</v>
      </c>
      <c r="K67" s="615">
        <v>3503.39</v>
      </c>
      <c r="L67" s="615"/>
      <c r="M67" s="615">
        <v>3503.39</v>
      </c>
      <c r="N67" s="615"/>
      <c r="O67" s="615"/>
      <c r="P67" s="628"/>
      <c r="Q67" s="616"/>
    </row>
    <row r="68" spans="1:17" ht="14.4" customHeight="1" x14ac:dyDescent="0.3">
      <c r="A68" s="611" t="s">
        <v>531</v>
      </c>
      <c r="B68" s="612" t="s">
        <v>1675</v>
      </c>
      <c r="C68" s="612" t="s">
        <v>1641</v>
      </c>
      <c r="D68" s="612" t="s">
        <v>1642</v>
      </c>
      <c r="E68" s="612" t="s">
        <v>1643</v>
      </c>
      <c r="F68" s="615">
        <v>56</v>
      </c>
      <c r="G68" s="615">
        <v>88623.74</v>
      </c>
      <c r="H68" s="615">
        <v>1</v>
      </c>
      <c r="I68" s="615">
        <v>1582.5667857142857</v>
      </c>
      <c r="J68" s="615">
        <v>46</v>
      </c>
      <c r="K68" s="615">
        <v>74246.299999999988</v>
      </c>
      <c r="L68" s="615">
        <v>0.83776987971845895</v>
      </c>
      <c r="M68" s="615">
        <v>1614.0499999999997</v>
      </c>
      <c r="N68" s="615">
        <v>45</v>
      </c>
      <c r="O68" s="615">
        <v>72632.25</v>
      </c>
      <c r="P68" s="628">
        <v>0.81955749102892739</v>
      </c>
      <c r="Q68" s="616">
        <v>1614.05</v>
      </c>
    </row>
    <row r="69" spans="1:17" ht="14.4" customHeight="1" x14ac:dyDescent="0.3">
      <c r="A69" s="611" t="s">
        <v>531</v>
      </c>
      <c r="B69" s="612" t="s">
        <v>1675</v>
      </c>
      <c r="C69" s="612" t="s">
        <v>1641</v>
      </c>
      <c r="D69" s="612" t="s">
        <v>1700</v>
      </c>
      <c r="E69" s="612" t="s">
        <v>1701</v>
      </c>
      <c r="F69" s="615">
        <v>5</v>
      </c>
      <c r="G69" s="615">
        <v>19527.400000000001</v>
      </c>
      <c r="H69" s="615">
        <v>1</v>
      </c>
      <c r="I69" s="615">
        <v>3905.4800000000005</v>
      </c>
      <c r="J69" s="615">
        <v>16</v>
      </c>
      <c r="K69" s="615">
        <v>62487.680000000008</v>
      </c>
      <c r="L69" s="615">
        <v>3.2</v>
      </c>
      <c r="M69" s="615">
        <v>3905.4800000000005</v>
      </c>
      <c r="N69" s="615">
        <v>5</v>
      </c>
      <c r="O69" s="615">
        <v>19527.400000000001</v>
      </c>
      <c r="P69" s="628">
        <v>1</v>
      </c>
      <c r="Q69" s="616">
        <v>3905.4800000000005</v>
      </c>
    </row>
    <row r="70" spans="1:17" ht="14.4" customHeight="1" x14ac:dyDescent="0.3">
      <c r="A70" s="611" t="s">
        <v>531</v>
      </c>
      <c r="B70" s="612" t="s">
        <v>1675</v>
      </c>
      <c r="C70" s="612" t="s">
        <v>1641</v>
      </c>
      <c r="D70" s="612" t="s">
        <v>1702</v>
      </c>
      <c r="E70" s="612" t="s">
        <v>1703</v>
      </c>
      <c r="F70" s="615">
        <v>6</v>
      </c>
      <c r="G70" s="615">
        <v>5516.76</v>
      </c>
      <c r="H70" s="615">
        <v>1</v>
      </c>
      <c r="I70" s="615">
        <v>919.46</v>
      </c>
      <c r="J70" s="615">
        <v>21</v>
      </c>
      <c r="K70" s="615">
        <v>19436.97</v>
      </c>
      <c r="L70" s="615">
        <v>3.5232582167794142</v>
      </c>
      <c r="M70" s="615">
        <v>925.57</v>
      </c>
      <c r="N70" s="615">
        <v>8</v>
      </c>
      <c r="O70" s="615">
        <v>7404.56</v>
      </c>
      <c r="P70" s="628">
        <v>1.3421936063921578</v>
      </c>
      <c r="Q70" s="616">
        <v>925.57</v>
      </c>
    </row>
    <row r="71" spans="1:17" ht="14.4" customHeight="1" x14ac:dyDescent="0.3">
      <c r="A71" s="611" t="s">
        <v>531</v>
      </c>
      <c r="B71" s="612" t="s">
        <v>1675</v>
      </c>
      <c r="C71" s="612" t="s">
        <v>1641</v>
      </c>
      <c r="D71" s="612" t="s">
        <v>1644</v>
      </c>
      <c r="E71" s="612" t="s">
        <v>1645</v>
      </c>
      <c r="F71" s="615">
        <v>56</v>
      </c>
      <c r="G71" s="615">
        <v>13275.34</v>
      </c>
      <c r="H71" s="615">
        <v>1</v>
      </c>
      <c r="I71" s="615">
        <v>237.05964285714285</v>
      </c>
      <c r="J71" s="615">
        <v>46</v>
      </c>
      <c r="K71" s="615">
        <v>10979.28</v>
      </c>
      <c r="L71" s="615">
        <v>0.82704322450498446</v>
      </c>
      <c r="M71" s="615">
        <v>238.68</v>
      </c>
      <c r="N71" s="615">
        <v>52</v>
      </c>
      <c r="O71" s="615">
        <v>12411.36</v>
      </c>
      <c r="P71" s="628">
        <v>0.93491842770128675</v>
      </c>
      <c r="Q71" s="616">
        <v>238.68</v>
      </c>
    </row>
    <row r="72" spans="1:17" ht="14.4" customHeight="1" x14ac:dyDescent="0.3">
      <c r="A72" s="611" t="s">
        <v>531</v>
      </c>
      <c r="B72" s="612" t="s">
        <v>1675</v>
      </c>
      <c r="C72" s="612" t="s">
        <v>1641</v>
      </c>
      <c r="D72" s="612" t="s">
        <v>1704</v>
      </c>
      <c r="E72" s="612" t="s">
        <v>1705</v>
      </c>
      <c r="F72" s="615">
        <v>1</v>
      </c>
      <c r="G72" s="615">
        <v>9686.1</v>
      </c>
      <c r="H72" s="615">
        <v>1</v>
      </c>
      <c r="I72" s="615">
        <v>9686.1</v>
      </c>
      <c r="J72" s="615"/>
      <c r="K72" s="615"/>
      <c r="L72" s="615"/>
      <c r="M72" s="615"/>
      <c r="N72" s="615"/>
      <c r="O72" s="615"/>
      <c r="P72" s="628"/>
      <c r="Q72" s="616"/>
    </row>
    <row r="73" spans="1:17" ht="14.4" customHeight="1" x14ac:dyDescent="0.3">
      <c r="A73" s="611" t="s">
        <v>531</v>
      </c>
      <c r="B73" s="612" t="s">
        <v>1675</v>
      </c>
      <c r="C73" s="612" t="s">
        <v>1706</v>
      </c>
      <c r="D73" s="612" t="s">
        <v>1707</v>
      </c>
      <c r="E73" s="612" t="s">
        <v>1708</v>
      </c>
      <c r="F73" s="615"/>
      <c r="G73" s="615"/>
      <c r="H73" s="615"/>
      <c r="I73" s="615"/>
      <c r="J73" s="615">
        <v>1</v>
      </c>
      <c r="K73" s="615">
        <v>5440.91</v>
      </c>
      <c r="L73" s="615"/>
      <c r="M73" s="615">
        <v>5440.91</v>
      </c>
      <c r="N73" s="615"/>
      <c r="O73" s="615"/>
      <c r="P73" s="628"/>
      <c r="Q73" s="616"/>
    </row>
    <row r="74" spans="1:17" ht="14.4" customHeight="1" x14ac:dyDescent="0.3">
      <c r="A74" s="611" t="s">
        <v>531</v>
      </c>
      <c r="B74" s="612" t="s">
        <v>1675</v>
      </c>
      <c r="C74" s="612" t="s">
        <v>1706</v>
      </c>
      <c r="D74" s="612" t="s">
        <v>1709</v>
      </c>
      <c r="E74" s="612" t="s">
        <v>1710</v>
      </c>
      <c r="F74" s="615"/>
      <c r="G74" s="615"/>
      <c r="H74" s="615"/>
      <c r="I74" s="615"/>
      <c r="J74" s="615">
        <v>1</v>
      </c>
      <c r="K74" s="615">
        <v>61920</v>
      </c>
      <c r="L74" s="615"/>
      <c r="M74" s="615">
        <v>61920</v>
      </c>
      <c r="N74" s="615"/>
      <c r="O74" s="615"/>
      <c r="P74" s="628"/>
      <c r="Q74" s="616"/>
    </row>
    <row r="75" spans="1:17" ht="14.4" customHeight="1" x14ac:dyDescent="0.3">
      <c r="A75" s="611" t="s">
        <v>531</v>
      </c>
      <c r="B75" s="612" t="s">
        <v>1675</v>
      </c>
      <c r="C75" s="612" t="s">
        <v>1706</v>
      </c>
      <c r="D75" s="612" t="s">
        <v>1711</v>
      </c>
      <c r="E75" s="612" t="s">
        <v>1712</v>
      </c>
      <c r="F75" s="615"/>
      <c r="G75" s="615"/>
      <c r="H75" s="615"/>
      <c r="I75" s="615"/>
      <c r="J75" s="615">
        <v>1</v>
      </c>
      <c r="K75" s="615">
        <v>8073</v>
      </c>
      <c r="L75" s="615"/>
      <c r="M75" s="615">
        <v>8073</v>
      </c>
      <c r="N75" s="615"/>
      <c r="O75" s="615"/>
      <c r="P75" s="628"/>
      <c r="Q75" s="616"/>
    </row>
    <row r="76" spans="1:17" ht="14.4" customHeight="1" x14ac:dyDescent="0.3">
      <c r="A76" s="611" t="s">
        <v>531</v>
      </c>
      <c r="B76" s="612" t="s">
        <v>1675</v>
      </c>
      <c r="C76" s="612" t="s">
        <v>1706</v>
      </c>
      <c r="D76" s="612" t="s">
        <v>1713</v>
      </c>
      <c r="E76" s="612" t="s">
        <v>1714</v>
      </c>
      <c r="F76" s="615"/>
      <c r="G76" s="615"/>
      <c r="H76" s="615"/>
      <c r="I76" s="615"/>
      <c r="J76" s="615">
        <v>1</v>
      </c>
      <c r="K76" s="615">
        <v>5610</v>
      </c>
      <c r="L76" s="615"/>
      <c r="M76" s="615">
        <v>5610</v>
      </c>
      <c r="N76" s="615"/>
      <c r="O76" s="615"/>
      <c r="P76" s="628"/>
      <c r="Q76" s="616"/>
    </row>
    <row r="77" spans="1:17" ht="14.4" customHeight="1" x14ac:dyDescent="0.3">
      <c r="A77" s="611" t="s">
        <v>531</v>
      </c>
      <c r="B77" s="612" t="s">
        <v>1675</v>
      </c>
      <c r="C77" s="612" t="s">
        <v>1646</v>
      </c>
      <c r="D77" s="612" t="s">
        <v>1715</v>
      </c>
      <c r="E77" s="612" t="s">
        <v>1716</v>
      </c>
      <c r="F77" s="615">
        <v>152</v>
      </c>
      <c r="G77" s="615">
        <v>4402614</v>
      </c>
      <c r="H77" s="615">
        <v>1</v>
      </c>
      <c r="I77" s="615">
        <v>28964.565789473683</v>
      </c>
      <c r="J77" s="615">
        <v>128</v>
      </c>
      <c r="K77" s="615">
        <v>3707520</v>
      </c>
      <c r="L77" s="615">
        <v>0.84211788723699144</v>
      </c>
      <c r="M77" s="615">
        <v>28965</v>
      </c>
      <c r="N77" s="615">
        <v>148</v>
      </c>
      <c r="O77" s="615">
        <v>4286820</v>
      </c>
      <c r="P77" s="628">
        <v>0.97369880711777135</v>
      </c>
      <c r="Q77" s="616">
        <v>28965</v>
      </c>
    </row>
    <row r="78" spans="1:17" ht="14.4" customHeight="1" x14ac:dyDescent="0.3">
      <c r="A78" s="611" t="s">
        <v>531</v>
      </c>
      <c r="B78" s="612" t="s">
        <v>1675</v>
      </c>
      <c r="C78" s="612" t="s">
        <v>1646</v>
      </c>
      <c r="D78" s="612" t="s">
        <v>1717</v>
      </c>
      <c r="E78" s="612" t="s">
        <v>1718</v>
      </c>
      <c r="F78" s="615">
        <v>350</v>
      </c>
      <c r="G78" s="615">
        <v>4785030</v>
      </c>
      <c r="H78" s="615">
        <v>1</v>
      </c>
      <c r="I78" s="615">
        <v>13671.514285714286</v>
      </c>
      <c r="J78" s="615">
        <v>305</v>
      </c>
      <c r="K78" s="615">
        <v>4169960</v>
      </c>
      <c r="L78" s="615">
        <v>0.87145953107922003</v>
      </c>
      <c r="M78" s="615">
        <v>13672</v>
      </c>
      <c r="N78" s="615">
        <v>166</v>
      </c>
      <c r="O78" s="615">
        <v>2269552</v>
      </c>
      <c r="P78" s="628">
        <v>0.4743025644562312</v>
      </c>
      <c r="Q78" s="616">
        <v>13672</v>
      </c>
    </row>
    <row r="79" spans="1:17" ht="14.4" customHeight="1" x14ac:dyDescent="0.3">
      <c r="A79" s="611" t="s">
        <v>531</v>
      </c>
      <c r="B79" s="612" t="s">
        <v>1675</v>
      </c>
      <c r="C79" s="612" t="s">
        <v>1646</v>
      </c>
      <c r="D79" s="612" t="s">
        <v>1653</v>
      </c>
      <c r="E79" s="612" t="s">
        <v>1654</v>
      </c>
      <c r="F79" s="615">
        <v>0</v>
      </c>
      <c r="G79" s="615">
        <v>0</v>
      </c>
      <c r="H79" s="615"/>
      <c r="I79" s="615"/>
      <c r="J79" s="615">
        <v>0</v>
      </c>
      <c r="K79" s="615">
        <v>0</v>
      </c>
      <c r="L79" s="615"/>
      <c r="M79" s="615"/>
      <c r="N79" s="615">
        <v>0</v>
      </c>
      <c r="O79" s="615">
        <v>0</v>
      </c>
      <c r="P79" s="628"/>
      <c r="Q79" s="616"/>
    </row>
    <row r="80" spans="1:17" ht="14.4" customHeight="1" x14ac:dyDescent="0.3">
      <c r="A80" s="611" t="s">
        <v>531</v>
      </c>
      <c r="B80" s="612" t="s">
        <v>1675</v>
      </c>
      <c r="C80" s="612" t="s">
        <v>1646</v>
      </c>
      <c r="D80" s="612" t="s">
        <v>1655</v>
      </c>
      <c r="E80" s="612" t="s">
        <v>1656</v>
      </c>
      <c r="F80" s="615">
        <v>1239</v>
      </c>
      <c r="G80" s="615">
        <v>0</v>
      </c>
      <c r="H80" s="615"/>
      <c r="I80" s="615">
        <v>0</v>
      </c>
      <c r="J80" s="615">
        <v>836</v>
      </c>
      <c r="K80" s="615">
        <v>0</v>
      </c>
      <c r="L80" s="615"/>
      <c r="M80" s="615">
        <v>0</v>
      </c>
      <c r="N80" s="615">
        <v>656</v>
      </c>
      <c r="O80" s="615">
        <v>0</v>
      </c>
      <c r="P80" s="628"/>
      <c r="Q80" s="616">
        <v>0</v>
      </c>
    </row>
    <row r="81" spans="1:17" ht="14.4" customHeight="1" x14ac:dyDescent="0.3">
      <c r="A81" s="611" t="s">
        <v>531</v>
      </c>
      <c r="B81" s="612" t="s">
        <v>1675</v>
      </c>
      <c r="C81" s="612" t="s">
        <v>1646</v>
      </c>
      <c r="D81" s="612" t="s">
        <v>1719</v>
      </c>
      <c r="E81" s="612" t="s">
        <v>1720</v>
      </c>
      <c r="F81" s="615">
        <v>4</v>
      </c>
      <c r="G81" s="615">
        <v>0</v>
      </c>
      <c r="H81" s="615"/>
      <c r="I81" s="615">
        <v>0</v>
      </c>
      <c r="J81" s="615"/>
      <c r="K81" s="615"/>
      <c r="L81" s="615"/>
      <c r="M81" s="615"/>
      <c r="N81" s="615"/>
      <c r="O81" s="615"/>
      <c r="P81" s="628"/>
      <c r="Q81" s="616"/>
    </row>
    <row r="82" spans="1:17" ht="14.4" customHeight="1" x14ac:dyDescent="0.3">
      <c r="A82" s="611" t="s">
        <v>531</v>
      </c>
      <c r="B82" s="612" t="s">
        <v>1675</v>
      </c>
      <c r="C82" s="612" t="s">
        <v>1646</v>
      </c>
      <c r="D82" s="612" t="s">
        <v>1721</v>
      </c>
      <c r="E82" s="612" t="s">
        <v>1722</v>
      </c>
      <c r="F82" s="615">
        <v>4</v>
      </c>
      <c r="G82" s="615">
        <v>0</v>
      </c>
      <c r="H82" s="615"/>
      <c r="I82" s="615">
        <v>0</v>
      </c>
      <c r="J82" s="615">
        <v>2</v>
      </c>
      <c r="K82" s="615">
        <v>0</v>
      </c>
      <c r="L82" s="615"/>
      <c r="M82" s="615">
        <v>0</v>
      </c>
      <c r="N82" s="615"/>
      <c r="O82" s="615"/>
      <c r="P82" s="628"/>
      <c r="Q82" s="616"/>
    </row>
    <row r="83" spans="1:17" ht="14.4" customHeight="1" x14ac:dyDescent="0.3">
      <c r="A83" s="611" t="s">
        <v>531</v>
      </c>
      <c r="B83" s="612" t="s">
        <v>1675</v>
      </c>
      <c r="C83" s="612" t="s">
        <v>1646</v>
      </c>
      <c r="D83" s="612" t="s">
        <v>1723</v>
      </c>
      <c r="E83" s="612" t="s">
        <v>1724</v>
      </c>
      <c r="F83" s="615">
        <v>13</v>
      </c>
      <c r="G83" s="615">
        <v>0</v>
      </c>
      <c r="H83" s="615"/>
      <c r="I83" s="615">
        <v>0</v>
      </c>
      <c r="J83" s="615">
        <v>9</v>
      </c>
      <c r="K83" s="615">
        <v>0</v>
      </c>
      <c r="L83" s="615"/>
      <c r="M83" s="615">
        <v>0</v>
      </c>
      <c r="N83" s="615"/>
      <c r="O83" s="615"/>
      <c r="P83" s="628"/>
      <c r="Q83" s="616"/>
    </row>
    <row r="84" spans="1:17" ht="14.4" customHeight="1" x14ac:dyDescent="0.3">
      <c r="A84" s="611" t="s">
        <v>531</v>
      </c>
      <c r="B84" s="612" t="s">
        <v>1675</v>
      </c>
      <c r="C84" s="612" t="s">
        <v>1646</v>
      </c>
      <c r="D84" s="612" t="s">
        <v>1657</v>
      </c>
      <c r="E84" s="612" t="s">
        <v>1658</v>
      </c>
      <c r="F84" s="615">
        <v>12</v>
      </c>
      <c r="G84" s="615">
        <v>0</v>
      </c>
      <c r="H84" s="615"/>
      <c r="I84" s="615">
        <v>0</v>
      </c>
      <c r="J84" s="615">
        <v>22</v>
      </c>
      <c r="K84" s="615">
        <v>0</v>
      </c>
      <c r="L84" s="615"/>
      <c r="M84" s="615">
        <v>0</v>
      </c>
      <c r="N84" s="615">
        <v>21</v>
      </c>
      <c r="O84" s="615">
        <v>0</v>
      </c>
      <c r="P84" s="628"/>
      <c r="Q84" s="616">
        <v>0</v>
      </c>
    </row>
    <row r="85" spans="1:17" ht="14.4" customHeight="1" x14ac:dyDescent="0.3">
      <c r="A85" s="611" t="s">
        <v>531</v>
      </c>
      <c r="B85" s="612" t="s">
        <v>1675</v>
      </c>
      <c r="C85" s="612" t="s">
        <v>1646</v>
      </c>
      <c r="D85" s="612" t="s">
        <v>1725</v>
      </c>
      <c r="E85" s="612" t="s">
        <v>1726</v>
      </c>
      <c r="F85" s="615">
        <v>7</v>
      </c>
      <c r="G85" s="615">
        <v>0</v>
      </c>
      <c r="H85" s="615"/>
      <c r="I85" s="615">
        <v>0</v>
      </c>
      <c r="J85" s="615">
        <v>3</v>
      </c>
      <c r="K85" s="615">
        <v>0</v>
      </c>
      <c r="L85" s="615"/>
      <c r="M85" s="615">
        <v>0</v>
      </c>
      <c r="N85" s="615">
        <v>3</v>
      </c>
      <c r="O85" s="615">
        <v>0</v>
      </c>
      <c r="P85" s="628"/>
      <c r="Q85" s="616">
        <v>0</v>
      </c>
    </row>
    <row r="86" spans="1:17" ht="14.4" customHeight="1" x14ac:dyDescent="0.3">
      <c r="A86" s="611" t="s">
        <v>531</v>
      </c>
      <c r="B86" s="612" t="s">
        <v>1675</v>
      </c>
      <c r="C86" s="612" t="s">
        <v>1646</v>
      </c>
      <c r="D86" s="612" t="s">
        <v>1659</v>
      </c>
      <c r="E86" s="612" t="s">
        <v>1660</v>
      </c>
      <c r="F86" s="615">
        <v>26</v>
      </c>
      <c r="G86" s="615">
        <v>0</v>
      </c>
      <c r="H86" s="615"/>
      <c r="I86" s="615">
        <v>0</v>
      </c>
      <c r="J86" s="615">
        <v>26</v>
      </c>
      <c r="K86" s="615">
        <v>0</v>
      </c>
      <c r="L86" s="615"/>
      <c r="M86" s="615">
        <v>0</v>
      </c>
      <c r="N86" s="615">
        <v>30</v>
      </c>
      <c r="O86" s="615">
        <v>0</v>
      </c>
      <c r="P86" s="628"/>
      <c r="Q86" s="616">
        <v>0</v>
      </c>
    </row>
    <row r="87" spans="1:17" ht="14.4" customHeight="1" x14ac:dyDescent="0.3">
      <c r="A87" s="611" t="s">
        <v>531</v>
      </c>
      <c r="B87" s="612" t="s">
        <v>1675</v>
      </c>
      <c r="C87" s="612" t="s">
        <v>1646</v>
      </c>
      <c r="D87" s="612" t="s">
        <v>1727</v>
      </c>
      <c r="E87" s="612" t="s">
        <v>1728</v>
      </c>
      <c r="F87" s="615">
        <v>4</v>
      </c>
      <c r="G87" s="615">
        <v>0</v>
      </c>
      <c r="H87" s="615"/>
      <c r="I87" s="615">
        <v>0</v>
      </c>
      <c r="J87" s="615"/>
      <c r="K87" s="615"/>
      <c r="L87" s="615"/>
      <c r="M87" s="615"/>
      <c r="N87" s="615"/>
      <c r="O87" s="615"/>
      <c r="P87" s="628"/>
      <c r="Q87" s="616"/>
    </row>
    <row r="88" spans="1:17" ht="14.4" customHeight="1" x14ac:dyDescent="0.3">
      <c r="A88" s="611" t="s">
        <v>531</v>
      </c>
      <c r="B88" s="612" t="s">
        <v>1675</v>
      </c>
      <c r="C88" s="612" t="s">
        <v>1646</v>
      </c>
      <c r="D88" s="612" t="s">
        <v>1729</v>
      </c>
      <c r="E88" s="612" t="s">
        <v>1724</v>
      </c>
      <c r="F88" s="615"/>
      <c r="G88" s="615"/>
      <c r="H88" s="615"/>
      <c r="I88" s="615"/>
      <c r="J88" s="615">
        <v>2</v>
      </c>
      <c r="K88" s="615">
        <v>0</v>
      </c>
      <c r="L88" s="615"/>
      <c r="M88" s="615">
        <v>0</v>
      </c>
      <c r="N88" s="615"/>
      <c r="O88" s="615"/>
      <c r="P88" s="628"/>
      <c r="Q88" s="616"/>
    </row>
    <row r="89" spans="1:17" ht="14.4" customHeight="1" x14ac:dyDescent="0.3">
      <c r="A89" s="611" t="s">
        <v>531</v>
      </c>
      <c r="B89" s="612" t="s">
        <v>1675</v>
      </c>
      <c r="C89" s="612" t="s">
        <v>1646</v>
      </c>
      <c r="D89" s="612" t="s">
        <v>1661</v>
      </c>
      <c r="E89" s="612" t="s">
        <v>1662</v>
      </c>
      <c r="F89" s="615">
        <v>210</v>
      </c>
      <c r="G89" s="615">
        <v>0</v>
      </c>
      <c r="H89" s="615"/>
      <c r="I89" s="615">
        <v>0</v>
      </c>
      <c r="J89" s="615"/>
      <c r="K89" s="615"/>
      <c r="L89" s="615"/>
      <c r="M89" s="615"/>
      <c r="N89" s="615"/>
      <c r="O89" s="615"/>
      <c r="P89" s="628"/>
      <c r="Q89" s="616"/>
    </row>
    <row r="90" spans="1:17" ht="14.4" customHeight="1" x14ac:dyDescent="0.3">
      <c r="A90" s="611" t="s">
        <v>531</v>
      </c>
      <c r="B90" s="612" t="s">
        <v>1675</v>
      </c>
      <c r="C90" s="612" t="s">
        <v>1646</v>
      </c>
      <c r="D90" s="612" t="s">
        <v>1663</v>
      </c>
      <c r="E90" s="612" t="s">
        <v>1664</v>
      </c>
      <c r="F90" s="615">
        <v>25</v>
      </c>
      <c r="G90" s="615">
        <v>8176</v>
      </c>
      <c r="H90" s="615">
        <v>1</v>
      </c>
      <c r="I90" s="615">
        <v>327.04000000000002</v>
      </c>
      <c r="J90" s="615">
        <v>29</v>
      </c>
      <c r="K90" s="615">
        <v>9519</v>
      </c>
      <c r="L90" s="615">
        <v>1.1642612524461839</v>
      </c>
      <c r="M90" s="615">
        <v>328.24137931034483</v>
      </c>
      <c r="N90" s="615">
        <v>34</v>
      </c>
      <c r="O90" s="615">
        <v>11253</v>
      </c>
      <c r="P90" s="628">
        <v>1.3763454011741683</v>
      </c>
      <c r="Q90" s="616">
        <v>330.97058823529414</v>
      </c>
    </row>
    <row r="91" spans="1:17" ht="14.4" customHeight="1" x14ac:dyDescent="0.3">
      <c r="A91" s="611" t="s">
        <v>531</v>
      </c>
      <c r="B91" s="612" t="s">
        <v>1675</v>
      </c>
      <c r="C91" s="612" t="s">
        <v>1646</v>
      </c>
      <c r="D91" s="612" t="s">
        <v>1730</v>
      </c>
      <c r="E91" s="612" t="s">
        <v>1724</v>
      </c>
      <c r="F91" s="615">
        <v>11</v>
      </c>
      <c r="G91" s="615">
        <v>0</v>
      </c>
      <c r="H91" s="615"/>
      <c r="I91" s="615">
        <v>0</v>
      </c>
      <c r="J91" s="615">
        <v>9</v>
      </c>
      <c r="K91" s="615">
        <v>0</v>
      </c>
      <c r="L91" s="615"/>
      <c r="M91" s="615">
        <v>0</v>
      </c>
      <c r="N91" s="615"/>
      <c r="O91" s="615"/>
      <c r="P91" s="628"/>
      <c r="Q91" s="616"/>
    </row>
    <row r="92" spans="1:17" ht="14.4" customHeight="1" x14ac:dyDescent="0.3">
      <c r="A92" s="611" t="s">
        <v>531</v>
      </c>
      <c r="B92" s="612" t="s">
        <v>1675</v>
      </c>
      <c r="C92" s="612" t="s">
        <v>1646</v>
      </c>
      <c r="D92" s="612" t="s">
        <v>1665</v>
      </c>
      <c r="E92" s="612" t="s">
        <v>1666</v>
      </c>
      <c r="F92" s="615">
        <v>81</v>
      </c>
      <c r="G92" s="615">
        <v>52237</v>
      </c>
      <c r="H92" s="615">
        <v>1</v>
      </c>
      <c r="I92" s="615">
        <v>644.90123456790127</v>
      </c>
      <c r="J92" s="615">
        <v>90</v>
      </c>
      <c r="K92" s="615">
        <v>58326</v>
      </c>
      <c r="L92" s="615">
        <v>1.1165648869575204</v>
      </c>
      <c r="M92" s="615">
        <v>648.06666666666672</v>
      </c>
      <c r="N92" s="615">
        <v>92</v>
      </c>
      <c r="O92" s="615">
        <v>60062</v>
      </c>
      <c r="P92" s="628">
        <v>1.1497980358749544</v>
      </c>
      <c r="Q92" s="616">
        <v>652.8478260869565</v>
      </c>
    </row>
    <row r="93" spans="1:17" ht="14.4" customHeight="1" x14ac:dyDescent="0.3">
      <c r="A93" s="611" t="s">
        <v>531</v>
      </c>
      <c r="B93" s="612" t="s">
        <v>1675</v>
      </c>
      <c r="C93" s="612" t="s">
        <v>1646</v>
      </c>
      <c r="D93" s="612" t="s">
        <v>1731</v>
      </c>
      <c r="E93" s="612" t="s">
        <v>1724</v>
      </c>
      <c r="F93" s="615">
        <v>3</v>
      </c>
      <c r="G93" s="615">
        <v>0</v>
      </c>
      <c r="H93" s="615"/>
      <c r="I93" s="615">
        <v>0</v>
      </c>
      <c r="J93" s="615">
        <v>5</v>
      </c>
      <c r="K93" s="615">
        <v>0</v>
      </c>
      <c r="L93" s="615"/>
      <c r="M93" s="615">
        <v>0</v>
      </c>
      <c r="N93" s="615"/>
      <c r="O93" s="615"/>
      <c r="P93" s="628"/>
      <c r="Q93" s="616"/>
    </row>
    <row r="94" spans="1:17" ht="14.4" customHeight="1" x14ac:dyDescent="0.3">
      <c r="A94" s="611" t="s">
        <v>531</v>
      </c>
      <c r="B94" s="612" t="s">
        <v>1675</v>
      </c>
      <c r="C94" s="612" t="s">
        <v>1646</v>
      </c>
      <c r="D94" s="612" t="s">
        <v>1732</v>
      </c>
      <c r="E94" s="612" t="s">
        <v>1733</v>
      </c>
      <c r="F94" s="615">
        <v>929</v>
      </c>
      <c r="G94" s="615">
        <v>5863604</v>
      </c>
      <c r="H94" s="615">
        <v>1</v>
      </c>
      <c r="I94" s="615">
        <v>6311.737351991389</v>
      </c>
      <c r="J94" s="615">
        <v>916</v>
      </c>
      <c r="K94" s="615">
        <v>5781792</v>
      </c>
      <c r="L94" s="615">
        <v>0.98604748888226423</v>
      </c>
      <c r="M94" s="615">
        <v>6312</v>
      </c>
      <c r="N94" s="615">
        <v>1014</v>
      </c>
      <c r="O94" s="615">
        <v>6400368</v>
      </c>
      <c r="P94" s="628">
        <v>1.0915416525399737</v>
      </c>
      <c r="Q94" s="616">
        <v>6312</v>
      </c>
    </row>
    <row r="95" spans="1:17" ht="14.4" customHeight="1" x14ac:dyDescent="0.3">
      <c r="A95" s="611" t="s">
        <v>531</v>
      </c>
      <c r="B95" s="612" t="s">
        <v>1675</v>
      </c>
      <c r="C95" s="612" t="s">
        <v>1646</v>
      </c>
      <c r="D95" s="612" t="s">
        <v>1667</v>
      </c>
      <c r="E95" s="612" t="s">
        <v>1668</v>
      </c>
      <c r="F95" s="615">
        <v>21</v>
      </c>
      <c r="G95" s="615">
        <v>0</v>
      </c>
      <c r="H95" s="615"/>
      <c r="I95" s="615">
        <v>0</v>
      </c>
      <c r="J95" s="615">
        <v>13</v>
      </c>
      <c r="K95" s="615">
        <v>0</v>
      </c>
      <c r="L95" s="615"/>
      <c r="M95" s="615">
        <v>0</v>
      </c>
      <c r="N95" s="615">
        <v>25</v>
      </c>
      <c r="O95" s="615">
        <v>0</v>
      </c>
      <c r="P95" s="628"/>
      <c r="Q95" s="616">
        <v>0</v>
      </c>
    </row>
    <row r="96" spans="1:17" ht="14.4" customHeight="1" x14ac:dyDescent="0.3">
      <c r="A96" s="611" t="s">
        <v>531</v>
      </c>
      <c r="B96" s="612" t="s">
        <v>1675</v>
      </c>
      <c r="C96" s="612" t="s">
        <v>1646</v>
      </c>
      <c r="D96" s="612" t="s">
        <v>1734</v>
      </c>
      <c r="E96" s="612" t="s">
        <v>1735</v>
      </c>
      <c r="F96" s="615">
        <v>465</v>
      </c>
      <c r="G96" s="615">
        <v>11501513</v>
      </c>
      <c r="H96" s="615">
        <v>1</v>
      </c>
      <c r="I96" s="615">
        <v>24734.436559139784</v>
      </c>
      <c r="J96" s="615">
        <v>525</v>
      </c>
      <c r="K96" s="615">
        <v>12985875</v>
      </c>
      <c r="L96" s="615">
        <v>1.1290579769809415</v>
      </c>
      <c r="M96" s="615">
        <v>24735</v>
      </c>
      <c r="N96" s="615">
        <v>335</v>
      </c>
      <c r="O96" s="615">
        <v>8286225</v>
      </c>
      <c r="P96" s="628">
        <v>0.72044651864498177</v>
      </c>
      <c r="Q96" s="616">
        <v>24735</v>
      </c>
    </row>
    <row r="97" spans="1:17" ht="14.4" customHeight="1" x14ac:dyDescent="0.3">
      <c r="A97" s="611" t="s">
        <v>531</v>
      </c>
      <c r="B97" s="612" t="s">
        <v>1675</v>
      </c>
      <c r="C97" s="612" t="s">
        <v>1646</v>
      </c>
      <c r="D97" s="612" t="s">
        <v>1673</v>
      </c>
      <c r="E97" s="612" t="s">
        <v>1674</v>
      </c>
      <c r="F97" s="615">
        <v>17</v>
      </c>
      <c r="G97" s="615">
        <v>0</v>
      </c>
      <c r="H97" s="615"/>
      <c r="I97" s="615">
        <v>0</v>
      </c>
      <c r="J97" s="615">
        <v>19</v>
      </c>
      <c r="K97" s="615">
        <v>0</v>
      </c>
      <c r="L97" s="615"/>
      <c r="M97" s="615">
        <v>0</v>
      </c>
      <c r="N97" s="615">
        <v>18</v>
      </c>
      <c r="O97" s="615">
        <v>0</v>
      </c>
      <c r="P97" s="628"/>
      <c r="Q97" s="616">
        <v>0</v>
      </c>
    </row>
    <row r="98" spans="1:17" ht="14.4" customHeight="1" x14ac:dyDescent="0.3">
      <c r="A98" s="611" t="s">
        <v>531</v>
      </c>
      <c r="B98" s="612" t="s">
        <v>1675</v>
      </c>
      <c r="C98" s="612" t="s">
        <v>1646</v>
      </c>
      <c r="D98" s="612" t="s">
        <v>1736</v>
      </c>
      <c r="E98" s="612" t="s">
        <v>1737</v>
      </c>
      <c r="F98" s="615"/>
      <c r="G98" s="615"/>
      <c r="H98" s="615"/>
      <c r="I98" s="615"/>
      <c r="J98" s="615">
        <v>2</v>
      </c>
      <c r="K98" s="615">
        <v>1048</v>
      </c>
      <c r="L98" s="615"/>
      <c r="M98" s="615">
        <v>524</v>
      </c>
      <c r="N98" s="615"/>
      <c r="O98" s="615"/>
      <c r="P98" s="628"/>
      <c r="Q98" s="616"/>
    </row>
    <row r="99" spans="1:17" ht="14.4" customHeight="1" x14ac:dyDescent="0.3">
      <c r="A99" s="611" t="s">
        <v>531</v>
      </c>
      <c r="B99" s="612" t="s">
        <v>1675</v>
      </c>
      <c r="C99" s="612" t="s">
        <v>1646</v>
      </c>
      <c r="D99" s="612" t="s">
        <v>1738</v>
      </c>
      <c r="E99" s="612" t="s">
        <v>1724</v>
      </c>
      <c r="F99" s="615">
        <v>3</v>
      </c>
      <c r="G99" s="615">
        <v>0</v>
      </c>
      <c r="H99" s="615"/>
      <c r="I99" s="615">
        <v>0</v>
      </c>
      <c r="J99" s="615">
        <v>4</v>
      </c>
      <c r="K99" s="615">
        <v>0</v>
      </c>
      <c r="L99" s="615"/>
      <c r="M99" s="615">
        <v>0</v>
      </c>
      <c r="N99" s="615"/>
      <c r="O99" s="615"/>
      <c r="P99" s="628"/>
      <c r="Q99" s="616"/>
    </row>
    <row r="100" spans="1:17" ht="14.4" customHeight="1" x14ac:dyDescent="0.3">
      <c r="A100" s="611" t="s">
        <v>531</v>
      </c>
      <c r="B100" s="612" t="s">
        <v>1675</v>
      </c>
      <c r="C100" s="612" t="s">
        <v>1646</v>
      </c>
      <c r="D100" s="612" t="s">
        <v>1739</v>
      </c>
      <c r="E100" s="612" t="s">
        <v>1740</v>
      </c>
      <c r="F100" s="615">
        <v>5</v>
      </c>
      <c r="G100" s="615">
        <v>0</v>
      </c>
      <c r="H100" s="615"/>
      <c r="I100" s="615">
        <v>0</v>
      </c>
      <c r="J100" s="615">
        <v>15</v>
      </c>
      <c r="K100" s="615">
        <v>0</v>
      </c>
      <c r="L100" s="615"/>
      <c r="M100" s="615">
        <v>0</v>
      </c>
      <c r="N100" s="615">
        <v>8</v>
      </c>
      <c r="O100" s="615">
        <v>0</v>
      </c>
      <c r="P100" s="628"/>
      <c r="Q100" s="616">
        <v>0</v>
      </c>
    </row>
    <row r="101" spans="1:17" ht="14.4" customHeight="1" x14ac:dyDescent="0.3">
      <c r="A101" s="611" t="s">
        <v>531</v>
      </c>
      <c r="B101" s="612" t="s">
        <v>1675</v>
      </c>
      <c r="C101" s="612" t="s">
        <v>1646</v>
      </c>
      <c r="D101" s="612" t="s">
        <v>1741</v>
      </c>
      <c r="E101" s="612" t="s">
        <v>1742</v>
      </c>
      <c r="F101" s="615">
        <v>2</v>
      </c>
      <c r="G101" s="615">
        <v>206</v>
      </c>
      <c r="H101" s="615">
        <v>1</v>
      </c>
      <c r="I101" s="615">
        <v>103</v>
      </c>
      <c r="J101" s="615"/>
      <c r="K101" s="615"/>
      <c r="L101" s="615"/>
      <c r="M101" s="615"/>
      <c r="N101" s="615"/>
      <c r="O101" s="615"/>
      <c r="P101" s="628"/>
      <c r="Q101" s="616"/>
    </row>
    <row r="102" spans="1:17" ht="14.4" customHeight="1" x14ac:dyDescent="0.3">
      <c r="A102" s="611" t="s">
        <v>531</v>
      </c>
      <c r="B102" s="612" t="s">
        <v>1675</v>
      </c>
      <c r="C102" s="612" t="s">
        <v>1646</v>
      </c>
      <c r="D102" s="612" t="s">
        <v>1743</v>
      </c>
      <c r="E102" s="612" t="s">
        <v>1744</v>
      </c>
      <c r="F102" s="615"/>
      <c r="G102" s="615"/>
      <c r="H102" s="615"/>
      <c r="I102" s="615"/>
      <c r="J102" s="615"/>
      <c r="K102" s="615"/>
      <c r="L102" s="615"/>
      <c r="M102" s="615"/>
      <c r="N102" s="615">
        <v>475</v>
      </c>
      <c r="O102" s="615">
        <v>0</v>
      </c>
      <c r="P102" s="628"/>
      <c r="Q102" s="616">
        <v>0</v>
      </c>
    </row>
    <row r="103" spans="1:17" ht="14.4" customHeight="1" x14ac:dyDescent="0.3">
      <c r="A103" s="611" t="s">
        <v>531</v>
      </c>
      <c r="B103" s="612" t="s">
        <v>1745</v>
      </c>
      <c r="C103" s="612" t="s">
        <v>1646</v>
      </c>
      <c r="D103" s="612" t="s">
        <v>1746</v>
      </c>
      <c r="E103" s="612" t="s">
        <v>1747</v>
      </c>
      <c r="F103" s="615">
        <v>1</v>
      </c>
      <c r="G103" s="615">
        <v>3459</v>
      </c>
      <c r="H103" s="615">
        <v>1</v>
      </c>
      <c r="I103" s="615">
        <v>3459</v>
      </c>
      <c r="J103" s="615"/>
      <c r="K103" s="615"/>
      <c r="L103" s="615"/>
      <c r="M103" s="615"/>
      <c r="N103" s="615"/>
      <c r="O103" s="615"/>
      <c r="P103" s="628"/>
      <c r="Q103" s="616"/>
    </row>
    <row r="104" spans="1:17" ht="14.4" customHeight="1" x14ac:dyDescent="0.3">
      <c r="A104" s="611" t="s">
        <v>531</v>
      </c>
      <c r="B104" s="612" t="s">
        <v>1745</v>
      </c>
      <c r="C104" s="612" t="s">
        <v>1646</v>
      </c>
      <c r="D104" s="612" t="s">
        <v>802</v>
      </c>
      <c r="E104" s="612" t="s">
        <v>1748</v>
      </c>
      <c r="F104" s="615">
        <v>1</v>
      </c>
      <c r="G104" s="615">
        <v>1892</v>
      </c>
      <c r="H104" s="615">
        <v>1</v>
      </c>
      <c r="I104" s="615">
        <v>1892</v>
      </c>
      <c r="J104" s="615"/>
      <c r="K104" s="615"/>
      <c r="L104" s="615"/>
      <c r="M104" s="615"/>
      <c r="N104" s="615"/>
      <c r="O104" s="615"/>
      <c r="P104" s="628"/>
      <c r="Q104" s="616"/>
    </row>
    <row r="105" spans="1:17" ht="14.4" customHeight="1" x14ac:dyDescent="0.3">
      <c r="A105" s="611" t="s">
        <v>531</v>
      </c>
      <c r="B105" s="612" t="s">
        <v>1745</v>
      </c>
      <c r="C105" s="612" t="s">
        <v>1646</v>
      </c>
      <c r="D105" s="612" t="s">
        <v>1749</v>
      </c>
      <c r="E105" s="612" t="s">
        <v>1750</v>
      </c>
      <c r="F105" s="615">
        <v>1</v>
      </c>
      <c r="G105" s="615">
        <v>5390</v>
      </c>
      <c r="H105" s="615">
        <v>1</v>
      </c>
      <c r="I105" s="615">
        <v>5390</v>
      </c>
      <c r="J105" s="615"/>
      <c r="K105" s="615"/>
      <c r="L105" s="615"/>
      <c r="M105" s="615"/>
      <c r="N105" s="615"/>
      <c r="O105" s="615"/>
      <c r="P105" s="628"/>
      <c r="Q105" s="616"/>
    </row>
    <row r="106" spans="1:17" ht="14.4" customHeight="1" x14ac:dyDescent="0.3">
      <c r="A106" s="611" t="s">
        <v>531</v>
      </c>
      <c r="B106" s="612" t="s">
        <v>1751</v>
      </c>
      <c r="C106" s="612" t="s">
        <v>1646</v>
      </c>
      <c r="D106" s="612" t="s">
        <v>1752</v>
      </c>
      <c r="E106" s="612" t="s">
        <v>1753</v>
      </c>
      <c r="F106" s="615"/>
      <c r="G106" s="615"/>
      <c r="H106" s="615"/>
      <c r="I106" s="615"/>
      <c r="J106" s="615">
        <v>3</v>
      </c>
      <c r="K106" s="615">
        <v>8048</v>
      </c>
      <c r="L106" s="615"/>
      <c r="M106" s="615">
        <v>2682.6666666666665</v>
      </c>
      <c r="N106" s="615">
        <v>4</v>
      </c>
      <c r="O106" s="615">
        <v>10780</v>
      </c>
      <c r="P106" s="628"/>
      <c r="Q106" s="616">
        <v>2695</v>
      </c>
    </row>
    <row r="107" spans="1:17" ht="14.4" customHeight="1" x14ac:dyDescent="0.3">
      <c r="A107" s="611" t="s">
        <v>531</v>
      </c>
      <c r="B107" s="612" t="s">
        <v>1751</v>
      </c>
      <c r="C107" s="612" t="s">
        <v>1646</v>
      </c>
      <c r="D107" s="612" t="s">
        <v>1754</v>
      </c>
      <c r="E107" s="612" t="s">
        <v>1755</v>
      </c>
      <c r="F107" s="615"/>
      <c r="G107" s="615"/>
      <c r="H107" s="615"/>
      <c r="I107" s="615"/>
      <c r="J107" s="615">
        <v>1</v>
      </c>
      <c r="K107" s="615">
        <v>5940</v>
      </c>
      <c r="L107" s="615"/>
      <c r="M107" s="615">
        <v>5940</v>
      </c>
      <c r="N107" s="615">
        <v>2</v>
      </c>
      <c r="O107" s="615">
        <v>11963</v>
      </c>
      <c r="P107" s="628"/>
      <c r="Q107" s="616">
        <v>5981.5</v>
      </c>
    </row>
    <row r="108" spans="1:17" ht="14.4" customHeight="1" x14ac:dyDescent="0.3">
      <c r="A108" s="611" t="s">
        <v>531</v>
      </c>
      <c r="B108" s="612" t="s">
        <v>1751</v>
      </c>
      <c r="C108" s="612" t="s">
        <v>1646</v>
      </c>
      <c r="D108" s="612" t="s">
        <v>1756</v>
      </c>
      <c r="E108" s="612" t="s">
        <v>1757</v>
      </c>
      <c r="F108" s="615"/>
      <c r="G108" s="615"/>
      <c r="H108" s="615"/>
      <c r="I108" s="615"/>
      <c r="J108" s="615">
        <v>1</v>
      </c>
      <c r="K108" s="615">
        <v>2384</v>
      </c>
      <c r="L108" s="615"/>
      <c r="M108" s="615">
        <v>2384</v>
      </c>
      <c r="N108" s="615"/>
      <c r="O108" s="615"/>
      <c r="P108" s="628"/>
      <c r="Q108" s="616"/>
    </row>
    <row r="109" spans="1:17" ht="14.4" customHeight="1" x14ac:dyDescent="0.3">
      <c r="A109" s="611" t="s">
        <v>531</v>
      </c>
      <c r="B109" s="612" t="s">
        <v>1751</v>
      </c>
      <c r="C109" s="612" t="s">
        <v>1646</v>
      </c>
      <c r="D109" s="612" t="s">
        <v>1758</v>
      </c>
      <c r="E109" s="612" t="s">
        <v>1759</v>
      </c>
      <c r="F109" s="615"/>
      <c r="G109" s="615"/>
      <c r="H109" s="615"/>
      <c r="I109" s="615"/>
      <c r="J109" s="615">
        <v>1</v>
      </c>
      <c r="K109" s="615">
        <v>9851</v>
      </c>
      <c r="L109" s="615"/>
      <c r="M109" s="615">
        <v>9851</v>
      </c>
      <c r="N109" s="615"/>
      <c r="O109" s="615"/>
      <c r="P109" s="628"/>
      <c r="Q109" s="616"/>
    </row>
    <row r="110" spans="1:17" ht="14.4" customHeight="1" x14ac:dyDescent="0.3">
      <c r="A110" s="611" t="s">
        <v>531</v>
      </c>
      <c r="B110" s="612" t="s">
        <v>1751</v>
      </c>
      <c r="C110" s="612" t="s">
        <v>1646</v>
      </c>
      <c r="D110" s="612" t="s">
        <v>1760</v>
      </c>
      <c r="E110" s="612" t="s">
        <v>1761</v>
      </c>
      <c r="F110" s="615"/>
      <c r="G110" s="615"/>
      <c r="H110" s="615"/>
      <c r="I110" s="615"/>
      <c r="J110" s="615"/>
      <c r="K110" s="615"/>
      <c r="L110" s="615"/>
      <c r="M110" s="615"/>
      <c r="N110" s="615">
        <v>1</v>
      </c>
      <c r="O110" s="615">
        <v>2073</v>
      </c>
      <c r="P110" s="628"/>
      <c r="Q110" s="616">
        <v>2073</v>
      </c>
    </row>
    <row r="111" spans="1:17" ht="14.4" customHeight="1" x14ac:dyDescent="0.3">
      <c r="A111" s="611" t="s">
        <v>531</v>
      </c>
      <c r="B111" s="612" t="s">
        <v>1751</v>
      </c>
      <c r="C111" s="612" t="s">
        <v>1646</v>
      </c>
      <c r="D111" s="612" t="s">
        <v>1762</v>
      </c>
      <c r="E111" s="612" t="s">
        <v>1763</v>
      </c>
      <c r="F111" s="615"/>
      <c r="G111" s="615"/>
      <c r="H111" s="615"/>
      <c r="I111" s="615"/>
      <c r="J111" s="615"/>
      <c r="K111" s="615"/>
      <c r="L111" s="615"/>
      <c r="M111" s="615"/>
      <c r="N111" s="615">
        <v>1</v>
      </c>
      <c r="O111" s="615">
        <v>5774</v>
      </c>
      <c r="P111" s="628"/>
      <c r="Q111" s="616">
        <v>5774</v>
      </c>
    </row>
    <row r="112" spans="1:17" ht="14.4" customHeight="1" x14ac:dyDescent="0.3">
      <c r="A112" s="611" t="s">
        <v>531</v>
      </c>
      <c r="B112" s="612" t="s">
        <v>1751</v>
      </c>
      <c r="C112" s="612" t="s">
        <v>1646</v>
      </c>
      <c r="D112" s="612" t="s">
        <v>1764</v>
      </c>
      <c r="E112" s="612" t="s">
        <v>1765</v>
      </c>
      <c r="F112" s="615"/>
      <c r="G112" s="615"/>
      <c r="H112" s="615"/>
      <c r="I112" s="615"/>
      <c r="J112" s="615"/>
      <c r="K112" s="615"/>
      <c r="L112" s="615"/>
      <c r="M112" s="615"/>
      <c r="N112" s="615">
        <v>1</v>
      </c>
      <c r="O112" s="615">
        <v>1048</v>
      </c>
      <c r="P112" s="628"/>
      <c r="Q112" s="616">
        <v>1048</v>
      </c>
    </row>
    <row r="113" spans="1:17" ht="14.4" customHeight="1" x14ac:dyDescent="0.3">
      <c r="A113" s="611" t="s">
        <v>531</v>
      </c>
      <c r="B113" s="612" t="s">
        <v>1751</v>
      </c>
      <c r="C113" s="612" t="s">
        <v>1646</v>
      </c>
      <c r="D113" s="612" t="s">
        <v>1746</v>
      </c>
      <c r="E113" s="612" t="s">
        <v>1747</v>
      </c>
      <c r="F113" s="615"/>
      <c r="G113" s="615"/>
      <c r="H113" s="615"/>
      <c r="I113" s="615"/>
      <c r="J113" s="615">
        <v>1</v>
      </c>
      <c r="K113" s="615">
        <v>3459</v>
      </c>
      <c r="L113" s="615"/>
      <c r="M113" s="615">
        <v>3459</v>
      </c>
      <c r="N113" s="615">
        <v>1</v>
      </c>
      <c r="O113" s="615">
        <v>3492</v>
      </c>
      <c r="P113" s="628"/>
      <c r="Q113" s="616">
        <v>3492</v>
      </c>
    </row>
    <row r="114" spans="1:17" ht="14.4" customHeight="1" x14ac:dyDescent="0.3">
      <c r="A114" s="611" t="s">
        <v>531</v>
      </c>
      <c r="B114" s="612" t="s">
        <v>1751</v>
      </c>
      <c r="C114" s="612" t="s">
        <v>1646</v>
      </c>
      <c r="D114" s="612" t="s">
        <v>802</v>
      </c>
      <c r="E114" s="612" t="s">
        <v>1748</v>
      </c>
      <c r="F114" s="615"/>
      <c r="G114" s="615"/>
      <c r="H114" s="615"/>
      <c r="I114" s="615"/>
      <c r="J114" s="615">
        <v>1</v>
      </c>
      <c r="K114" s="615">
        <v>1892</v>
      </c>
      <c r="L114" s="615"/>
      <c r="M114" s="615">
        <v>1892</v>
      </c>
      <c r="N114" s="615">
        <v>1</v>
      </c>
      <c r="O114" s="615">
        <v>1912</v>
      </c>
      <c r="P114" s="628"/>
      <c r="Q114" s="616">
        <v>1912</v>
      </c>
    </row>
    <row r="115" spans="1:17" ht="14.4" customHeight="1" x14ac:dyDescent="0.3">
      <c r="A115" s="611" t="s">
        <v>531</v>
      </c>
      <c r="B115" s="612" t="s">
        <v>1751</v>
      </c>
      <c r="C115" s="612" t="s">
        <v>1646</v>
      </c>
      <c r="D115" s="612" t="s">
        <v>1766</v>
      </c>
      <c r="E115" s="612" t="s">
        <v>1767</v>
      </c>
      <c r="F115" s="615"/>
      <c r="G115" s="615"/>
      <c r="H115" s="615"/>
      <c r="I115" s="615"/>
      <c r="J115" s="615"/>
      <c r="K115" s="615"/>
      <c r="L115" s="615"/>
      <c r="M115" s="615"/>
      <c r="N115" s="615">
        <v>1</v>
      </c>
      <c r="O115" s="615">
        <v>635</v>
      </c>
      <c r="P115" s="628"/>
      <c r="Q115" s="616">
        <v>635</v>
      </c>
    </row>
    <row r="116" spans="1:17" ht="14.4" customHeight="1" x14ac:dyDescent="0.3">
      <c r="A116" s="611" t="s">
        <v>531</v>
      </c>
      <c r="B116" s="612" t="s">
        <v>1751</v>
      </c>
      <c r="C116" s="612" t="s">
        <v>1646</v>
      </c>
      <c r="D116" s="612" t="s">
        <v>1768</v>
      </c>
      <c r="E116" s="612" t="s">
        <v>1769</v>
      </c>
      <c r="F116" s="615"/>
      <c r="G116" s="615"/>
      <c r="H116" s="615"/>
      <c r="I116" s="615"/>
      <c r="J116" s="615"/>
      <c r="K116" s="615"/>
      <c r="L116" s="615"/>
      <c r="M116" s="615"/>
      <c r="N116" s="615">
        <v>1</v>
      </c>
      <c r="O116" s="615">
        <v>3225</v>
      </c>
      <c r="P116" s="628"/>
      <c r="Q116" s="616">
        <v>3225</v>
      </c>
    </row>
    <row r="117" spans="1:17" ht="14.4" customHeight="1" x14ac:dyDescent="0.3">
      <c r="A117" s="611" t="s">
        <v>531</v>
      </c>
      <c r="B117" s="612" t="s">
        <v>1751</v>
      </c>
      <c r="C117" s="612" t="s">
        <v>1646</v>
      </c>
      <c r="D117" s="612" t="s">
        <v>1770</v>
      </c>
      <c r="E117" s="612" t="s">
        <v>1771</v>
      </c>
      <c r="F117" s="615"/>
      <c r="G117" s="615"/>
      <c r="H117" s="615"/>
      <c r="I117" s="615"/>
      <c r="J117" s="615"/>
      <c r="K117" s="615"/>
      <c r="L117" s="615"/>
      <c r="M117" s="615"/>
      <c r="N117" s="615">
        <v>3</v>
      </c>
      <c r="O117" s="615">
        <v>3705</v>
      </c>
      <c r="P117" s="628"/>
      <c r="Q117" s="616">
        <v>1235</v>
      </c>
    </row>
    <row r="118" spans="1:17" ht="14.4" customHeight="1" x14ac:dyDescent="0.3">
      <c r="A118" s="611" t="s">
        <v>531</v>
      </c>
      <c r="B118" s="612" t="s">
        <v>1751</v>
      </c>
      <c r="C118" s="612" t="s">
        <v>1646</v>
      </c>
      <c r="D118" s="612" t="s">
        <v>1749</v>
      </c>
      <c r="E118" s="612" t="s">
        <v>1750</v>
      </c>
      <c r="F118" s="615"/>
      <c r="G118" s="615"/>
      <c r="H118" s="615"/>
      <c r="I118" s="615"/>
      <c r="J118" s="615">
        <v>1</v>
      </c>
      <c r="K118" s="615">
        <v>5390</v>
      </c>
      <c r="L118" s="615"/>
      <c r="M118" s="615">
        <v>5390</v>
      </c>
      <c r="N118" s="615">
        <v>4</v>
      </c>
      <c r="O118" s="615">
        <v>21862</v>
      </c>
      <c r="P118" s="628"/>
      <c r="Q118" s="616">
        <v>5465.5</v>
      </c>
    </row>
    <row r="119" spans="1:17" ht="14.4" customHeight="1" x14ac:dyDescent="0.3">
      <c r="A119" s="611" t="s">
        <v>531</v>
      </c>
      <c r="B119" s="612" t="s">
        <v>1772</v>
      </c>
      <c r="C119" s="612" t="s">
        <v>1646</v>
      </c>
      <c r="D119" s="612" t="s">
        <v>1773</v>
      </c>
      <c r="E119" s="612" t="s">
        <v>1774</v>
      </c>
      <c r="F119" s="615"/>
      <c r="G119" s="615"/>
      <c r="H119" s="615"/>
      <c r="I119" s="615"/>
      <c r="J119" s="615">
        <v>2</v>
      </c>
      <c r="K119" s="615">
        <v>4416</v>
      </c>
      <c r="L119" s="615"/>
      <c r="M119" s="615">
        <v>2208</v>
      </c>
      <c r="N119" s="615"/>
      <c r="O119" s="615"/>
      <c r="P119" s="628"/>
      <c r="Q119" s="616"/>
    </row>
    <row r="120" spans="1:17" ht="14.4" customHeight="1" x14ac:dyDescent="0.3">
      <c r="A120" s="611" t="s">
        <v>531</v>
      </c>
      <c r="B120" s="612" t="s">
        <v>1772</v>
      </c>
      <c r="C120" s="612" t="s">
        <v>1646</v>
      </c>
      <c r="D120" s="612" t="s">
        <v>1775</v>
      </c>
      <c r="E120" s="612" t="s">
        <v>1776</v>
      </c>
      <c r="F120" s="615"/>
      <c r="G120" s="615"/>
      <c r="H120" s="615"/>
      <c r="I120" s="615"/>
      <c r="J120" s="615">
        <v>1</v>
      </c>
      <c r="K120" s="615">
        <v>4421</v>
      </c>
      <c r="L120" s="615"/>
      <c r="M120" s="615">
        <v>4421</v>
      </c>
      <c r="N120" s="615"/>
      <c r="O120" s="615"/>
      <c r="P120" s="628"/>
      <c r="Q120" s="616"/>
    </row>
    <row r="121" spans="1:17" ht="14.4" customHeight="1" x14ac:dyDescent="0.3">
      <c r="A121" s="611" t="s">
        <v>531</v>
      </c>
      <c r="B121" s="612" t="s">
        <v>1777</v>
      </c>
      <c r="C121" s="612" t="s">
        <v>1646</v>
      </c>
      <c r="D121" s="612" t="s">
        <v>1778</v>
      </c>
      <c r="E121" s="612" t="s">
        <v>1779</v>
      </c>
      <c r="F121" s="615">
        <v>644</v>
      </c>
      <c r="G121" s="615">
        <v>126221</v>
      </c>
      <c r="H121" s="615">
        <v>1</v>
      </c>
      <c r="I121" s="615">
        <v>195.99534161490683</v>
      </c>
      <c r="J121" s="615">
        <v>638</v>
      </c>
      <c r="K121" s="615">
        <v>122943</v>
      </c>
      <c r="L121" s="615">
        <v>0.97402967810427743</v>
      </c>
      <c r="M121" s="615">
        <v>192.70062695924764</v>
      </c>
      <c r="N121" s="615">
        <v>652</v>
      </c>
      <c r="O121" s="615">
        <v>129092</v>
      </c>
      <c r="P121" s="628">
        <v>1.0227458188415557</v>
      </c>
      <c r="Q121" s="616">
        <v>197.99386503067484</v>
      </c>
    </row>
    <row r="122" spans="1:17" ht="14.4" customHeight="1" thickBot="1" x14ac:dyDescent="0.35">
      <c r="A122" s="617" t="s">
        <v>531</v>
      </c>
      <c r="B122" s="618" t="s">
        <v>1780</v>
      </c>
      <c r="C122" s="618" t="s">
        <v>1646</v>
      </c>
      <c r="D122" s="618" t="s">
        <v>1781</v>
      </c>
      <c r="E122" s="618" t="s">
        <v>1782</v>
      </c>
      <c r="F122" s="621"/>
      <c r="G122" s="621"/>
      <c r="H122" s="621"/>
      <c r="I122" s="621"/>
      <c r="J122" s="621"/>
      <c r="K122" s="621"/>
      <c r="L122" s="621"/>
      <c r="M122" s="621"/>
      <c r="N122" s="621">
        <v>1</v>
      </c>
      <c r="O122" s="621">
        <v>3032</v>
      </c>
      <c r="P122" s="629"/>
      <c r="Q122" s="622">
        <v>3032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39" customWidth="1"/>
    <col min="2" max="4" width="7.88671875" style="339" customWidth="1"/>
    <col min="5" max="5" width="7.88671875" style="348" customWidth="1"/>
    <col min="6" max="8" width="7.88671875" style="339" customWidth="1"/>
    <col min="9" max="9" width="7.88671875" style="349" customWidth="1"/>
    <col min="10" max="13" width="7.88671875" style="339" customWidth="1"/>
    <col min="14" max="16384" width="9.33203125" style="339"/>
  </cols>
  <sheetData>
    <row r="1" spans="1:13" ht="18.600000000000001" customHeight="1" thickBot="1" x14ac:dyDescent="0.4">
      <c r="A1" s="540" t="s">
        <v>122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thickBot="1" x14ac:dyDescent="0.35">
      <c r="A2" s="361" t="s">
        <v>306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 ht="14.4" customHeight="1" thickBot="1" x14ac:dyDescent="0.35">
      <c r="A3" s="541" t="s">
        <v>57</v>
      </c>
      <c r="B3" s="511" t="s">
        <v>58</v>
      </c>
      <c r="C3" s="512"/>
      <c r="D3" s="512"/>
      <c r="E3" s="513"/>
      <c r="F3" s="511" t="s">
        <v>266</v>
      </c>
      <c r="G3" s="512"/>
      <c r="H3" s="512"/>
      <c r="I3" s="513"/>
      <c r="J3" s="108"/>
      <c r="K3" s="109"/>
      <c r="L3" s="108"/>
      <c r="M3" s="110"/>
    </row>
    <row r="4" spans="1:13" ht="14.4" customHeight="1" thickBot="1" x14ac:dyDescent="0.35">
      <c r="A4" s="542"/>
      <c r="B4" s="111">
        <v>2013</v>
      </c>
      <c r="C4" s="112">
        <v>2014</v>
      </c>
      <c r="D4" s="112">
        <v>2015</v>
      </c>
      <c r="E4" s="113" t="s">
        <v>2</v>
      </c>
      <c r="F4" s="112">
        <v>2013</v>
      </c>
      <c r="G4" s="112">
        <v>2014</v>
      </c>
      <c r="H4" s="112">
        <v>2015</v>
      </c>
      <c r="I4" s="113" t="s">
        <v>2</v>
      </c>
      <c r="J4" s="108"/>
      <c r="K4" s="108"/>
      <c r="L4" s="114" t="s">
        <v>59</v>
      </c>
      <c r="M4" s="115" t="s">
        <v>60</v>
      </c>
    </row>
    <row r="5" spans="1:13" ht="14.4" hidden="1" customHeight="1" outlineLevel="1" x14ac:dyDescent="0.3">
      <c r="A5" s="103" t="s">
        <v>150</v>
      </c>
      <c r="B5" s="106">
        <v>249.75</v>
      </c>
      <c r="C5" s="99">
        <v>303.82400000000001</v>
      </c>
      <c r="D5" s="99">
        <v>163.04300000000001</v>
      </c>
      <c r="E5" s="116">
        <v>0.65282482482482485</v>
      </c>
      <c r="F5" s="117">
        <v>238</v>
      </c>
      <c r="G5" s="99">
        <v>205</v>
      </c>
      <c r="H5" s="99">
        <v>225</v>
      </c>
      <c r="I5" s="118">
        <v>0.94537815126050417</v>
      </c>
      <c r="J5" s="108"/>
      <c r="K5" s="108"/>
      <c r="L5" s="7">
        <f>D5-B5</f>
        <v>-86.706999999999994</v>
      </c>
      <c r="M5" s="8">
        <f>H5-F5</f>
        <v>-13</v>
      </c>
    </row>
    <row r="6" spans="1:13" ht="14.4" hidden="1" customHeight="1" outlineLevel="1" x14ac:dyDescent="0.3">
      <c r="A6" s="104" t="s">
        <v>151</v>
      </c>
      <c r="B6" s="107">
        <v>124.687</v>
      </c>
      <c r="C6" s="98">
        <v>67.522999999999996</v>
      </c>
      <c r="D6" s="98">
        <v>130.52000000000001</v>
      </c>
      <c r="E6" s="119">
        <v>1.0467811399744962</v>
      </c>
      <c r="F6" s="120">
        <v>126</v>
      </c>
      <c r="G6" s="98">
        <v>105</v>
      </c>
      <c r="H6" s="98">
        <v>118</v>
      </c>
      <c r="I6" s="121">
        <v>0.93650793650793651</v>
      </c>
      <c r="J6" s="108"/>
      <c r="K6" s="108"/>
      <c r="L6" s="5">
        <f t="shared" ref="L6:L11" si="0">D6-B6</f>
        <v>5.8330000000000126</v>
      </c>
      <c r="M6" s="6">
        <f t="shared" ref="M6:M13" si="1">H6-F6</f>
        <v>-8</v>
      </c>
    </row>
    <row r="7" spans="1:13" ht="14.4" hidden="1" customHeight="1" outlineLevel="1" x14ac:dyDescent="0.3">
      <c r="A7" s="104" t="s">
        <v>152</v>
      </c>
      <c r="B7" s="107">
        <v>338.483</v>
      </c>
      <c r="C7" s="98">
        <v>302.28800000000001</v>
      </c>
      <c r="D7" s="98">
        <v>457.63</v>
      </c>
      <c r="E7" s="119">
        <v>1.3520029070883914</v>
      </c>
      <c r="F7" s="120">
        <v>392</v>
      </c>
      <c r="G7" s="98">
        <v>433</v>
      </c>
      <c r="H7" s="98">
        <v>391</v>
      </c>
      <c r="I7" s="121">
        <v>0.99744897959183676</v>
      </c>
      <c r="J7" s="108"/>
      <c r="K7" s="108"/>
      <c r="L7" s="5">
        <f t="shared" si="0"/>
        <v>119.14699999999999</v>
      </c>
      <c r="M7" s="6">
        <f t="shared" si="1"/>
        <v>-1</v>
      </c>
    </row>
    <row r="8" spans="1:13" ht="14.4" hidden="1" customHeight="1" outlineLevel="1" x14ac:dyDescent="0.3">
      <c r="A8" s="104" t="s">
        <v>153</v>
      </c>
      <c r="B8" s="107">
        <v>7.0359999999999996</v>
      </c>
      <c r="C8" s="98">
        <v>16.151</v>
      </c>
      <c r="D8" s="98">
        <v>55.046999999999997</v>
      </c>
      <c r="E8" s="119">
        <v>7.8236213757816939</v>
      </c>
      <c r="F8" s="120">
        <v>25</v>
      </c>
      <c r="G8" s="98">
        <v>40</v>
      </c>
      <c r="H8" s="98">
        <v>41</v>
      </c>
      <c r="I8" s="121">
        <v>1.64</v>
      </c>
      <c r="J8" s="108"/>
      <c r="K8" s="108"/>
      <c r="L8" s="5">
        <f t="shared" si="0"/>
        <v>48.010999999999996</v>
      </c>
      <c r="M8" s="6">
        <f t="shared" si="1"/>
        <v>16</v>
      </c>
    </row>
    <row r="9" spans="1:13" ht="14.4" hidden="1" customHeight="1" outlineLevel="1" x14ac:dyDescent="0.3">
      <c r="A9" s="104" t="s">
        <v>154</v>
      </c>
      <c r="B9" s="107">
        <v>0</v>
      </c>
      <c r="C9" s="98">
        <v>0</v>
      </c>
      <c r="D9" s="98">
        <v>0</v>
      </c>
      <c r="E9" s="119" t="s">
        <v>533</v>
      </c>
      <c r="F9" s="120">
        <v>0</v>
      </c>
      <c r="G9" s="98">
        <v>0</v>
      </c>
      <c r="H9" s="98">
        <v>0</v>
      </c>
      <c r="I9" s="121" t="s">
        <v>533</v>
      </c>
      <c r="J9" s="108"/>
      <c r="K9" s="108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04" t="s">
        <v>155</v>
      </c>
      <c r="B10" s="107">
        <v>75.762</v>
      </c>
      <c r="C10" s="98">
        <v>120.15</v>
      </c>
      <c r="D10" s="98">
        <v>72.313000000000002</v>
      </c>
      <c r="E10" s="119">
        <v>0.95447585860985718</v>
      </c>
      <c r="F10" s="120">
        <v>116</v>
      </c>
      <c r="G10" s="98">
        <v>128</v>
      </c>
      <c r="H10" s="98">
        <v>130</v>
      </c>
      <c r="I10" s="121">
        <v>1.1206896551724137</v>
      </c>
      <c r="J10" s="108"/>
      <c r="K10" s="108"/>
      <c r="L10" s="5">
        <f t="shared" si="0"/>
        <v>-3.4489999999999981</v>
      </c>
      <c r="M10" s="6">
        <f t="shared" si="1"/>
        <v>14</v>
      </c>
    </row>
    <row r="11" spans="1:13" ht="14.4" hidden="1" customHeight="1" outlineLevel="1" x14ac:dyDescent="0.3">
      <c r="A11" s="104" t="s">
        <v>156</v>
      </c>
      <c r="B11" s="107">
        <v>2.89</v>
      </c>
      <c r="C11" s="98">
        <v>55.104999999999997</v>
      </c>
      <c r="D11" s="98">
        <v>33.139000000000003</v>
      </c>
      <c r="E11" s="119">
        <v>11.466782006920416</v>
      </c>
      <c r="F11" s="120">
        <v>7</v>
      </c>
      <c r="G11" s="98">
        <v>13</v>
      </c>
      <c r="H11" s="98">
        <v>21</v>
      </c>
      <c r="I11" s="121">
        <v>3</v>
      </c>
      <c r="J11" s="108"/>
      <c r="K11" s="108"/>
      <c r="L11" s="5">
        <f t="shared" si="0"/>
        <v>30.249000000000002</v>
      </c>
      <c r="M11" s="6">
        <f t="shared" si="1"/>
        <v>14</v>
      </c>
    </row>
    <row r="12" spans="1:13" ht="14.4" hidden="1" customHeight="1" outlineLevel="1" thickBot="1" x14ac:dyDescent="0.35">
      <c r="A12" s="228" t="s">
        <v>187</v>
      </c>
      <c r="B12" s="229">
        <v>0.64800000000000002</v>
      </c>
      <c r="C12" s="230">
        <v>12.916</v>
      </c>
      <c r="D12" s="230">
        <v>0.49</v>
      </c>
      <c r="E12" s="231"/>
      <c r="F12" s="232">
        <v>3</v>
      </c>
      <c r="G12" s="230">
        <v>4</v>
      </c>
      <c r="H12" s="230">
        <v>2</v>
      </c>
      <c r="I12" s="233"/>
      <c r="J12" s="108"/>
      <c r="K12" s="108"/>
      <c r="L12" s="234">
        <f>D12-B12</f>
        <v>-0.15800000000000003</v>
      </c>
      <c r="M12" s="235">
        <f>H12-F12</f>
        <v>-1</v>
      </c>
    </row>
    <row r="13" spans="1:13" ht="14.4" customHeight="1" collapsed="1" thickBot="1" x14ac:dyDescent="0.35">
      <c r="A13" s="105" t="s">
        <v>3</v>
      </c>
      <c r="B13" s="100">
        <f>SUM(B5:B12)</f>
        <v>799.25600000000009</v>
      </c>
      <c r="C13" s="101">
        <f>SUM(C5:C12)</f>
        <v>877.95699999999999</v>
      </c>
      <c r="D13" s="101">
        <f>SUM(D5:D12)</f>
        <v>912.18200000000002</v>
      </c>
      <c r="E13" s="122">
        <f>IF(OR(D13=0,B13=0),0,D13/B13)</f>
        <v>1.1412888986757683</v>
      </c>
      <c r="F13" s="123">
        <f>SUM(F5:F12)</f>
        <v>907</v>
      </c>
      <c r="G13" s="101">
        <f>SUM(G5:G12)</f>
        <v>928</v>
      </c>
      <c r="H13" s="101">
        <f>SUM(H5:H12)</f>
        <v>928</v>
      </c>
      <c r="I13" s="124">
        <f>IF(OR(H13=0,F13=0),0,H13/F13)</f>
        <v>1.0231532524807057</v>
      </c>
      <c r="J13" s="108"/>
      <c r="K13" s="108"/>
      <c r="L13" s="114">
        <f>D13-B13</f>
        <v>112.92599999999993</v>
      </c>
      <c r="M13" s="125">
        <f t="shared" si="1"/>
        <v>21</v>
      </c>
    </row>
    <row r="14" spans="1:13" ht="14.4" customHeight="1" x14ac:dyDescent="0.3">
      <c r="A14" s="126"/>
      <c r="B14" s="534"/>
      <c r="C14" s="534"/>
      <c r="D14" s="534"/>
      <c r="E14" s="534"/>
      <c r="F14" s="534"/>
      <c r="G14" s="534"/>
      <c r="H14" s="534"/>
      <c r="I14" s="534"/>
      <c r="J14" s="108"/>
      <c r="K14" s="108"/>
      <c r="L14" s="108"/>
      <c r="M14" s="110"/>
    </row>
    <row r="15" spans="1:13" ht="14.4" customHeight="1" thickBot="1" x14ac:dyDescent="0.35">
      <c r="A15" s="126"/>
      <c r="B15" s="341"/>
      <c r="C15" s="342"/>
      <c r="D15" s="342"/>
      <c r="E15" s="342"/>
      <c r="F15" s="341"/>
      <c r="G15" s="342"/>
      <c r="H15" s="342"/>
      <c r="I15" s="342"/>
      <c r="J15" s="108"/>
      <c r="K15" s="108"/>
      <c r="L15" s="108"/>
      <c r="M15" s="110"/>
    </row>
    <row r="16" spans="1:13" ht="14.4" customHeight="1" thickBot="1" x14ac:dyDescent="0.35">
      <c r="A16" s="529" t="s">
        <v>183</v>
      </c>
      <c r="B16" s="531" t="s">
        <v>58</v>
      </c>
      <c r="C16" s="532"/>
      <c r="D16" s="532"/>
      <c r="E16" s="533"/>
      <c r="F16" s="531" t="s">
        <v>266</v>
      </c>
      <c r="G16" s="532"/>
      <c r="H16" s="532"/>
      <c r="I16" s="533"/>
      <c r="J16" s="536" t="s">
        <v>160</v>
      </c>
      <c r="K16" s="537"/>
      <c r="L16" s="143"/>
      <c r="M16" s="143"/>
    </row>
    <row r="17" spans="1:13" ht="14.4" customHeight="1" thickBot="1" x14ac:dyDescent="0.35">
      <c r="A17" s="530"/>
      <c r="B17" s="127">
        <v>2013</v>
      </c>
      <c r="C17" s="128">
        <v>2014</v>
      </c>
      <c r="D17" s="128">
        <v>2015</v>
      </c>
      <c r="E17" s="129" t="s">
        <v>2</v>
      </c>
      <c r="F17" s="127">
        <v>2013</v>
      </c>
      <c r="G17" s="128">
        <v>2014</v>
      </c>
      <c r="H17" s="128">
        <v>2015</v>
      </c>
      <c r="I17" s="129" t="s">
        <v>2</v>
      </c>
      <c r="J17" s="538" t="s">
        <v>161</v>
      </c>
      <c r="K17" s="539"/>
      <c r="L17" s="130" t="s">
        <v>59</v>
      </c>
      <c r="M17" s="131" t="s">
        <v>60</v>
      </c>
    </row>
    <row r="18" spans="1:13" ht="14.4" hidden="1" customHeight="1" outlineLevel="1" x14ac:dyDescent="0.3">
      <c r="A18" s="103" t="s">
        <v>150</v>
      </c>
      <c r="B18" s="106">
        <v>249.75</v>
      </c>
      <c r="C18" s="99">
        <v>303.82400000000001</v>
      </c>
      <c r="D18" s="99">
        <v>163.04300000000001</v>
      </c>
      <c r="E18" s="116">
        <v>0.65282482482482485</v>
      </c>
      <c r="F18" s="106">
        <v>238</v>
      </c>
      <c r="G18" s="99">
        <v>205</v>
      </c>
      <c r="H18" s="99">
        <v>225</v>
      </c>
      <c r="I18" s="118">
        <v>0.94537815126050417</v>
      </c>
      <c r="J18" s="522">
        <f>0.97*0.976</f>
        <v>0.94672000000000001</v>
      </c>
      <c r="K18" s="523"/>
      <c r="L18" s="132">
        <f>D18-B18</f>
        <v>-86.706999999999994</v>
      </c>
      <c r="M18" s="133">
        <f>H18-F18</f>
        <v>-13</v>
      </c>
    </row>
    <row r="19" spans="1:13" ht="14.4" hidden="1" customHeight="1" outlineLevel="1" x14ac:dyDescent="0.3">
      <c r="A19" s="104" t="s">
        <v>151</v>
      </c>
      <c r="B19" s="107">
        <v>124.687</v>
      </c>
      <c r="C19" s="98">
        <v>67.522999999999996</v>
      </c>
      <c r="D19" s="98">
        <v>130.52000000000001</v>
      </c>
      <c r="E19" s="119">
        <v>1.0467811399744962</v>
      </c>
      <c r="F19" s="107">
        <v>126</v>
      </c>
      <c r="G19" s="98">
        <v>105</v>
      </c>
      <c r="H19" s="98">
        <v>118</v>
      </c>
      <c r="I19" s="121">
        <v>0.93650793650793651</v>
      </c>
      <c r="J19" s="522">
        <f>0.97*1.096</f>
        <v>1.0631200000000001</v>
      </c>
      <c r="K19" s="523"/>
      <c r="L19" s="134">
        <f t="shared" ref="L19:L26" si="2">D19-B19</f>
        <v>5.8330000000000126</v>
      </c>
      <c r="M19" s="135">
        <f t="shared" ref="M19:M26" si="3">H19-F19</f>
        <v>-8</v>
      </c>
    </row>
    <row r="20" spans="1:13" ht="14.4" hidden="1" customHeight="1" outlineLevel="1" x14ac:dyDescent="0.3">
      <c r="A20" s="104" t="s">
        <v>152</v>
      </c>
      <c r="B20" s="107">
        <v>338.483</v>
      </c>
      <c r="C20" s="98">
        <v>302.28800000000001</v>
      </c>
      <c r="D20" s="98">
        <v>457.63</v>
      </c>
      <c r="E20" s="119">
        <v>1.3520029070883914</v>
      </c>
      <c r="F20" s="107">
        <v>392</v>
      </c>
      <c r="G20" s="98">
        <v>433</v>
      </c>
      <c r="H20" s="98">
        <v>391</v>
      </c>
      <c r="I20" s="121">
        <v>0.99744897959183676</v>
      </c>
      <c r="J20" s="522">
        <f>0.97*1.047</f>
        <v>1.01559</v>
      </c>
      <c r="K20" s="523"/>
      <c r="L20" s="134">
        <f t="shared" si="2"/>
        <v>119.14699999999999</v>
      </c>
      <c r="M20" s="135">
        <f t="shared" si="3"/>
        <v>-1</v>
      </c>
    </row>
    <row r="21" spans="1:13" ht="14.4" hidden="1" customHeight="1" outlineLevel="1" x14ac:dyDescent="0.3">
      <c r="A21" s="104" t="s">
        <v>153</v>
      </c>
      <c r="B21" s="107">
        <v>7.0359999999999996</v>
      </c>
      <c r="C21" s="98">
        <v>16.151</v>
      </c>
      <c r="D21" s="98">
        <v>55.046999999999997</v>
      </c>
      <c r="E21" s="119">
        <v>7.8236213757816939</v>
      </c>
      <c r="F21" s="107">
        <v>25</v>
      </c>
      <c r="G21" s="98">
        <v>40</v>
      </c>
      <c r="H21" s="98">
        <v>41</v>
      </c>
      <c r="I21" s="121">
        <v>1.64</v>
      </c>
      <c r="J21" s="522">
        <f>0.97*1.091</f>
        <v>1.05827</v>
      </c>
      <c r="K21" s="523"/>
      <c r="L21" s="134">
        <f t="shared" si="2"/>
        <v>48.010999999999996</v>
      </c>
      <c r="M21" s="135">
        <f t="shared" si="3"/>
        <v>16</v>
      </c>
    </row>
    <row r="22" spans="1:13" ht="14.4" hidden="1" customHeight="1" outlineLevel="1" x14ac:dyDescent="0.3">
      <c r="A22" s="104" t="s">
        <v>154</v>
      </c>
      <c r="B22" s="107">
        <v>0</v>
      </c>
      <c r="C22" s="98">
        <v>0</v>
      </c>
      <c r="D22" s="98">
        <v>0</v>
      </c>
      <c r="E22" s="119" t="s">
        <v>533</v>
      </c>
      <c r="F22" s="107">
        <v>0</v>
      </c>
      <c r="G22" s="98">
        <v>0</v>
      </c>
      <c r="H22" s="98">
        <v>0</v>
      </c>
      <c r="I22" s="121" t="s">
        <v>533</v>
      </c>
      <c r="J22" s="522">
        <f>0.97*1</f>
        <v>0.97</v>
      </c>
      <c r="K22" s="523"/>
      <c r="L22" s="134">
        <f t="shared" si="2"/>
        <v>0</v>
      </c>
      <c r="M22" s="135">
        <f t="shared" si="3"/>
        <v>0</v>
      </c>
    </row>
    <row r="23" spans="1:13" ht="14.4" hidden="1" customHeight="1" outlineLevel="1" x14ac:dyDescent="0.3">
      <c r="A23" s="104" t="s">
        <v>155</v>
      </c>
      <c r="B23" s="107">
        <v>75.762</v>
      </c>
      <c r="C23" s="98">
        <v>120.15</v>
      </c>
      <c r="D23" s="98">
        <v>72.313000000000002</v>
      </c>
      <c r="E23" s="119">
        <v>0.95447585860985718</v>
      </c>
      <c r="F23" s="107">
        <v>116</v>
      </c>
      <c r="G23" s="98">
        <v>128</v>
      </c>
      <c r="H23" s="98">
        <v>130</v>
      </c>
      <c r="I23" s="121">
        <v>1.1206896551724137</v>
      </c>
      <c r="J23" s="522">
        <f>0.97*1.096</f>
        <v>1.0631200000000001</v>
      </c>
      <c r="K23" s="523"/>
      <c r="L23" s="134">
        <f t="shared" si="2"/>
        <v>-3.4489999999999981</v>
      </c>
      <c r="M23" s="135">
        <f t="shared" si="3"/>
        <v>14</v>
      </c>
    </row>
    <row r="24" spans="1:13" ht="14.4" hidden="1" customHeight="1" outlineLevel="1" x14ac:dyDescent="0.3">
      <c r="A24" s="104" t="s">
        <v>156</v>
      </c>
      <c r="B24" s="107">
        <v>2.89</v>
      </c>
      <c r="C24" s="98">
        <v>55.104999999999997</v>
      </c>
      <c r="D24" s="98">
        <v>33.139000000000003</v>
      </c>
      <c r="E24" s="119">
        <v>11.466782006920416</v>
      </c>
      <c r="F24" s="107">
        <v>7</v>
      </c>
      <c r="G24" s="98">
        <v>13</v>
      </c>
      <c r="H24" s="98">
        <v>21</v>
      </c>
      <c r="I24" s="121">
        <v>3</v>
      </c>
      <c r="J24" s="522">
        <f>0.97*0.989</f>
        <v>0.95933000000000002</v>
      </c>
      <c r="K24" s="523"/>
      <c r="L24" s="134">
        <f t="shared" si="2"/>
        <v>30.249000000000002</v>
      </c>
      <c r="M24" s="135">
        <f t="shared" si="3"/>
        <v>14</v>
      </c>
    </row>
    <row r="25" spans="1:13" ht="14.4" hidden="1" customHeight="1" outlineLevel="1" thickBot="1" x14ac:dyDescent="0.35">
      <c r="A25" s="228" t="s">
        <v>187</v>
      </c>
      <c r="B25" s="229">
        <v>0.64800000000000002</v>
      </c>
      <c r="C25" s="230">
        <v>12.916</v>
      </c>
      <c r="D25" s="230">
        <v>0.49</v>
      </c>
      <c r="E25" s="231"/>
      <c r="F25" s="229">
        <v>3</v>
      </c>
      <c r="G25" s="230">
        <v>4</v>
      </c>
      <c r="H25" s="230">
        <v>2</v>
      </c>
      <c r="I25" s="233"/>
      <c r="J25" s="343"/>
      <c r="K25" s="344"/>
      <c r="L25" s="236">
        <f>D25-B25</f>
        <v>-0.15800000000000003</v>
      </c>
      <c r="M25" s="237">
        <f>H25-F25</f>
        <v>-1</v>
      </c>
    </row>
    <row r="26" spans="1:13" ht="14.4" customHeight="1" collapsed="1" thickBot="1" x14ac:dyDescent="0.35">
      <c r="A26" s="136" t="s">
        <v>3</v>
      </c>
      <c r="B26" s="137">
        <f>SUM(B18:B25)</f>
        <v>799.25600000000009</v>
      </c>
      <c r="C26" s="138">
        <f>SUM(C18:C25)</f>
        <v>877.95699999999999</v>
      </c>
      <c r="D26" s="138">
        <f>SUM(D18:D25)</f>
        <v>912.18200000000002</v>
      </c>
      <c r="E26" s="139">
        <f>IF(OR(D26=0,B26=0),0,D26/B26)</f>
        <v>1.1412888986757683</v>
      </c>
      <c r="F26" s="137">
        <f>SUM(F18:F25)</f>
        <v>907</v>
      </c>
      <c r="G26" s="138">
        <f>SUM(G18:G25)</f>
        <v>928</v>
      </c>
      <c r="H26" s="138">
        <f>SUM(H18:H25)</f>
        <v>928</v>
      </c>
      <c r="I26" s="140">
        <f>IF(OR(H26=0,F26=0),0,H26/F26)</f>
        <v>1.0231532524807057</v>
      </c>
      <c r="J26" s="108"/>
      <c r="K26" s="108"/>
      <c r="L26" s="130">
        <f t="shared" si="2"/>
        <v>112.92599999999993</v>
      </c>
      <c r="M26" s="141">
        <f t="shared" si="3"/>
        <v>21</v>
      </c>
    </row>
    <row r="27" spans="1:13" ht="14.4" customHeight="1" x14ac:dyDescent="0.3">
      <c r="A27" s="142"/>
      <c r="B27" s="534" t="s">
        <v>185</v>
      </c>
      <c r="C27" s="535"/>
      <c r="D27" s="535"/>
      <c r="E27" s="535"/>
      <c r="F27" s="534" t="s">
        <v>186</v>
      </c>
      <c r="G27" s="535"/>
      <c r="H27" s="535"/>
      <c r="I27" s="535"/>
      <c r="J27" s="143"/>
      <c r="K27" s="143"/>
      <c r="L27" s="143"/>
      <c r="M27" s="144"/>
    </row>
    <row r="28" spans="1:13" ht="14.4" customHeight="1" thickBot="1" x14ac:dyDescent="0.35">
      <c r="A28" s="142"/>
      <c r="B28" s="341"/>
      <c r="C28" s="342"/>
      <c r="D28" s="342"/>
      <c r="E28" s="342"/>
      <c r="F28" s="341"/>
      <c r="G28" s="342"/>
      <c r="H28" s="342"/>
      <c r="I28" s="342"/>
      <c r="J28" s="143"/>
      <c r="K28" s="143"/>
      <c r="L28" s="143"/>
      <c r="M28" s="144"/>
    </row>
    <row r="29" spans="1:13" ht="14.4" customHeight="1" thickBot="1" x14ac:dyDescent="0.35">
      <c r="A29" s="524" t="s">
        <v>184</v>
      </c>
      <c r="B29" s="526" t="s">
        <v>58</v>
      </c>
      <c r="C29" s="527"/>
      <c r="D29" s="527"/>
      <c r="E29" s="528"/>
      <c r="F29" s="527" t="s">
        <v>266</v>
      </c>
      <c r="G29" s="527"/>
      <c r="H29" s="527"/>
      <c r="I29" s="528"/>
      <c r="J29" s="143"/>
      <c r="K29" s="143"/>
      <c r="L29" s="143"/>
      <c r="M29" s="144"/>
    </row>
    <row r="30" spans="1:13" ht="14.4" customHeight="1" thickBot="1" x14ac:dyDescent="0.35">
      <c r="A30" s="525"/>
      <c r="B30" s="145">
        <v>2013</v>
      </c>
      <c r="C30" s="146">
        <v>2014</v>
      </c>
      <c r="D30" s="146">
        <v>2015</v>
      </c>
      <c r="E30" s="147" t="s">
        <v>2</v>
      </c>
      <c r="F30" s="146">
        <v>2013</v>
      </c>
      <c r="G30" s="146">
        <v>2014</v>
      </c>
      <c r="H30" s="146">
        <v>2015</v>
      </c>
      <c r="I30" s="147" t="s">
        <v>2</v>
      </c>
      <c r="J30" s="143"/>
      <c r="K30" s="143"/>
      <c r="L30" s="148" t="s">
        <v>59</v>
      </c>
      <c r="M30" s="149" t="s">
        <v>60</v>
      </c>
    </row>
    <row r="31" spans="1:13" ht="14.4" hidden="1" customHeight="1" outlineLevel="1" x14ac:dyDescent="0.3">
      <c r="A31" s="103" t="s">
        <v>150</v>
      </c>
      <c r="B31" s="106">
        <v>0</v>
      </c>
      <c r="C31" s="99">
        <v>0</v>
      </c>
      <c r="D31" s="99">
        <v>0</v>
      </c>
      <c r="E31" s="116" t="s">
        <v>533</v>
      </c>
      <c r="F31" s="117">
        <v>0</v>
      </c>
      <c r="G31" s="99">
        <v>0</v>
      </c>
      <c r="H31" s="99">
        <v>0</v>
      </c>
      <c r="I31" s="118" t="s">
        <v>533</v>
      </c>
      <c r="J31" s="143"/>
      <c r="K31" s="143"/>
      <c r="L31" s="132">
        <f t="shared" ref="L31:L39" si="4">D31-B31</f>
        <v>0</v>
      </c>
      <c r="M31" s="133">
        <f t="shared" ref="M31:M39" si="5">H31-F31</f>
        <v>0</v>
      </c>
    </row>
    <row r="32" spans="1:13" ht="14.4" hidden="1" customHeight="1" outlineLevel="1" x14ac:dyDescent="0.3">
      <c r="A32" s="104" t="s">
        <v>151</v>
      </c>
      <c r="B32" s="107">
        <v>0</v>
      </c>
      <c r="C32" s="98">
        <v>0</v>
      </c>
      <c r="D32" s="98">
        <v>0</v>
      </c>
      <c r="E32" s="119" t="s">
        <v>533</v>
      </c>
      <c r="F32" s="120">
        <v>0</v>
      </c>
      <c r="G32" s="98">
        <v>0</v>
      </c>
      <c r="H32" s="98">
        <v>0</v>
      </c>
      <c r="I32" s="121" t="s">
        <v>533</v>
      </c>
      <c r="J32" s="143"/>
      <c r="K32" s="143"/>
      <c r="L32" s="134">
        <f t="shared" si="4"/>
        <v>0</v>
      </c>
      <c r="M32" s="135">
        <f t="shared" si="5"/>
        <v>0</v>
      </c>
    </row>
    <row r="33" spans="1:13" ht="14.4" hidden="1" customHeight="1" outlineLevel="1" x14ac:dyDescent="0.3">
      <c r="A33" s="104" t="s">
        <v>152</v>
      </c>
      <c r="B33" s="107">
        <v>0</v>
      </c>
      <c r="C33" s="98">
        <v>0</v>
      </c>
      <c r="D33" s="98">
        <v>0</v>
      </c>
      <c r="E33" s="119" t="s">
        <v>533</v>
      </c>
      <c r="F33" s="120">
        <v>0</v>
      </c>
      <c r="G33" s="98">
        <v>0</v>
      </c>
      <c r="H33" s="98">
        <v>0</v>
      </c>
      <c r="I33" s="121" t="s">
        <v>533</v>
      </c>
      <c r="J33" s="143"/>
      <c r="K33" s="143"/>
      <c r="L33" s="134">
        <f t="shared" si="4"/>
        <v>0</v>
      </c>
      <c r="M33" s="135">
        <f t="shared" si="5"/>
        <v>0</v>
      </c>
    </row>
    <row r="34" spans="1:13" ht="14.4" hidden="1" customHeight="1" outlineLevel="1" x14ac:dyDescent="0.3">
      <c r="A34" s="104" t="s">
        <v>153</v>
      </c>
      <c r="B34" s="107">
        <v>0</v>
      </c>
      <c r="C34" s="98">
        <v>0</v>
      </c>
      <c r="D34" s="98">
        <v>0</v>
      </c>
      <c r="E34" s="119" t="s">
        <v>533</v>
      </c>
      <c r="F34" s="120">
        <v>0</v>
      </c>
      <c r="G34" s="98">
        <v>0</v>
      </c>
      <c r="H34" s="98">
        <v>0</v>
      </c>
      <c r="I34" s="121" t="s">
        <v>533</v>
      </c>
      <c r="J34" s="143"/>
      <c r="K34" s="143"/>
      <c r="L34" s="134">
        <f t="shared" si="4"/>
        <v>0</v>
      </c>
      <c r="M34" s="135">
        <f t="shared" si="5"/>
        <v>0</v>
      </c>
    </row>
    <row r="35" spans="1:13" ht="14.4" hidden="1" customHeight="1" outlineLevel="1" x14ac:dyDescent="0.3">
      <c r="A35" s="104" t="s">
        <v>154</v>
      </c>
      <c r="B35" s="107">
        <v>0</v>
      </c>
      <c r="C35" s="98">
        <v>0</v>
      </c>
      <c r="D35" s="98">
        <v>0</v>
      </c>
      <c r="E35" s="119" t="s">
        <v>533</v>
      </c>
      <c r="F35" s="120">
        <v>0</v>
      </c>
      <c r="G35" s="98">
        <v>0</v>
      </c>
      <c r="H35" s="98">
        <v>0</v>
      </c>
      <c r="I35" s="121" t="s">
        <v>533</v>
      </c>
      <c r="J35" s="143"/>
      <c r="K35" s="143"/>
      <c r="L35" s="134">
        <f t="shared" si="4"/>
        <v>0</v>
      </c>
      <c r="M35" s="135">
        <f t="shared" si="5"/>
        <v>0</v>
      </c>
    </row>
    <row r="36" spans="1:13" ht="14.4" hidden="1" customHeight="1" outlineLevel="1" x14ac:dyDescent="0.3">
      <c r="A36" s="104" t="s">
        <v>155</v>
      </c>
      <c r="B36" s="107">
        <v>0</v>
      </c>
      <c r="C36" s="98">
        <v>0</v>
      </c>
      <c r="D36" s="98">
        <v>0</v>
      </c>
      <c r="E36" s="119" t="s">
        <v>533</v>
      </c>
      <c r="F36" s="120">
        <v>0</v>
      </c>
      <c r="G36" s="98">
        <v>0</v>
      </c>
      <c r="H36" s="98">
        <v>0</v>
      </c>
      <c r="I36" s="121" t="s">
        <v>533</v>
      </c>
      <c r="J36" s="143"/>
      <c r="K36" s="143"/>
      <c r="L36" s="134">
        <f t="shared" si="4"/>
        <v>0</v>
      </c>
      <c r="M36" s="135">
        <f t="shared" si="5"/>
        <v>0</v>
      </c>
    </row>
    <row r="37" spans="1:13" ht="14.4" hidden="1" customHeight="1" outlineLevel="1" x14ac:dyDescent="0.3">
      <c r="A37" s="104" t="s">
        <v>156</v>
      </c>
      <c r="B37" s="107">
        <v>0</v>
      </c>
      <c r="C37" s="98">
        <v>0</v>
      </c>
      <c r="D37" s="98">
        <v>0</v>
      </c>
      <c r="E37" s="119" t="s">
        <v>533</v>
      </c>
      <c r="F37" s="120">
        <v>0</v>
      </c>
      <c r="G37" s="98">
        <v>0</v>
      </c>
      <c r="H37" s="98">
        <v>0</v>
      </c>
      <c r="I37" s="121" t="s">
        <v>533</v>
      </c>
      <c r="J37" s="143"/>
      <c r="K37" s="143"/>
      <c r="L37" s="134">
        <f t="shared" si="4"/>
        <v>0</v>
      </c>
      <c r="M37" s="135">
        <f t="shared" si="5"/>
        <v>0</v>
      </c>
    </row>
    <row r="38" spans="1:13" ht="14.4" hidden="1" customHeight="1" outlineLevel="1" thickBot="1" x14ac:dyDescent="0.35">
      <c r="A38" s="228" t="s">
        <v>187</v>
      </c>
      <c r="B38" s="229">
        <v>0</v>
      </c>
      <c r="C38" s="230">
        <v>0</v>
      </c>
      <c r="D38" s="230">
        <v>0</v>
      </c>
      <c r="E38" s="231" t="s">
        <v>533</v>
      </c>
      <c r="F38" s="232">
        <v>0</v>
      </c>
      <c r="G38" s="230">
        <v>0</v>
      </c>
      <c r="H38" s="230">
        <v>0</v>
      </c>
      <c r="I38" s="233" t="s">
        <v>533</v>
      </c>
      <c r="J38" s="143"/>
      <c r="K38" s="143"/>
      <c r="L38" s="236">
        <f>D38-B38</f>
        <v>0</v>
      </c>
      <c r="M38" s="237">
        <f>H38-F38</f>
        <v>0</v>
      </c>
    </row>
    <row r="39" spans="1:13" ht="14.4" customHeight="1" collapsed="1" thickBot="1" x14ac:dyDescent="0.35">
      <c r="A39" s="150" t="s">
        <v>3</v>
      </c>
      <c r="B39" s="102">
        <f>SUM(B31:B38)</f>
        <v>0</v>
      </c>
      <c r="C39" s="151">
        <f>SUM(C31:C38)</f>
        <v>0</v>
      </c>
      <c r="D39" s="151">
        <f>SUM(D31:D38)</f>
        <v>0</v>
      </c>
      <c r="E39" s="152">
        <f>IF(OR(D39=0,B39=0),0,D39/B39)</f>
        <v>0</v>
      </c>
      <c r="F39" s="153">
        <f>SUM(F31:F38)</f>
        <v>0</v>
      </c>
      <c r="G39" s="151">
        <f>SUM(G31:G38)</f>
        <v>0</v>
      </c>
      <c r="H39" s="151">
        <f>SUM(H31:H38)</f>
        <v>0</v>
      </c>
      <c r="I39" s="154">
        <f>IF(OR(H39=0,F39=0),0,H39/F39)</f>
        <v>0</v>
      </c>
      <c r="J39" s="143"/>
      <c r="K39" s="143"/>
      <c r="L39" s="148">
        <f t="shared" si="4"/>
        <v>0</v>
      </c>
      <c r="M39" s="155">
        <f t="shared" si="5"/>
        <v>0</v>
      </c>
    </row>
    <row r="40" spans="1:13" ht="14.4" customHeight="1" x14ac:dyDescent="0.25">
      <c r="A40" s="345"/>
      <c r="B40" s="345"/>
      <c r="C40" s="345"/>
      <c r="D40" s="345"/>
      <c r="E40" s="346"/>
      <c r="F40" s="345"/>
      <c r="G40" s="345"/>
      <c r="H40" s="345"/>
      <c r="I40" s="347"/>
      <c r="J40" s="345"/>
      <c r="K40" s="345"/>
      <c r="L40" s="345"/>
      <c r="M40" s="345"/>
    </row>
    <row r="41" spans="1:13" ht="14.4" customHeight="1" x14ac:dyDescent="0.3">
      <c r="A41" s="246" t="s">
        <v>269</v>
      </c>
      <c r="B41" s="345"/>
      <c r="C41" s="345"/>
      <c r="D41" s="345"/>
      <c r="E41" s="346"/>
      <c r="F41" s="345"/>
      <c r="G41" s="345"/>
      <c r="H41" s="345"/>
      <c r="I41" s="347"/>
      <c r="J41" s="345"/>
      <c r="K41" s="345"/>
      <c r="L41" s="345"/>
      <c r="M41" s="345"/>
    </row>
    <row r="42" spans="1:13" ht="14.4" customHeight="1" x14ac:dyDescent="0.25">
      <c r="A42" s="427" t="s">
        <v>265</v>
      </c>
    </row>
    <row r="43" spans="1:13" ht="14.4" customHeight="1" x14ac:dyDescent="0.25">
      <c r="A43" s="428" t="s">
        <v>271</v>
      </c>
    </row>
    <row r="44" spans="1:13" ht="14.4" customHeight="1" x14ac:dyDescent="0.25">
      <c r="A44" s="427" t="s">
        <v>267</v>
      </c>
    </row>
    <row r="45" spans="1:13" ht="14.4" customHeight="1" x14ac:dyDescent="0.25">
      <c r="A45" s="428" t="s">
        <v>268</v>
      </c>
    </row>
    <row r="46" spans="1:13" ht="14.4" customHeight="1" x14ac:dyDescent="0.3">
      <c r="A46" s="227" t="s">
        <v>270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91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482" t="s">
        <v>102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4.4" customHeight="1" x14ac:dyDescent="0.3">
      <c r="A2" s="361" t="s">
        <v>306</v>
      </c>
      <c r="B2" s="187"/>
      <c r="C2" s="187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50"/>
      <c r="C3" s="35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50"/>
      <c r="C4" s="35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50"/>
      <c r="C5" s="35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50"/>
      <c r="C6" s="35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50"/>
      <c r="C7" s="35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50"/>
      <c r="C8" s="35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50"/>
      <c r="C9" s="35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50"/>
      <c r="C10" s="35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50"/>
      <c r="C11" s="35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50"/>
      <c r="C12" s="35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50"/>
      <c r="C13" s="35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50"/>
      <c r="C14" s="35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50"/>
      <c r="C15" s="35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50"/>
      <c r="C16" s="35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50"/>
      <c r="C17" s="35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50"/>
      <c r="C18" s="35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50"/>
      <c r="C19" s="35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50"/>
      <c r="C20" s="35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50"/>
      <c r="C21" s="35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50"/>
      <c r="C22" s="35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50"/>
      <c r="C23" s="35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50"/>
      <c r="C24" s="35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50"/>
      <c r="C25" s="35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50"/>
      <c r="C26" s="35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50"/>
      <c r="C27" s="35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50"/>
      <c r="C28" s="35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50"/>
      <c r="C29" s="35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50"/>
      <c r="C30" s="35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4"/>
      <c r="B31" s="543" t="s">
        <v>70</v>
      </c>
      <c r="C31" s="544"/>
      <c r="D31" s="544"/>
      <c r="E31" s="545"/>
      <c r="F31" s="156" t="s">
        <v>70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5" t="s">
        <v>54</v>
      </c>
      <c r="B32" s="157" t="s">
        <v>73</v>
      </c>
      <c r="C32" s="158" t="s">
        <v>74</v>
      </c>
      <c r="D32" s="158" t="s">
        <v>75</v>
      </c>
      <c r="E32" s="159" t="s">
        <v>2</v>
      </c>
      <c r="F32" s="160" t="s">
        <v>76</v>
      </c>
      <c r="G32" s="351"/>
      <c r="H32" s="351" t="s">
        <v>103</v>
      </c>
      <c r="I32" s="71"/>
      <c r="J32" s="71"/>
      <c r="K32" s="71"/>
      <c r="L32" s="71"/>
      <c r="M32" s="71"/>
    </row>
    <row r="33" spans="1:13" ht="14.4" customHeight="1" x14ac:dyDescent="0.3">
      <c r="A33" s="161" t="s">
        <v>90</v>
      </c>
      <c r="B33" s="188">
        <v>1299.6199999999999</v>
      </c>
      <c r="C33" s="188">
        <v>1306</v>
      </c>
      <c r="D33" s="75">
        <f>IF(C33="","",C33-B33)</f>
        <v>6.3800000000001091</v>
      </c>
      <c r="E33" s="76">
        <f>IF(C33="","",C33/B33)</f>
        <v>1.0049091272833599</v>
      </c>
      <c r="F33" s="77">
        <v>181.23</v>
      </c>
      <c r="G33" s="351">
        <v>0</v>
      </c>
      <c r="H33" s="352">
        <v>1</v>
      </c>
      <c r="I33" s="71"/>
      <c r="J33" s="71"/>
      <c r="K33" s="71"/>
      <c r="L33" s="71"/>
      <c r="M33" s="71"/>
    </row>
    <row r="34" spans="1:13" ht="14.4" customHeight="1" x14ac:dyDescent="0.3">
      <c r="A34" s="162" t="s">
        <v>91</v>
      </c>
      <c r="B34" s="189">
        <v>2754.29</v>
      </c>
      <c r="C34" s="189">
        <v>2642</v>
      </c>
      <c r="D34" s="78">
        <f t="shared" ref="D34:D45" si="0">IF(C34="","",C34-B34)</f>
        <v>-112.28999999999996</v>
      </c>
      <c r="E34" s="79">
        <f t="shared" ref="E34:E45" si="1">IF(C34="","",C34/B34)</f>
        <v>0.95923087256606965</v>
      </c>
      <c r="F34" s="80">
        <v>333.5</v>
      </c>
      <c r="G34" s="351">
        <v>1</v>
      </c>
      <c r="H34" s="352">
        <v>1</v>
      </c>
      <c r="I34" s="71"/>
      <c r="J34" s="71"/>
      <c r="K34" s="71"/>
      <c r="L34" s="71"/>
      <c r="M34" s="71"/>
    </row>
    <row r="35" spans="1:13" ht="14.4" customHeight="1" x14ac:dyDescent="0.3">
      <c r="A35" s="162" t="s">
        <v>92</v>
      </c>
      <c r="B35" s="189">
        <v>3943.23</v>
      </c>
      <c r="C35" s="189">
        <v>3800</v>
      </c>
      <c r="D35" s="78">
        <f t="shared" si="0"/>
        <v>-143.23000000000002</v>
      </c>
      <c r="E35" s="79">
        <f t="shared" si="1"/>
        <v>0.96367698561838899</v>
      </c>
      <c r="F35" s="80">
        <v>503.06</v>
      </c>
      <c r="G35" s="353"/>
      <c r="H35" s="353"/>
      <c r="I35" s="71"/>
      <c r="J35" s="71"/>
      <c r="K35" s="71"/>
      <c r="L35" s="71"/>
      <c r="M35" s="71"/>
    </row>
    <row r="36" spans="1:13" ht="14.4" customHeight="1" x14ac:dyDescent="0.3">
      <c r="A36" s="162" t="s">
        <v>93</v>
      </c>
      <c r="B36" s="189">
        <v>5472.64</v>
      </c>
      <c r="C36" s="189">
        <v>5222</v>
      </c>
      <c r="D36" s="78">
        <f t="shared" si="0"/>
        <v>-250.64000000000033</v>
      </c>
      <c r="E36" s="79">
        <f t="shared" si="1"/>
        <v>0.95420126301017416</v>
      </c>
      <c r="F36" s="80">
        <v>651.95000000000005</v>
      </c>
      <c r="G36" s="353"/>
      <c r="H36" s="353"/>
      <c r="I36" s="71"/>
      <c r="J36" s="71"/>
      <c r="K36" s="71"/>
      <c r="L36" s="71"/>
      <c r="M36" s="71"/>
    </row>
    <row r="37" spans="1:13" ht="14.4" customHeight="1" x14ac:dyDescent="0.3">
      <c r="A37" s="162" t="s">
        <v>94</v>
      </c>
      <c r="B37" s="189">
        <v>7355.28</v>
      </c>
      <c r="C37" s="189">
        <v>6886</v>
      </c>
      <c r="D37" s="78">
        <f t="shared" si="0"/>
        <v>-469.27999999999975</v>
      </c>
      <c r="E37" s="79">
        <f t="shared" si="1"/>
        <v>0.93619821407206794</v>
      </c>
      <c r="F37" s="80">
        <v>770.1</v>
      </c>
      <c r="G37" s="353"/>
      <c r="H37" s="353"/>
      <c r="I37" s="71"/>
      <c r="J37" s="71"/>
      <c r="K37" s="71"/>
      <c r="L37" s="71"/>
      <c r="M37" s="71"/>
    </row>
    <row r="38" spans="1:13" ht="14.4" customHeight="1" x14ac:dyDescent="0.3">
      <c r="A38" s="162" t="s">
        <v>95</v>
      </c>
      <c r="B38" s="189"/>
      <c r="C38" s="189"/>
      <c r="D38" s="78" t="str">
        <f t="shared" si="0"/>
        <v/>
      </c>
      <c r="E38" s="79" t="str">
        <f t="shared" si="1"/>
        <v/>
      </c>
      <c r="F38" s="80"/>
      <c r="G38" s="353"/>
      <c r="H38" s="353"/>
      <c r="I38" s="71"/>
      <c r="J38" s="71"/>
      <c r="K38" s="71"/>
      <c r="L38" s="71"/>
      <c r="M38" s="71"/>
    </row>
    <row r="39" spans="1:13" ht="14.4" customHeight="1" x14ac:dyDescent="0.3">
      <c r="A39" s="162" t="s">
        <v>96</v>
      </c>
      <c r="B39" s="189"/>
      <c r="C39" s="189"/>
      <c r="D39" s="78" t="str">
        <f t="shared" si="0"/>
        <v/>
      </c>
      <c r="E39" s="79" t="str">
        <f t="shared" si="1"/>
        <v/>
      </c>
      <c r="F39" s="80"/>
      <c r="G39" s="353"/>
      <c r="H39" s="353"/>
      <c r="I39" s="71"/>
      <c r="J39" s="71"/>
      <c r="K39" s="71"/>
      <c r="L39" s="71"/>
      <c r="M39" s="71"/>
    </row>
    <row r="40" spans="1:13" ht="14.4" customHeight="1" x14ac:dyDescent="0.3">
      <c r="A40" s="162" t="s">
        <v>97</v>
      </c>
      <c r="B40" s="189"/>
      <c r="C40" s="189"/>
      <c r="D40" s="78" t="str">
        <f t="shared" si="0"/>
        <v/>
      </c>
      <c r="E40" s="79" t="str">
        <f t="shared" si="1"/>
        <v/>
      </c>
      <c r="F40" s="80"/>
      <c r="G40" s="353"/>
      <c r="H40" s="353"/>
      <c r="I40" s="71"/>
      <c r="J40" s="71"/>
      <c r="K40" s="71"/>
      <c r="L40" s="71"/>
      <c r="M40" s="71"/>
    </row>
    <row r="41" spans="1:13" ht="14.4" customHeight="1" x14ac:dyDescent="0.3">
      <c r="A41" s="162" t="s">
        <v>98</v>
      </c>
      <c r="B41" s="189"/>
      <c r="C41" s="189"/>
      <c r="D41" s="78" t="str">
        <f t="shared" si="0"/>
        <v/>
      </c>
      <c r="E41" s="79" t="str">
        <f t="shared" si="1"/>
        <v/>
      </c>
      <c r="F41" s="80"/>
      <c r="G41" s="353"/>
      <c r="H41" s="353"/>
      <c r="I41" s="71"/>
      <c r="J41" s="71"/>
      <c r="K41" s="71"/>
      <c r="L41" s="71"/>
      <c r="M41" s="71"/>
    </row>
    <row r="42" spans="1:13" ht="14.4" customHeight="1" x14ac:dyDescent="0.3">
      <c r="A42" s="162" t="s">
        <v>99</v>
      </c>
      <c r="B42" s="189"/>
      <c r="C42" s="189"/>
      <c r="D42" s="78" t="str">
        <f t="shared" si="0"/>
        <v/>
      </c>
      <c r="E42" s="79" t="str">
        <f t="shared" si="1"/>
        <v/>
      </c>
      <c r="F42" s="80"/>
      <c r="G42" s="353"/>
      <c r="H42" s="353"/>
      <c r="I42" s="71"/>
      <c r="J42" s="71"/>
      <c r="K42" s="71"/>
      <c r="L42" s="71"/>
      <c r="M42" s="71"/>
    </row>
    <row r="43" spans="1:13" ht="14.4" customHeight="1" x14ac:dyDescent="0.3">
      <c r="A43" s="162" t="s">
        <v>100</v>
      </c>
      <c r="B43" s="189"/>
      <c r="C43" s="189"/>
      <c r="D43" s="78" t="str">
        <f t="shared" si="0"/>
        <v/>
      </c>
      <c r="E43" s="79" t="str">
        <f t="shared" si="1"/>
        <v/>
      </c>
      <c r="F43" s="80"/>
      <c r="G43" s="353"/>
      <c r="H43" s="353"/>
      <c r="I43" s="71"/>
      <c r="J43" s="71"/>
      <c r="K43" s="71"/>
      <c r="L43" s="71"/>
      <c r="M43" s="71"/>
    </row>
    <row r="44" spans="1:13" ht="14.4" customHeight="1" x14ac:dyDescent="0.3">
      <c r="A44" s="162" t="s">
        <v>101</v>
      </c>
      <c r="B44" s="189"/>
      <c r="C44" s="189"/>
      <c r="D44" s="78" t="str">
        <f t="shared" si="0"/>
        <v/>
      </c>
      <c r="E44" s="79" t="str">
        <f t="shared" si="1"/>
        <v/>
      </c>
      <c r="F44" s="80"/>
      <c r="G44" s="353"/>
      <c r="H44" s="353"/>
      <c r="I44" s="71"/>
      <c r="J44" s="71"/>
      <c r="K44" s="71"/>
      <c r="L44" s="71"/>
      <c r="M44" s="71"/>
    </row>
    <row r="45" spans="1:13" ht="14.4" customHeight="1" thickBot="1" x14ac:dyDescent="0.35">
      <c r="A45" s="163" t="s">
        <v>104</v>
      </c>
      <c r="B45" s="190"/>
      <c r="C45" s="190"/>
      <c r="D45" s="81" t="str">
        <f t="shared" si="0"/>
        <v/>
      </c>
      <c r="E45" s="82" t="str">
        <f t="shared" si="1"/>
        <v/>
      </c>
      <c r="F45" s="83"/>
      <c r="G45" s="353"/>
      <c r="H45" s="35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8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9" bestFit="1" customWidth="1"/>
    <col min="2" max="2" width="11.6640625" style="259" hidden="1" customWidth="1"/>
    <col min="3" max="4" width="11" style="261" customWidth="1"/>
    <col min="5" max="5" width="11" style="262" customWidth="1"/>
    <col min="6" max="16384" width="8.88671875" style="259"/>
  </cols>
  <sheetData>
    <row r="1" spans="1:5" ht="18.600000000000001" thickBot="1" x14ac:dyDescent="0.4">
      <c r="A1" s="452" t="s">
        <v>136</v>
      </c>
      <c r="B1" s="452"/>
      <c r="C1" s="453"/>
      <c r="D1" s="453"/>
      <c r="E1" s="453"/>
    </row>
    <row r="2" spans="1:5" ht="14.4" customHeight="1" thickBot="1" x14ac:dyDescent="0.35">
      <c r="A2" s="361" t="s">
        <v>306</v>
      </c>
      <c r="B2" s="260"/>
    </row>
    <row r="3" spans="1:5" ht="14.4" customHeight="1" thickBot="1" x14ac:dyDescent="0.35">
      <c r="A3" s="263"/>
      <c r="C3" s="264" t="s">
        <v>118</v>
      </c>
      <c r="D3" s="265" t="s">
        <v>81</v>
      </c>
      <c r="E3" s="266" t="s">
        <v>83</v>
      </c>
    </row>
    <row r="4" spans="1:5" ht="14.4" customHeight="1" thickBot="1" x14ac:dyDescent="0.35">
      <c r="A4" s="267" t="str">
        <f>HYPERLINK("#HI!A1","NÁKLADY CELKEM (v tisících Kč)")</f>
        <v>NÁKLADY CELKEM (v tisících Kč)</v>
      </c>
      <c r="B4" s="268"/>
      <c r="C4" s="269">
        <f ca="1">IF(ISERROR(VLOOKUP("Náklady celkem",INDIRECT("HI!$A:$G"),6,0)),0,VLOOKUP("Náklady celkem",INDIRECT("HI!$A:$G"),6,0))</f>
        <v>23328.223835705561</v>
      </c>
      <c r="D4" s="269">
        <f ca="1">IF(ISERROR(VLOOKUP("Náklady celkem",INDIRECT("HI!$A:$G"),5,0)),0,VLOOKUP("Náklady celkem",INDIRECT("HI!$A:$G"),5,0))</f>
        <v>24635.048100000015</v>
      </c>
      <c r="E4" s="270">
        <f ca="1">IF(C4=0,0,D4/C4)</f>
        <v>1.0560190211435756</v>
      </c>
    </row>
    <row r="5" spans="1:5" ht="14.4" customHeight="1" x14ac:dyDescent="0.3">
      <c r="A5" s="271" t="s">
        <v>169</v>
      </c>
      <c r="B5" s="272"/>
      <c r="C5" s="273"/>
      <c r="D5" s="273"/>
      <c r="E5" s="274"/>
    </row>
    <row r="6" spans="1:5" ht="14.4" customHeight="1" x14ac:dyDescent="0.3">
      <c r="A6" s="275" t="s">
        <v>174</v>
      </c>
      <c r="B6" s="276"/>
      <c r="C6" s="277"/>
      <c r="D6" s="277"/>
      <c r="E6" s="274"/>
    </row>
    <row r="7" spans="1:5" ht="14.4" customHeight="1" x14ac:dyDescent="0.3">
      <c r="A7" s="2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6" t="s">
        <v>123</v>
      </c>
      <c r="C7" s="277">
        <f>IF(ISERROR(HI!F5),"",HI!F5)</f>
        <v>1073.1527568714885</v>
      </c>
      <c r="D7" s="277">
        <f>IF(ISERROR(HI!E5),"",HI!E5)</f>
        <v>1119.19103</v>
      </c>
      <c r="E7" s="274">
        <f t="shared" ref="E7:E13" si="0">IF(C7=0,0,D7/C7)</f>
        <v>1.0429000185050306</v>
      </c>
    </row>
    <row r="8" spans="1:5" ht="14.4" customHeight="1" x14ac:dyDescent="0.3">
      <c r="A8" s="278" t="str">
        <f>HYPERLINK("#'LŽ PL'!A1","% plnění pozitivního listu")</f>
        <v>% plnění pozitivního listu</v>
      </c>
      <c r="B8" s="276" t="s">
        <v>167</v>
      </c>
      <c r="C8" s="279">
        <v>0.9</v>
      </c>
      <c r="D8" s="279">
        <f>IF(ISERROR(VLOOKUP("celkem",'LŽ PL'!$A:$F,5,0)),0,VLOOKUP("celkem",'LŽ PL'!$A:$F,5,0))</f>
        <v>0.92744231467630667</v>
      </c>
      <c r="E8" s="274">
        <f t="shared" si="0"/>
        <v>1.0304914607514519</v>
      </c>
    </row>
    <row r="9" spans="1:5" ht="14.4" customHeight="1" x14ac:dyDescent="0.3">
      <c r="A9" s="443" t="str">
        <f>HYPERLINK("#'LŽ Statim'!A1","% podíl statimových žádanek")</f>
        <v>% podíl statimových žádanek</v>
      </c>
      <c r="B9" s="441" t="s">
        <v>282</v>
      </c>
      <c r="C9" s="442">
        <v>0.3</v>
      </c>
      <c r="D9" s="442">
        <f>IF('LŽ Statim'!G3="",0,'LŽ Statim'!G3)</f>
        <v>9.6876991714467814E-2</v>
      </c>
      <c r="E9" s="274">
        <f>IF(C9=0,0,D9/C9)</f>
        <v>0.32292330571489275</v>
      </c>
    </row>
    <row r="10" spans="1:5" ht="14.4" customHeight="1" x14ac:dyDescent="0.3">
      <c r="A10" s="280" t="s">
        <v>170</v>
      </c>
      <c r="B10" s="276"/>
      <c r="C10" s="277"/>
      <c r="D10" s="277"/>
      <c r="E10" s="274"/>
    </row>
    <row r="11" spans="1:5" ht="14.4" customHeight="1" x14ac:dyDescent="0.3">
      <c r="A11" s="280" t="s">
        <v>171</v>
      </c>
      <c r="B11" s="276"/>
      <c r="C11" s="277"/>
      <c r="D11" s="277"/>
      <c r="E11" s="274"/>
    </row>
    <row r="12" spans="1:5" ht="14.4" customHeight="1" x14ac:dyDescent="0.3">
      <c r="A12" s="281" t="s">
        <v>175</v>
      </c>
      <c r="B12" s="276"/>
      <c r="C12" s="273"/>
      <c r="D12" s="273"/>
      <c r="E12" s="274"/>
    </row>
    <row r="13" spans="1:5" ht="14.4" customHeight="1" x14ac:dyDescent="0.3">
      <c r="A13" s="28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6" t="s">
        <v>123</v>
      </c>
      <c r="C13" s="277">
        <f>IF(ISERROR(HI!F6),"",HI!F6)</f>
        <v>1771.4562008310368</v>
      </c>
      <c r="D13" s="277">
        <f>IF(ISERROR(HI!E6),"",HI!E6)</f>
        <v>1999.6514000000011</v>
      </c>
      <c r="E13" s="274">
        <f t="shared" si="0"/>
        <v>1.1288178612950814</v>
      </c>
    </row>
    <row r="14" spans="1:5" ht="14.4" customHeight="1" thickBot="1" x14ac:dyDescent="0.35">
      <c r="A14" s="283" t="str">
        <f>HYPERLINK("#HI!A1","Osobní náklady")</f>
        <v>Osobní náklady</v>
      </c>
      <c r="B14" s="276"/>
      <c r="C14" s="273">
        <f ca="1">IF(ISERROR(VLOOKUP("Osobní náklady (Kč) *",INDIRECT("HI!$A:$G"),6,0)),0,VLOOKUP("Osobní náklady (Kč) *",INDIRECT("HI!$A:$G"),6,0))</f>
        <v>16961.24946576175</v>
      </c>
      <c r="D14" s="273">
        <f ca="1">IF(ISERROR(VLOOKUP("Osobní náklady (Kč) *",INDIRECT("HI!$A:$G"),5,0)),0,VLOOKUP("Osobní náklady (Kč) *",INDIRECT("HI!$A:$G"),5,0))</f>
        <v>17671.260860000002</v>
      </c>
      <c r="E14" s="274">
        <f ca="1">IF(C14=0,0,D14/C14)</f>
        <v>1.0418607954367685</v>
      </c>
    </row>
    <row r="15" spans="1:5" ht="14.4" customHeight="1" thickBot="1" x14ac:dyDescent="0.35">
      <c r="A15" s="287"/>
      <c r="B15" s="288"/>
      <c r="C15" s="289"/>
      <c r="D15" s="289"/>
      <c r="E15" s="290"/>
    </row>
    <row r="16" spans="1:5" ht="14.4" customHeight="1" thickBot="1" x14ac:dyDescent="0.35">
      <c r="A16" s="291" t="str">
        <f>HYPERLINK("#HI!A1","VÝNOSY CELKEM (v tisících)")</f>
        <v>VÝNOSY CELKEM (v tisících)</v>
      </c>
      <c r="B16" s="292"/>
      <c r="C16" s="293">
        <f ca="1">IF(ISERROR(VLOOKUP("Výnosy celkem",INDIRECT("HI!$A:$G"),6,0)),0,VLOOKUP("Výnosy celkem",INDIRECT("HI!$A:$G"),6,0))</f>
        <v>23977.680000000004</v>
      </c>
      <c r="D16" s="293">
        <f ca="1">IF(ISERROR(VLOOKUP("Výnosy celkem",INDIRECT("HI!$A:$G"),5,0)),0,VLOOKUP("Výnosy celkem",INDIRECT("HI!$A:$G"),5,0))</f>
        <v>27365.46</v>
      </c>
      <c r="E16" s="294">
        <f t="shared" ref="E16:E25" ca="1" si="1">IF(C16=0,0,D16/C16)</f>
        <v>1.1412888986757683</v>
      </c>
    </row>
    <row r="17" spans="1:5" ht="14.4" customHeight="1" x14ac:dyDescent="0.3">
      <c r="A17" s="295" t="str">
        <f>HYPERLINK("#HI!A1","Ambulance (body za výkony + Kč za ZUM a ZULP)")</f>
        <v>Ambulance (body za výkony + Kč za ZUM a ZULP)</v>
      </c>
      <c r="B17" s="272"/>
      <c r="C17" s="273">
        <f ca="1">IF(ISERROR(VLOOKUP("Ambulance *",INDIRECT("HI!$A:$G"),6,0)),0,VLOOKUP("Ambulance *",INDIRECT("HI!$A:$G"),6,0))</f>
        <v>0</v>
      </c>
      <c r="D17" s="273">
        <f ca="1">IF(ISERROR(VLOOKUP("Ambulance *",INDIRECT("HI!$A:$G"),5,0)),0,VLOOKUP("Ambulance *",INDIRECT("HI!$A:$G"),5,0))</f>
        <v>0</v>
      </c>
      <c r="E17" s="274">
        <f t="shared" ca="1" si="1"/>
        <v>0</v>
      </c>
    </row>
    <row r="18" spans="1:5" ht="14.4" customHeight="1" x14ac:dyDescent="0.3">
      <c r="A18" s="296" t="str">
        <f>HYPERLINK("#'ZV Vykáz.-H'!A1","Zdravotní výkony vykázané u hospitalizovaných pacientů (max. 85 %)")</f>
        <v>Zdravotní výkony vykázané u hospitalizovaných pacientů (max. 85 %)</v>
      </c>
      <c r="B18" s="259" t="s">
        <v>138</v>
      </c>
      <c r="C18" s="279">
        <v>0.85</v>
      </c>
      <c r="D18" s="279">
        <f>IF(ISERROR(VLOOKUP("Celkem:",'ZV Vykáz.-H'!$A:$S,7,0)),"",VLOOKUP("Celkem:",'ZV Vykáz.-H'!$A:$S,7,0))</f>
        <v>0.83654116195985406</v>
      </c>
      <c r="E18" s="274">
        <f t="shared" si="1"/>
        <v>0.98416607289394598</v>
      </c>
    </row>
    <row r="19" spans="1:5" ht="14.4" customHeight="1" x14ac:dyDescent="0.3">
      <c r="A19" s="297" t="str">
        <f>HYPERLINK("#HI!A1","Hospitalizace (casemix * 30000)")</f>
        <v>Hospitalizace (casemix * 30000)</v>
      </c>
      <c r="B19" s="276"/>
      <c r="C19" s="273">
        <f ca="1">IF(ISERROR(VLOOKUP("Hospitalizace *",INDIRECT("HI!$A:$G"),6,0)),0,VLOOKUP("Hospitalizace *",INDIRECT("HI!$A:$G"),6,0))</f>
        <v>23977.680000000004</v>
      </c>
      <c r="D19" s="273">
        <f ca="1">IF(ISERROR(VLOOKUP("Hospitalizace *",INDIRECT("HI!$A:$G"),5,0)),0,VLOOKUP("Hospitalizace *",INDIRECT("HI!$A:$G"),5,0))</f>
        <v>27365.46</v>
      </c>
      <c r="E19" s="274">
        <f ca="1">IF(C19=0,0,D19/C19)</f>
        <v>1.1412888986757683</v>
      </c>
    </row>
    <row r="20" spans="1:5" ht="14.4" customHeight="1" x14ac:dyDescent="0.3">
      <c r="A20" s="296" t="str">
        <f>HYPERLINK("#'CaseMix'!A1","Casemix (min. 100 %)")</f>
        <v>Casemix (min. 100 %)</v>
      </c>
      <c r="B20" s="276" t="s">
        <v>58</v>
      </c>
      <c r="C20" s="279">
        <v>1</v>
      </c>
      <c r="D20" s="279">
        <f>IF(ISERROR(VLOOKUP("Celkem",CaseMix!A:M,5,0)),0,VLOOKUP("Celkem",CaseMix!A:M,5,0))</f>
        <v>1.1412888986757683</v>
      </c>
      <c r="E20" s="274">
        <f t="shared" si="1"/>
        <v>1.1412888986757683</v>
      </c>
    </row>
    <row r="21" spans="1:5" ht="14.4" customHeight="1" x14ac:dyDescent="0.3">
      <c r="A21" s="298" t="str">
        <f>HYPERLINK("#'CaseMix'!A1","DRG mimo vyjmenované baze")</f>
        <v>DRG mimo vyjmenované baze</v>
      </c>
      <c r="B21" s="276" t="s">
        <v>58</v>
      </c>
      <c r="C21" s="279">
        <v>1</v>
      </c>
      <c r="D21" s="279">
        <f>IF(ISERROR(CaseMix!E26),"",CaseMix!E26)</f>
        <v>1.1412888986757683</v>
      </c>
      <c r="E21" s="274">
        <f t="shared" si="1"/>
        <v>1.1412888986757683</v>
      </c>
    </row>
    <row r="22" spans="1:5" ht="14.4" customHeight="1" x14ac:dyDescent="0.3">
      <c r="A22" s="298" t="str">
        <f>HYPERLINK("#'CaseMix'!A1","Vyjmenované baze DRG")</f>
        <v>Vyjmenované baze DRG</v>
      </c>
      <c r="B22" s="276" t="s">
        <v>58</v>
      </c>
      <c r="C22" s="279">
        <v>1</v>
      </c>
      <c r="D22" s="279">
        <f>IF(ISERROR(CaseMix!E39),"",CaseMix!E39)</f>
        <v>0</v>
      </c>
      <c r="E22" s="274">
        <f t="shared" si="1"/>
        <v>0</v>
      </c>
    </row>
    <row r="23" spans="1:5" ht="14.4" customHeight="1" x14ac:dyDescent="0.3">
      <c r="A23" s="296" t="str">
        <f>HYPERLINK("#'CaseMix'!A1","Počet hospitalizací ukončených na pracovišti (min. 95 %)")</f>
        <v>Počet hospitalizací ukončených na pracovišti (min. 95 %)</v>
      </c>
      <c r="B23" s="276" t="s">
        <v>58</v>
      </c>
      <c r="C23" s="279">
        <v>0.95</v>
      </c>
      <c r="D23" s="279">
        <f>IF(ISERROR(CaseMix!I13),"",CaseMix!I13)</f>
        <v>1.0231532524807057</v>
      </c>
      <c r="E23" s="274">
        <f t="shared" si="1"/>
        <v>1.0770034236639008</v>
      </c>
    </row>
    <row r="24" spans="1:5" ht="14.4" customHeight="1" x14ac:dyDescent="0.3">
      <c r="A24" s="296" t="str">
        <f>HYPERLINK("#'ALOS'!A1","Průměrná délka hospitalizace (max. 100 % republikového průměru)")</f>
        <v>Průměrná délka hospitalizace (max. 100 % republikového průměru)</v>
      </c>
      <c r="B24" s="276" t="s">
        <v>73</v>
      </c>
      <c r="C24" s="279">
        <v>1</v>
      </c>
      <c r="D24" s="299">
        <f>IF(ISERROR(INDEX(ALOS!$E:$E,COUNT(ALOS!$E:$E)+32)),0,INDEX(ALOS!$E:$E,COUNT(ALOS!$E:$E)+32))</f>
        <v>0.93619821407206794</v>
      </c>
      <c r="E24" s="274">
        <f t="shared" si="1"/>
        <v>0.93619821407206794</v>
      </c>
    </row>
    <row r="25" spans="1:5" ht="27.6" x14ac:dyDescent="0.3">
      <c r="A25" s="30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5" s="276" t="s">
        <v>135</v>
      </c>
      <c r="C25" s="279">
        <f>IF(E20&gt;1,95%,95%-2*ABS(C20-D20))</f>
        <v>0.95</v>
      </c>
      <c r="D25" s="279">
        <f>IF(ISERROR(VLOOKUP("Celkem:",'ZV Vyžád.'!$A:$M,7,0)),"",VLOOKUP("Celkem:",'ZV Vyžád.'!$A:$M,7,0))</f>
        <v>0.9303012741996618</v>
      </c>
      <c r="E25" s="274">
        <f t="shared" si="1"/>
        <v>0.97926449915753877</v>
      </c>
    </row>
    <row r="26" spans="1:5" ht="14.4" customHeight="1" thickBot="1" x14ac:dyDescent="0.35">
      <c r="A26" s="301" t="s">
        <v>172</v>
      </c>
      <c r="B26" s="284"/>
      <c r="C26" s="285"/>
      <c r="D26" s="285"/>
      <c r="E26" s="286"/>
    </row>
    <row r="27" spans="1:5" ht="14.4" customHeight="1" thickBot="1" x14ac:dyDescent="0.35">
      <c r="A27" s="302"/>
      <c r="B27" s="303"/>
      <c r="C27" s="304"/>
      <c r="D27" s="304"/>
      <c r="E27" s="305"/>
    </row>
    <row r="28" spans="1:5" ht="14.4" customHeight="1" thickBot="1" x14ac:dyDescent="0.35">
      <c r="A28" s="306" t="s">
        <v>173</v>
      </c>
      <c r="B28" s="307"/>
      <c r="C28" s="308"/>
      <c r="D28" s="308"/>
      <c r="E28" s="309"/>
    </row>
  </sheetData>
  <mergeCells count="1">
    <mergeCell ref="A1:E1"/>
  </mergeCells>
  <conditionalFormatting sqref="E20:E23 E16 E8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6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20:E23 E8">
    <cfRule type="cellIs" dxfId="63" priority="20" operator="lessThan">
      <formula>1</formula>
    </cfRule>
  </conditionalFormatting>
  <conditionalFormatting sqref="E9">
    <cfRule type="cellIs" dxfId="6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4:E25 E4 E7 E13 E18">
    <cfRule type="cellIs" dxfId="6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87" customWidth="1"/>
    <col min="2" max="2" width="6.5546875" style="201" customWidth="1"/>
    <col min="3" max="3" width="5.88671875" style="201" customWidth="1"/>
    <col min="4" max="4" width="7.6640625" style="201" customWidth="1"/>
    <col min="5" max="5" width="6.5546875" style="90" customWidth="1"/>
    <col min="6" max="6" width="5.88671875" style="90" customWidth="1"/>
    <col min="7" max="7" width="7.6640625" style="90" customWidth="1"/>
    <col min="8" max="8" width="6.6640625" style="90" bestFit="1" customWidth="1"/>
    <col min="9" max="9" width="6" style="90" bestFit="1" customWidth="1"/>
    <col min="10" max="10" width="7.77734375" style="90" bestFit="1" customWidth="1"/>
    <col min="11" max="11" width="9.109375" style="90" bestFit="1" customWidth="1"/>
    <col min="12" max="12" width="3.88671875" style="90" bestFit="1" customWidth="1"/>
    <col min="13" max="13" width="4.33203125" style="90" bestFit="1" customWidth="1"/>
    <col min="14" max="14" width="5.44140625" style="90" bestFit="1" customWidth="1"/>
    <col min="15" max="15" width="4" style="90" bestFit="1" customWidth="1"/>
    <col min="16" max="16" width="55.44140625" style="84" customWidth="1"/>
    <col min="17" max="17" width="7.88671875" style="88" bestFit="1" customWidth="1"/>
    <col min="18" max="18" width="6" style="88" bestFit="1" customWidth="1"/>
    <col min="19" max="19" width="9.5546875" style="201" customWidth="1"/>
    <col min="20" max="20" width="9.6640625" style="201" customWidth="1"/>
    <col min="21" max="21" width="7.6640625" style="201" bestFit="1" customWidth="1"/>
    <col min="22" max="22" width="6.109375" style="91" bestFit="1" customWidth="1"/>
    <col min="23" max="23" width="17.21875" style="89" bestFit="1" customWidth="1"/>
    <col min="24" max="16384" width="8.88671875" style="84"/>
  </cols>
  <sheetData>
    <row r="1" spans="1:23" s="303" customFormat="1" ht="18.600000000000001" customHeight="1" thickBot="1" x14ac:dyDescent="0.4">
      <c r="A1" s="506" t="s">
        <v>1855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ht="14.4" customHeight="1" thickBot="1" x14ac:dyDescent="0.35">
      <c r="A2" s="361" t="s">
        <v>306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4"/>
      <c r="Q2" s="354"/>
      <c r="R2" s="354"/>
      <c r="S2" s="355"/>
      <c r="T2" s="355"/>
      <c r="U2" s="355"/>
      <c r="V2" s="354"/>
      <c r="W2" s="356"/>
    </row>
    <row r="3" spans="1:23" s="85" customFormat="1" ht="14.4" customHeight="1" x14ac:dyDescent="0.3">
      <c r="A3" s="552" t="s">
        <v>62</v>
      </c>
      <c r="B3" s="553">
        <v>2013</v>
      </c>
      <c r="C3" s="554"/>
      <c r="D3" s="555"/>
      <c r="E3" s="553">
        <v>2014</v>
      </c>
      <c r="F3" s="554"/>
      <c r="G3" s="555"/>
      <c r="H3" s="553">
        <v>2015</v>
      </c>
      <c r="I3" s="554"/>
      <c r="J3" s="555"/>
      <c r="K3" s="556" t="s">
        <v>63</v>
      </c>
      <c r="L3" s="548" t="s">
        <v>64</v>
      </c>
      <c r="M3" s="548" t="s">
        <v>65</v>
      </c>
      <c r="N3" s="548" t="s">
        <v>66</v>
      </c>
      <c r="O3" s="252" t="s">
        <v>67</v>
      </c>
      <c r="P3" s="549" t="s">
        <v>68</v>
      </c>
      <c r="Q3" s="550" t="s">
        <v>69</v>
      </c>
      <c r="R3" s="551"/>
      <c r="S3" s="546" t="s">
        <v>70</v>
      </c>
      <c r="T3" s="547"/>
      <c r="U3" s="547"/>
      <c r="V3" s="547"/>
      <c r="W3" s="202" t="s">
        <v>70</v>
      </c>
    </row>
    <row r="4" spans="1:23" s="86" customFormat="1" ht="14.4" customHeight="1" thickBot="1" x14ac:dyDescent="0.35">
      <c r="A4" s="736"/>
      <c r="B4" s="737" t="s">
        <v>71</v>
      </c>
      <c r="C4" s="738" t="s">
        <v>59</v>
      </c>
      <c r="D4" s="739" t="s">
        <v>72</v>
      </c>
      <c r="E4" s="737" t="s">
        <v>71</v>
      </c>
      <c r="F4" s="738" t="s">
        <v>59</v>
      </c>
      <c r="G4" s="739" t="s">
        <v>72</v>
      </c>
      <c r="H4" s="737" t="s">
        <v>71</v>
      </c>
      <c r="I4" s="738" t="s">
        <v>59</v>
      </c>
      <c r="J4" s="739" t="s">
        <v>72</v>
      </c>
      <c r="K4" s="740"/>
      <c r="L4" s="741"/>
      <c r="M4" s="741"/>
      <c r="N4" s="741"/>
      <c r="O4" s="742"/>
      <c r="P4" s="743"/>
      <c r="Q4" s="744" t="s">
        <v>60</v>
      </c>
      <c r="R4" s="745" t="s">
        <v>59</v>
      </c>
      <c r="S4" s="746" t="s">
        <v>73</v>
      </c>
      <c r="T4" s="747" t="s">
        <v>74</v>
      </c>
      <c r="U4" s="747" t="s">
        <v>75</v>
      </c>
      <c r="V4" s="748" t="s">
        <v>2</v>
      </c>
      <c r="W4" s="749" t="s">
        <v>76</v>
      </c>
    </row>
    <row r="5" spans="1:23" ht="14.4" customHeight="1" x14ac:dyDescent="0.3">
      <c r="A5" s="776" t="s">
        <v>1784</v>
      </c>
      <c r="B5" s="379"/>
      <c r="C5" s="750"/>
      <c r="D5" s="751"/>
      <c r="E5" s="752">
        <v>1</v>
      </c>
      <c r="F5" s="753">
        <v>0.53</v>
      </c>
      <c r="G5" s="754">
        <v>3</v>
      </c>
      <c r="H5" s="755"/>
      <c r="I5" s="756"/>
      <c r="J5" s="757"/>
      <c r="K5" s="758">
        <v>0.53</v>
      </c>
      <c r="L5" s="755">
        <v>3</v>
      </c>
      <c r="M5" s="755">
        <v>23</v>
      </c>
      <c r="N5" s="759">
        <v>7.6</v>
      </c>
      <c r="O5" s="755" t="s">
        <v>1785</v>
      </c>
      <c r="P5" s="760" t="s">
        <v>1786</v>
      </c>
      <c r="Q5" s="761">
        <f>H5-B5</f>
        <v>0</v>
      </c>
      <c r="R5" s="761">
        <f>I5-C5</f>
        <v>0</v>
      </c>
      <c r="S5" s="379" t="str">
        <f>IF(H5=0,"",H5*N5)</f>
        <v/>
      </c>
      <c r="T5" s="379" t="str">
        <f>IF(H5=0,"",H5*J5)</f>
        <v/>
      </c>
      <c r="U5" s="379" t="str">
        <f>IF(H5=0,"",T5-S5)</f>
        <v/>
      </c>
      <c r="V5" s="762" t="str">
        <f>IF(H5=0,"",T5/S5)</f>
        <v/>
      </c>
      <c r="W5" s="763"/>
    </row>
    <row r="6" spans="1:23" ht="14.4" customHeight="1" x14ac:dyDescent="0.3">
      <c r="A6" s="777" t="s">
        <v>1787</v>
      </c>
      <c r="B6" s="729">
        <v>1</v>
      </c>
      <c r="C6" s="730">
        <v>0.12</v>
      </c>
      <c r="D6" s="731">
        <v>4</v>
      </c>
      <c r="E6" s="734"/>
      <c r="F6" s="715"/>
      <c r="G6" s="716"/>
      <c r="H6" s="711">
        <v>7</v>
      </c>
      <c r="I6" s="712">
        <v>0.84</v>
      </c>
      <c r="J6" s="721">
        <v>2.4</v>
      </c>
      <c r="K6" s="717">
        <v>0.12</v>
      </c>
      <c r="L6" s="714">
        <v>1</v>
      </c>
      <c r="M6" s="714">
        <v>5</v>
      </c>
      <c r="N6" s="718">
        <v>1.71</v>
      </c>
      <c r="O6" s="714" t="s">
        <v>1785</v>
      </c>
      <c r="P6" s="732" t="s">
        <v>1788</v>
      </c>
      <c r="Q6" s="719">
        <f t="shared" ref="Q6:R39" si="0">H6-B6</f>
        <v>6</v>
      </c>
      <c r="R6" s="719">
        <f t="shared" si="0"/>
        <v>0.72</v>
      </c>
      <c r="S6" s="729">
        <f t="shared" ref="S6:S39" si="1">IF(H6=0,"",H6*N6)</f>
        <v>11.969999999999999</v>
      </c>
      <c r="T6" s="729">
        <f t="shared" ref="T6:T39" si="2">IF(H6=0,"",H6*J6)</f>
        <v>16.8</v>
      </c>
      <c r="U6" s="729">
        <f t="shared" ref="U6:U39" si="3">IF(H6=0,"",T6-S6)</f>
        <v>4.8300000000000018</v>
      </c>
      <c r="V6" s="733">
        <f t="shared" ref="V6:V39" si="4">IF(H6=0,"",T6/S6)</f>
        <v>1.4035087719298247</v>
      </c>
      <c r="W6" s="720">
        <v>5.74</v>
      </c>
    </row>
    <row r="7" spans="1:23" ht="14.4" customHeight="1" x14ac:dyDescent="0.3">
      <c r="A7" s="778" t="s">
        <v>1789</v>
      </c>
      <c r="B7" s="764">
        <v>1</v>
      </c>
      <c r="C7" s="765">
        <v>0.18</v>
      </c>
      <c r="D7" s="735">
        <v>3</v>
      </c>
      <c r="E7" s="766">
        <v>1</v>
      </c>
      <c r="F7" s="767">
        <v>0.18</v>
      </c>
      <c r="G7" s="722">
        <v>3</v>
      </c>
      <c r="H7" s="768">
        <v>5</v>
      </c>
      <c r="I7" s="769">
        <v>1.47</v>
      </c>
      <c r="J7" s="723">
        <v>3.4</v>
      </c>
      <c r="K7" s="770">
        <v>0.18</v>
      </c>
      <c r="L7" s="771">
        <v>1</v>
      </c>
      <c r="M7" s="771">
        <v>6</v>
      </c>
      <c r="N7" s="772">
        <v>1.93</v>
      </c>
      <c r="O7" s="771" t="s">
        <v>1785</v>
      </c>
      <c r="P7" s="773" t="s">
        <v>1790</v>
      </c>
      <c r="Q7" s="774">
        <f t="shared" si="0"/>
        <v>4</v>
      </c>
      <c r="R7" s="774">
        <f t="shared" si="0"/>
        <v>1.29</v>
      </c>
      <c r="S7" s="764">
        <f t="shared" si="1"/>
        <v>9.65</v>
      </c>
      <c r="T7" s="764">
        <f t="shared" si="2"/>
        <v>17</v>
      </c>
      <c r="U7" s="764">
        <f t="shared" si="3"/>
        <v>7.35</v>
      </c>
      <c r="V7" s="775">
        <f t="shared" si="4"/>
        <v>1.7616580310880829</v>
      </c>
      <c r="W7" s="724">
        <v>7.35</v>
      </c>
    </row>
    <row r="8" spans="1:23" ht="14.4" customHeight="1" x14ac:dyDescent="0.3">
      <c r="A8" s="778" t="s">
        <v>1791</v>
      </c>
      <c r="B8" s="764">
        <v>3</v>
      </c>
      <c r="C8" s="765">
        <v>1.47</v>
      </c>
      <c r="D8" s="735">
        <v>3</v>
      </c>
      <c r="E8" s="766">
        <v>2</v>
      </c>
      <c r="F8" s="767">
        <v>0.96</v>
      </c>
      <c r="G8" s="722">
        <v>2.5</v>
      </c>
      <c r="H8" s="768">
        <v>3</v>
      </c>
      <c r="I8" s="769">
        <v>1.07</v>
      </c>
      <c r="J8" s="723">
        <v>2</v>
      </c>
      <c r="K8" s="770">
        <v>0.31</v>
      </c>
      <c r="L8" s="771">
        <v>1</v>
      </c>
      <c r="M8" s="771">
        <v>5</v>
      </c>
      <c r="N8" s="772">
        <v>1.54</v>
      </c>
      <c r="O8" s="771" t="s">
        <v>1785</v>
      </c>
      <c r="P8" s="773" t="s">
        <v>1792</v>
      </c>
      <c r="Q8" s="774">
        <f t="shared" si="0"/>
        <v>0</v>
      </c>
      <c r="R8" s="774">
        <f t="shared" si="0"/>
        <v>-0.39999999999999991</v>
      </c>
      <c r="S8" s="764">
        <f t="shared" si="1"/>
        <v>4.62</v>
      </c>
      <c r="T8" s="764">
        <f t="shared" si="2"/>
        <v>6</v>
      </c>
      <c r="U8" s="764">
        <f t="shared" si="3"/>
        <v>1.38</v>
      </c>
      <c r="V8" s="775">
        <f t="shared" si="4"/>
        <v>1.2987012987012987</v>
      </c>
      <c r="W8" s="724">
        <v>1.38</v>
      </c>
    </row>
    <row r="9" spans="1:23" ht="14.4" customHeight="1" x14ac:dyDescent="0.3">
      <c r="A9" s="777" t="s">
        <v>1793</v>
      </c>
      <c r="B9" s="729"/>
      <c r="C9" s="730"/>
      <c r="D9" s="731"/>
      <c r="E9" s="711">
        <v>2</v>
      </c>
      <c r="F9" s="712">
        <v>76.22</v>
      </c>
      <c r="G9" s="713">
        <v>65.5</v>
      </c>
      <c r="H9" s="714"/>
      <c r="I9" s="715"/>
      <c r="J9" s="716"/>
      <c r="K9" s="717">
        <v>38.11</v>
      </c>
      <c r="L9" s="714">
        <v>28</v>
      </c>
      <c r="M9" s="714">
        <v>253</v>
      </c>
      <c r="N9" s="718">
        <v>84.26</v>
      </c>
      <c r="O9" s="714" t="s">
        <v>1785</v>
      </c>
      <c r="P9" s="732" t="s">
        <v>1794</v>
      </c>
      <c r="Q9" s="719">
        <f t="shared" si="0"/>
        <v>0</v>
      </c>
      <c r="R9" s="719">
        <f t="shared" si="0"/>
        <v>0</v>
      </c>
      <c r="S9" s="729" t="str">
        <f t="shared" si="1"/>
        <v/>
      </c>
      <c r="T9" s="729" t="str">
        <f t="shared" si="2"/>
        <v/>
      </c>
      <c r="U9" s="729" t="str">
        <f t="shared" si="3"/>
        <v/>
      </c>
      <c r="V9" s="733" t="str">
        <f t="shared" si="4"/>
        <v/>
      </c>
      <c r="W9" s="720"/>
    </row>
    <row r="10" spans="1:23" ht="14.4" customHeight="1" x14ac:dyDescent="0.3">
      <c r="A10" s="777" t="s">
        <v>1795</v>
      </c>
      <c r="B10" s="729">
        <v>1</v>
      </c>
      <c r="C10" s="730">
        <v>7.7</v>
      </c>
      <c r="D10" s="731">
        <v>5</v>
      </c>
      <c r="E10" s="711"/>
      <c r="F10" s="712"/>
      <c r="G10" s="713"/>
      <c r="H10" s="714"/>
      <c r="I10" s="715"/>
      <c r="J10" s="716"/>
      <c r="K10" s="717">
        <v>12.72</v>
      </c>
      <c r="L10" s="714">
        <v>9</v>
      </c>
      <c r="M10" s="714">
        <v>77</v>
      </c>
      <c r="N10" s="718">
        <v>25.67</v>
      </c>
      <c r="O10" s="714" t="s">
        <v>1785</v>
      </c>
      <c r="P10" s="732" t="s">
        <v>1796</v>
      </c>
      <c r="Q10" s="719">
        <f t="shared" si="0"/>
        <v>-1</v>
      </c>
      <c r="R10" s="719">
        <f t="shared" si="0"/>
        <v>-7.7</v>
      </c>
      <c r="S10" s="729" t="str">
        <f t="shared" si="1"/>
        <v/>
      </c>
      <c r="T10" s="729" t="str">
        <f t="shared" si="2"/>
        <v/>
      </c>
      <c r="U10" s="729" t="str">
        <f t="shared" si="3"/>
        <v/>
      </c>
      <c r="V10" s="733" t="str">
        <f t="shared" si="4"/>
        <v/>
      </c>
      <c r="W10" s="720"/>
    </row>
    <row r="11" spans="1:23" ht="14.4" customHeight="1" x14ac:dyDescent="0.3">
      <c r="A11" s="778" t="s">
        <v>1797</v>
      </c>
      <c r="B11" s="764">
        <v>10</v>
      </c>
      <c r="C11" s="765">
        <v>219.22</v>
      </c>
      <c r="D11" s="735">
        <v>76</v>
      </c>
      <c r="E11" s="768">
        <v>11</v>
      </c>
      <c r="F11" s="769">
        <v>240.08</v>
      </c>
      <c r="G11" s="725">
        <v>48.3</v>
      </c>
      <c r="H11" s="771">
        <v>10</v>
      </c>
      <c r="I11" s="767">
        <v>222.5</v>
      </c>
      <c r="J11" s="722">
        <v>57.6</v>
      </c>
      <c r="K11" s="770">
        <v>23.14</v>
      </c>
      <c r="L11" s="771">
        <v>22</v>
      </c>
      <c r="M11" s="771">
        <v>198</v>
      </c>
      <c r="N11" s="772">
        <v>65.87</v>
      </c>
      <c r="O11" s="771" t="s">
        <v>1785</v>
      </c>
      <c r="P11" s="773" t="s">
        <v>1798</v>
      </c>
      <c r="Q11" s="774">
        <f t="shared" si="0"/>
        <v>0</v>
      </c>
      <c r="R11" s="774">
        <f t="shared" si="0"/>
        <v>3.2800000000000011</v>
      </c>
      <c r="S11" s="764">
        <f t="shared" si="1"/>
        <v>658.7</v>
      </c>
      <c r="T11" s="764">
        <f t="shared" si="2"/>
        <v>576</v>
      </c>
      <c r="U11" s="764">
        <f t="shared" si="3"/>
        <v>-82.700000000000045</v>
      </c>
      <c r="V11" s="775">
        <f t="shared" si="4"/>
        <v>0.87444967359951409</v>
      </c>
      <c r="W11" s="724">
        <v>69.52</v>
      </c>
    </row>
    <row r="12" spans="1:23" ht="14.4" customHeight="1" x14ac:dyDescent="0.3">
      <c r="A12" s="777" t="s">
        <v>1799</v>
      </c>
      <c r="B12" s="729"/>
      <c r="C12" s="730"/>
      <c r="D12" s="731"/>
      <c r="E12" s="734">
        <v>1</v>
      </c>
      <c r="F12" s="715">
        <v>12.19</v>
      </c>
      <c r="G12" s="716">
        <v>17</v>
      </c>
      <c r="H12" s="711">
        <v>1</v>
      </c>
      <c r="I12" s="712">
        <v>12.13</v>
      </c>
      <c r="J12" s="721">
        <v>69</v>
      </c>
      <c r="K12" s="717">
        <v>12.13</v>
      </c>
      <c r="L12" s="714">
        <v>10</v>
      </c>
      <c r="M12" s="714">
        <v>92</v>
      </c>
      <c r="N12" s="718">
        <v>30.67</v>
      </c>
      <c r="O12" s="714" t="s">
        <v>1785</v>
      </c>
      <c r="P12" s="732" t="s">
        <v>1800</v>
      </c>
      <c r="Q12" s="719">
        <f t="shared" si="0"/>
        <v>1</v>
      </c>
      <c r="R12" s="719">
        <f t="shared" si="0"/>
        <v>12.13</v>
      </c>
      <c r="S12" s="729">
        <f t="shared" si="1"/>
        <v>30.67</v>
      </c>
      <c r="T12" s="729">
        <f t="shared" si="2"/>
        <v>69</v>
      </c>
      <c r="U12" s="729">
        <f t="shared" si="3"/>
        <v>38.33</v>
      </c>
      <c r="V12" s="733">
        <f t="shared" si="4"/>
        <v>2.2497554613628954</v>
      </c>
      <c r="W12" s="720">
        <v>38.33</v>
      </c>
    </row>
    <row r="13" spans="1:23" ht="14.4" customHeight="1" x14ac:dyDescent="0.3">
      <c r="A13" s="777" t="s">
        <v>1801</v>
      </c>
      <c r="B13" s="729">
        <v>2</v>
      </c>
      <c r="C13" s="730">
        <v>8.58</v>
      </c>
      <c r="D13" s="731">
        <v>47.5</v>
      </c>
      <c r="E13" s="734">
        <v>2</v>
      </c>
      <c r="F13" s="715">
        <v>8.48</v>
      </c>
      <c r="G13" s="716">
        <v>42</v>
      </c>
      <c r="H13" s="711">
        <v>1</v>
      </c>
      <c r="I13" s="712">
        <v>4.24</v>
      </c>
      <c r="J13" s="713">
        <v>26</v>
      </c>
      <c r="K13" s="717">
        <v>4.24</v>
      </c>
      <c r="L13" s="714">
        <v>9</v>
      </c>
      <c r="M13" s="714">
        <v>82</v>
      </c>
      <c r="N13" s="718">
        <v>27.28</v>
      </c>
      <c r="O13" s="714" t="s">
        <v>1785</v>
      </c>
      <c r="P13" s="732" t="s">
        <v>1802</v>
      </c>
      <c r="Q13" s="719">
        <f t="shared" si="0"/>
        <v>-1</v>
      </c>
      <c r="R13" s="719">
        <f t="shared" si="0"/>
        <v>-4.34</v>
      </c>
      <c r="S13" s="729">
        <f t="shared" si="1"/>
        <v>27.28</v>
      </c>
      <c r="T13" s="729">
        <f t="shared" si="2"/>
        <v>26</v>
      </c>
      <c r="U13" s="729">
        <f t="shared" si="3"/>
        <v>-1.2800000000000011</v>
      </c>
      <c r="V13" s="733">
        <f t="shared" si="4"/>
        <v>0.95307917888563043</v>
      </c>
      <c r="W13" s="720"/>
    </row>
    <row r="14" spans="1:23" ht="14.4" customHeight="1" x14ac:dyDescent="0.3">
      <c r="A14" s="778" t="s">
        <v>1803</v>
      </c>
      <c r="B14" s="764">
        <v>18</v>
      </c>
      <c r="C14" s="765">
        <v>178.36</v>
      </c>
      <c r="D14" s="735">
        <v>42.6</v>
      </c>
      <c r="E14" s="766">
        <v>16</v>
      </c>
      <c r="F14" s="767">
        <v>158.55000000000001</v>
      </c>
      <c r="G14" s="722">
        <v>43.9</v>
      </c>
      <c r="H14" s="768">
        <v>20</v>
      </c>
      <c r="I14" s="769">
        <v>192.6</v>
      </c>
      <c r="J14" s="725">
        <v>34.5</v>
      </c>
      <c r="K14" s="770">
        <v>9.8699999999999992</v>
      </c>
      <c r="L14" s="771">
        <v>14</v>
      </c>
      <c r="M14" s="771">
        <v>124</v>
      </c>
      <c r="N14" s="772">
        <v>41.33</v>
      </c>
      <c r="O14" s="771" t="s">
        <v>1785</v>
      </c>
      <c r="P14" s="773" t="s">
        <v>1804</v>
      </c>
      <c r="Q14" s="774">
        <f t="shared" si="0"/>
        <v>2</v>
      </c>
      <c r="R14" s="774">
        <f t="shared" si="0"/>
        <v>14.239999999999981</v>
      </c>
      <c r="S14" s="764">
        <f t="shared" si="1"/>
        <v>826.59999999999991</v>
      </c>
      <c r="T14" s="764">
        <f t="shared" si="2"/>
        <v>690</v>
      </c>
      <c r="U14" s="764">
        <f t="shared" si="3"/>
        <v>-136.59999999999991</v>
      </c>
      <c r="V14" s="775">
        <f t="shared" si="4"/>
        <v>0.83474473747882905</v>
      </c>
      <c r="W14" s="724">
        <v>41.69</v>
      </c>
    </row>
    <row r="15" spans="1:23" ht="14.4" customHeight="1" x14ac:dyDescent="0.3">
      <c r="A15" s="777" t="s">
        <v>1805</v>
      </c>
      <c r="B15" s="729"/>
      <c r="C15" s="730"/>
      <c r="D15" s="731"/>
      <c r="E15" s="734"/>
      <c r="F15" s="715"/>
      <c r="G15" s="716"/>
      <c r="H15" s="711">
        <v>2</v>
      </c>
      <c r="I15" s="712">
        <v>37.1</v>
      </c>
      <c r="J15" s="713">
        <v>39</v>
      </c>
      <c r="K15" s="717">
        <v>18.55</v>
      </c>
      <c r="L15" s="714">
        <v>14</v>
      </c>
      <c r="M15" s="714">
        <v>126</v>
      </c>
      <c r="N15" s="718">
        <v>42.04</v>
      </c>
      <c r="O15" s="714" t="s">
        <v>1785</v>
      </c>
      <c r="P15" s="732" t="s">
        <v>1806</v>
      </c>
      <c r="Q15" s="719">
        <f t="shared" si="0"/>
        <v>2</v>
      </c>
      <c r="R15" s="719">
        <f t="shared" si="0"/>
        <v>37.1</v>
      </c>
      <c r="S15" s="729">
        <f t="shared" si="1"/>
        <v>84.08</v>
      </c>
      <c r="T15" s="729">
        <f t="shared" si="2"/>
        <v>78</v>
      </c>
      <c r="U15" s="729">
        <f t="shared" si="3"/>
        <v>-6.0799999999999983</v>
      </c>
      <c r="V15" s="733">
        <f t="shared" si="4"/>
        <v>0.92768791627021885</v>
      </c>
      <c r="W15" s="720">
        <v>4.96</v>
      </c>
    </row>
    <row r="16" spans="1:23" ht="14.4" customHeight="1" x14ac:dyDescent="0.3">
      <c r="A16" s="778" t="s">
        <v>1807</v>
      </c>
      <c r="B16" s="764"/>
      <c r="C16" s="765"/>
      <c r="D16" s="735"/>
      <c r="E16" s="766">
        <v>1</v>
      </c>
      <c r="F16" s="767">
        <v>18.55</v>
      </c>
      <c r="G16" s="722">
        <v>49</v>
      </c>
      <c r="H16" s="768"/>
      <c r="I16" s="769"/>
      <c r="J16" s="725"/>
      <c r="K16" s="770">
        <v>18.55</v>
      </c>
      <c r="L16" s="771">
        <v>14</v>
      </c>
      <c r="M16" s="771">
        <v>126</v>
      </c>
      <c r="N16" s="772">
        <v>42.04</v>
      </c>
      <c r="O16" s="771" t="s">
        <v>1785</v>
      </c>
      <c r="P16" s="773" t="s">
        <v>1808</v>
      </c>
      <c r="Q16" s="774">
        <f t="shared" si="0"/>
        <v>0</v>
      </c>
      <c r="R16" s="774">
        <f t="shared" si="0"/>
        <v>0</v>
      </c>
      <c r="S16" s="764" t="str">
        <f t="shared" si="1"/>
        <v/>
      </c>
      <c r="T16" s="764" t="str">
        <f t="shared" si="2"/>
        <v/>
      </c>
      <c r="U16" s="764" t="str">
        <f t="shared" si="3"/>
        <v/>
      </c>
      <c r="V16" s="775" t="str">
        <f t="shared" si="4"/>
        <v/>
      </c>
      <c r="W16" s="724"/>
    </row>
    <row r="17" spans="1:23" ht="14.4" customHeight="1" x14ac:dyDescent="0.3">
      <c r="A17" s="777" t="s">
        <v>1809</v>
      </c>
      <c r="B17" s="729"/>
      <c r="C17" s="730"/>
      <c r="D17" s="731"/>
      <c r="E17" s="734"/>
      <c r="F17" s="715"/>
      <c r="G17" s="716"/>
      <c r="H17" s="711">
        <v>4</v>
      </c>
      <c r="I17" s="712">
        <v>7.35</v>
      </c>
      <c r="J17" s="713">
        <v>11</v>
      </c>
      <c r="K17" s="717">
        <v>1.93</v>
      </c>
      <c r="L17" s="714">
        <v>5</v>
      </c>
      <c r="M17" s="714">
        <v>47</v>
      </c>
      <c r="N17" s="718">
        <v>15.59</v>
      </c>
      <c r="O17" s="714" t="s">
        <v>1785</v>
      </c>
      <c r="P17" s="732" t="s">
        <v>1810</v>
      </c>
      <c r="Q17" s="719">
        <f t="shared" si="0"/>
        <v>4</v>
      </c>
      <c r="R17" s="719">
        <f t="shared" si="0"/>
        <v>7.35</v>
      </c>
      <c r="S17" s="729">
        <f t="shared" si="1"/>
        <v>62.36</v>
      </c>
      <c r="T17" s="729">
        <f t="shared" si="2"/>
        <v>44</v>
      </c>
      <c r="U17" s="729">
        <f t="shared" si="3"/>
        <v>-18.36</v>
      </c>
      <c r="V17" s="733">
        <f t="shared" si="4"/>
        <v>0.7055805003207184</v>
      </c>
      <c r="W17" s="720">
        <v>8.41</v>
      </c>
    </row>
    <row r="18" spans="1:23" ht="14.4" customHeight="1" x14ac:dyDescent="0.3">
      <c r="A18" s="778" t="s">
        <v>1811</v>
      </c>
      <c r="B18" s="764">
        <v>15</v>
      </c>
      <c r="C18" s="765">
        <v>37.99</v>
      </c>
      <c r="D18" s="735">
        <v>16.7</v>
      </c>
      <c r="E18" s="766">
        <v>12</v>
      </c>
      <c r="F18" s="767">
        <v>30.68</v>
      </c>
      <c r="G18" s="722">
        <v>17.899999999999999</v>
      </c>
      <c r="H18" s="768">
        <v>16</v>
      </c>
      <c r="I18" s="769">
        <v>40.18</v>
      </c>
      <c r="J18" s="725">
        <v>14.6</v>
      </c>
      <c r="K18" s="770">
        <v>2.56</v>
      </c>
      <c r="L18" s="771">
        <v>7</v>
      </c>
      <c r="M18" s="771">
        <v>59</v>
      </c>
      <c r="N18" s="772">
        <v>19.600000000000001</v>
      </c>
      <c r="O18" s="771" t="s">
        <v>1785</v>
      </c>
      <c r="P18" s="773" t="s">
        <v>1812</v>
      </c>
      <c r="Q18" s="774">
        <f t="shared" si="0"/>
        <v>1</v>
      </c>
      <c r="R18" s="774">
        <f t="shared" si="0"/>
        <v>2.1899999999999977</v>
      </c>
      <c r="S18" s="764">
        <f t="shared" si="1"/>
        <v>313.60000000000002</v>
      </c>
      <c r="T18" s="764">
        <f t="shared" si="2"/>
        <v>233.6</v>
      </c>
      <c r="U18" s="764">
        <f t="shared" si="3"/>
        <v>-80.000000000000028</v>
      </c>
      <c r="V18" s="775">
        <f t="shared" si="4"/>
        <v>0.74489795918367341</v>
      </c>
      <c r="W18" s="724">
        <v>16.600000000000001</v>
      </c>
    </row>
    <row r="19" spans="1:23" ht="14.4" customHeight="1" x14ac:dyDescent="0.3">
      <c r="A19" s="778" t="s">
        <v>1813</v>
      </c>
      <c r="B19" s="764">
        <v>13</v>
      </c>
      <c r="C19" s="765">
        <v>61.47</v>
      </c>
      <c r="D19" s="735">
        <v>23.9</v>
      </c>
      <c r="E19" s="766">
        <v>8</v>
      </c>
      <c r="F19" s="767">
        <v>39.96</v>
      </c>
      <c r="G19" s="722">
        <v>22.3</v>
      </c>
      <c r="H19" s="768">
        <v>14</v>
      </c>
      <c r="I19" s="769">
        <v>69.52</v>
      </c>
      <c r="J19" s="723">
        <v>27.8</v>
      </c>
      <c r="K19" s="770">
        <v>5</v>
      </c>
      <c r="L19" s="771">
        <v>9</v>
      </c>
      <c r="M19" s="771">
        <v>81</v>
      </c>
      <c r="N19" s="772">
        <v>27.09</v>
      </c>
      <c r="O19" s="771" t="s">
        <v>1785</v>
      </c>
      <c r="P19" s="773" t="s">
        <v>1814</v>
      </c>
      <c r="Q19" s="774">
        <f t="shared" si="0"/>
        <v>1</v>
      </c>
      <c r="R19" s="774">
        <f t="shared" si="0"/>
        <v>8.0499999999999972</v>
      </c>
      <c r="S19" s="764">
        <f t="shared" si="1"/>
        <v>379.26</v>
      </c>
      <c r="T19" s="764">
        <f t="shared" si="2"/>
        <v>389.2</v>
      </c>
      <c r="U19" s="764">
        <f t="shared" si="3"/>
        <v>9.9399999999999977</v>
      </c>
      <c r="V19" s="775">
        <f t="shared" si="4"/>
        <v>1.0262089331856774</v>
      </c>
      <c r="W19" s="724">
        <v>78.37</v>
      </c>
    </row>
    <row r="20" spans="1:23" ht="14.4" customHeight="1" x14ac:dyDescent="0.3">
      <c r="A20" s="777" t="s">
        <v>1815</v>
      </c>
      <c r="B20" s="729">
        <v>22</v>
      </c>
      <c r="C20" s="730">
        <v>9.16</v>
      </c>
      <c r="D20" s="731">
        <v>5.3</v>
      </c>
      <c r="E20" s="734">
        <v>15</v>
      </c>
      <c r="F20" s="715">
        <v>6.24</v>
      </c>
      <c r="G20" s="716">
        <v>6.2</v>
      </c>
      <c r="H20" s="711">
        <v>20</v>
      </c>
      <c r="I20" s="712">
        <v>8.32</v>
      </c>
      <c r="J20" s="713">
        <v>7</v>
      </c>
      <c r="K20" s="717">
        <v>0.42</v>
      </c>
      <c r="L20" s="714">
        <v>2</v>
      </c>
      <c r="M20" s="714">
        <v>22</v>
      </c>
      <c r="N20" s="718">
        <v>7.28</v>
      </c>
      <c r="O20" s="714" t="s">
        <v>1785</v>
      </c>
      <c r="P20" s="732" t="s">
        <v>1816</v>
      </c>
      <c r="Q20" s="719">
        <f t="shared" si="0"/>
        <v>-2</v>
      </c>
      <c r="R20" s="719">
        <f t="shared" si="0"/>
        <v>-0.83999999999999986</v>
      </c>
      <c r="S20" s="729">
        <f t="shared" si="1"/>
        <v>145.6</v>
      </c>
      <c r="T20" s="729">
        <f t="shared" si="2"/>
        <v>140</v>
      </c>
      <c r="U20" s="729">
        <f t="shared" si="3"/>
        <v>-5.5999999999999943</v>
      </c>
      <c r="V20" s="733">
        <f t="shared" si="4"/>
        <v>0.96153846153846156</v>
      </c>
      <c r="W20" s="720">
        <v>25.32</v>
      </c>
    </row>
    <row r="21" spans="1:23" ht="14.4" customHeight="1" x14ac:dyDescent="0.3">
      <c r="A21" s="778" t="s">
        <v>1817</v>
      </c>
      <c r="B21" s="764">
        <v>30</v>
      </c>
      <c r="C21" s="765">
        <v>30.32</v>
      </c>
      <c r="D21" s="735">
        <v>9.8000000000000007</v>
      </c>
      <c r="E21" s="766">
        <v>31</v>
      </c>
      <c r="F21" s="767">
        <v>31.33</v>
      </c>
      <c r="G21" s="722">
        <v>12.7</v>
      </c>
      <c r="H21" s="768">
        <v>39</v>
      </c>
      <c r="I21" s="769">
        <v>39.409999999999997</v>
      </c>
      <c r="J21" s="725">
        <v>9.9</v>
      </c>
      <c r="K21" s="770">
        <v>1.01</v>
      </c>
      <c r="L21" s="771">
        <v>4</v>
      </c>
      <c r="M21" s="771">
        <v>33</v>
      </c>
      <c r="N21" s="772">
        <v>11.1</v>
      </c>
      <c r="O21" s="771" t="s">
        <v>1785</v>
      </c>
      <c r="P21" s="773" t="s">
        <v>1818</v>
      </c>
      <c r="Q21" s="774">
        <f t="shared" si="0"/>
        <v>9</v>
      </c>
      <c r="R21" s="774">
        <f t="shared" si="0"/>
        <v>9.0899999999999963</v>
      </c>
      <c r="S21" s="764">
        <f t="shared" si="1"/>
        <v>432.9</v>
      </c>
      <c r="T21" s="764">
        <f t="shared" si="2"/>
        <v>386.1</v>
      </c>
      <c r="U21" s="764">
        <f t="shared" si="3"/>
        <v>-46.799999999999955</v>
      </c>
      <c r="V21" s="775">
        <f t="shared" si="4"/>
        <v>0.891891891891892</v>
      </c>
      <c r="W21" s="724">
        <v>65.8</v>
      </c>
    </row>
    <row r="22" spans="1:23" ht="14.4" customHeight="1" x14ac:dyDescent="0.3">
      <c r="A22" s="778" t="s">
        <v>1819</v>
      </c>
      <c r="B22" s="764">
        <v>4</v>
      </c>
      <c r="C22" s="765">
        <v>11.1</v>
      </c>
      <c r="D22" s="735">
        <v>24</v>
      </c>
      <c r="E22" s="766">
        <v>12</v>
      </c>
      <c r="F22" s="767">
        <v>33.4</v>
      </c>
      <c r="G22" s="722">
        <v>17.2</v>
      </c>
      <c r="H22" s="768">
        <v>9</v>
      </c>
      <c r="I22" s="769">
        <v>24.87</v>
      </c>
      <c r="J22" s="723">
        <v>18.7</v>
      </c>
      <c r="K22" s="770">
        <v>2.76</v>
      </c>
      <c r="L22" s="771">
        <v>6</v>
      </c>
      <c r="M22" s="771">
        <v>51</v>
      </c>
      <c r="N22" s="772">
        <v>17.14</v>
      </c>
      <c r="O22" s="771" t="s">
        <v>1785</v>
      </c>
      <c r="P22" s="773" t="s">
        <v>1820</v>
      </c>
      <c r="Q22" s="774">
        <f t="shared" si="0"/>
        <v>5</v>
      </c>
      <c r="R22" s="774">
        <f t="shared" si="0"/>
        <v>13.770000000000001</v>
      </c>
      <c r="S22" s="764">
        <f t="shared" si="1"/>
        <v>154.26</v>
      </c>
      <c r="T22" s="764">
        <f t="shared" si="2"/>
        <v>168.29999999999998</v>
      </c>
      <c r="U22" s="764">
        <f t="shared" si="3"/>
        <v>14.039999999999992</v>
      </c>
      <c r="V22" s="775">
        <f t="shared" si="4"/>
        <v>1.0910151691948657</v>
      </c>
      <c r="W22" s="724">
        <v>40.44</v>
      </c>
    </row>
    <row r="23" spans="1:23" ht="14.4" customHeight="1" x14ac:dyDescent="0.3">
      <c r="A23" s="777" t="s">
        <v>1821</v>
      </c>
      <c r="B23" s="729">
        <v>1</v>
      </c>
      <c r="C23" s="730">
        <v>4.04</v>
      </c>
      <c r="D23" s="731">
        <v>18</v>
      </c>
      <c r="E23" s="734"/>
      <c r="F23" s="715"/>
      <c r="G23" s="716"/>
      <c r="H23" s="711"/>
      <c r="I23" s="712"/>
      <c r="J23" s="713"/>
      <c r="K23" s="717">
        <v>4.04</v>
      </c>
      <c r="L23" s="714">
        <v>5</v>
      </c>
      <c r="M23" s="714">
        <v>46</v>
      </c>
      <c r="N23" s="718">
        <v>15.3</v>
      </c>
      <c r="O23" s="714" t="s">
        <v>1785</v>
      </c>
      <c r="P23" s="732" t="s">
        <v>1822</v>
      </c>
      <c r="Q23" s="719">
        <f t="shared" si="0"/>
        <v>-1</v>
      </c>
      <c r="R23" s="719">
        <f t="shared" si="0"/>
        <v>-4.04</v>
      </c>
      <c r="S23" s="729" t="str">
        <f t="shared" si="1"/>
        <v/>
      </c>
      <c r="T23" s="729" t="str">
        <f t="shared" si="2"/>
        <v/>
      </c>
      <c r="U23" s="729" t="str">
        <f t="shared" si="3"/>
        <v/>
      </c>
      <c r="V23" s="733" t="str">
        <f t="shared" si="4"/>
        <v/>
      </c>
      <c r="W23" s="720"/>
    </row>
    <row r="24" spans="1:23" ht="14.4" customHeight="1" x14ac:dyDescent="0.3">
      <c r="A24" s="778" t="s">
        <v>1823</v>
      </c>
      <c r="B24" s="764"/>
      <c r="C24" s="765"/>
      <c r="D24" s="735"/>
      <c r="E24" s="766"/>
      <c r="F24" s="767"/>
      <c r="G24" s="722"/>
      <c r="H24" s="768">
        <v>2</v>
      </c>
      <c r="I24" s="769">
        <v>24</v>
      </c>
      <c r="J24" s="725">
        <v>26.5</v>
      </c>
      <c r="K24" s="770">
        <v>12</v>
      </c>
      <c r="L24" s="771">
        <v>11</v>
      </c>
      <c r="M24" s="771">
        <v>99</v>
      </c>
      <c r="N24" s="772">
        <v>33.119999999999997</v>
      </c>
      <c r="O24" s="771" t="s">
        <v>1785</v>
      </c>
      <c r="P24" s="773" t="s">
        <v>1824</v>
      </c>
      <c r="Q24" s="774">
        <f t="shared" si="0"/>
        <v>2</v>
      </c>
      <c r="R24" s="774">
        <f t="shared" si="0"/>
        <v>24</v>
      </c>
      <c r="S24" s="764">
        <f t="shared" si="1"/>
        <v>66.239999999999995</v>
      </c>
      <c r="T24" s="764">
        <f t="shared" si="2"/>
        <v>53</v>
      </c>
      <c r="U24" s="764">
        <f t="shared" si="3"/>
        <v>-13.239999999999995</v>
      </c>
      <c r="V24" s="775">
        <f t="shared" si="4"/>
        <v>0.80012077294686001</v>
      </c>
      <c r="W24" s="724"/>
    </row>
    <row r="25" spans="1:23" ht="14.4" customHeight="1" x14ac:dyDescent="0.3">
      <c r="A25" s="777" t="s">
        <v>1825</v>
      </c>
      <c r="B25" s="729">
        <v>2</v>
      </c>
      <c r="C25" s="730">
        <v>0.56999999999999995</v>
      </c>
      <c r="D25" s="731">
        <v>6</v>
      </c>
      <c r="E25" s="711">
        <v>8</v>
      </c>
      <c r="F25" s="712">
        <v>2.2799999999999998</v>
      </c>
      <c r="G25" s="713">
        <v>4.5</v>
      </c>
      <c r="H25" s="714">
        <v>3</v>
      </c>
      <c r="I25" s="715">
        <v>0.85</v>
      </c>
      <c r="J25" s="716">
        <v>5</v>
      </c>
      <c r="K25" s="717">
        <v>0.28000000000000003</v>
      </c>
      <c r="L25" s="714">
        <v>2</v>
      </c>
      <c r="M25" s="714">
        <v>16</v>
      </c>
      <c r="N25" s="718">
        <v>5.19</v>
      </c>
      <c r="O25" s="714" t="s">
        <v>1785</v>
      </c>
      <c r="P25" s="732" t="s">
        <v>1826</v>
      </c>
      <c r="Q25" s="719">
        <f t="shared" si="0"/>
        <v>1</v>
      </c>
      <c r="R25" s="719">
        <f t="shared" si="0"/>
        <v>0.28000000000000003</v>
      </c>
      <c r="S25" s="729">
        <f t="shared" si="1"/>
        <v>15.57</v>
      </c>
      <c r="T25" s="729">
        <f t="shared" si="2"/>
        <v>15</v>
      </c>
      <c r="U25" s="729">
        <f t="shared" si="3"/>
        <v>-0.57000000000000028</v>
      </c>
      <c r="V25" s="733">
        <f t="shared" si="4"/>
        <v>0.96339113680154143</v>
      </c>
      <c r="W25" s="720">
        <v>0.81</v>
      </c>
    </row>
    <row r="26" spans="1:23" ht="14.4" customHeight="1" x14ac:dyDescent="0.3">
      <c r="A26" s="778" t="s">
        <v>1827</v>
      </c>
      <c r="B26" s="764">
        <v>5</v>
      </c>
      <c r="C26" s="765">
        <v>3.07</v>
      </c>
      <c r="D26" s="735">
        <v>5.6</v>
      </c>
      <c r="E26" s="768">
        <v>6</v>
      </c>
      <c r="F26" s="769">
        <v>3.69</v>
      </c>
      <c r="G26" s="725">
        <v>9</v>
      </c>
      <c r="H26" s="771">
        <v>7</v>
      </c>
      <c r="I26" s="767">
        <v>4</v>
      </c>
      <c r="J26" s="723">
        <v>7.9</v>
      </c>
      <c r="K26" s="770">
        <v>0.61</v>
      </c>
      <c r="L26" s="771">
        <v>2</v>
      </c>
      <c r="M26" s="771">
        <v>22</v>
      </c>
      <c r="N26" s="772">
        <v>7.17</v>
      </c>
      <c r="O26" s="771" t="s">
        <v>1785</v>
      </c>
      <c r="P26" s="773" t="s">
        <v>1828</v>
      </c>
      <c r="Q26" s="774">
        <f t="shared" si="0"/>
        <v>2</v>
      </c>
      <c r="R26" s="774">
        <f t="shared" si="0"/>
        <v>0.93000000000000016</v>
      </c>
      <c r="S26" s="764">
        <f t="shared" si="1"/>
        <v>50.19</v>
      </c>
      <c r="T26" s="764">
        <f t="shared" si="2"/>
        <v>55.300000000000004</v>
      </c>
      <c r="U26" s="764">
        <f t="shared" si="3"/>
        <v>5.1100000000000065</v>
      </c>
      <c r="V26" s="775">
        <f t="shared" si="4"/>
        <v>1.1018131101813111</v>
      </c>
      <c r="W26" s="724">
        <v>12.15</v>
      </c>
    </row>
    <row r="27" spans="1:23" ht="14.4" customHeight="1" x14ac:dyDescent="0.3">
      <c r="A27" s="778" t="s">
        <v>1829</v>
      </c>
      <c r="B27" s="764"/>
      <c r="C27" s="765"/>
      <c r="D27" s="735"/>
      <c r="E27" s="768">
        <v>1</v>
      </c>
      <c r="F27" s="769">
        <v>2.33</v>
      </c>
      <c r="G27" s="725">
        <v>11</v>
      </c>
      <c r="H27" s="771"/>
      <c r="I27" s="767"/>
      <c r="J27" s="722"/>
      <c r="K27" s="770">
        <v>2.33</v>
      </c>
      <c r="L27" s="771">
        <v>5</v>
      </c>
      <c r="M27" s="771">
        <v>42</v>
      </c>
      <c r="N27" s="772">
        <v>14.11</v>
      </c>
      <c r="O27" s="771" t="s">
        <v>1785</v>
      </c>
      <c r="P27" s="773" t="s">
        <v>1830</v>
      </c>
      <c r="Q27" s="774">
        <f t="shared" si="0"/>
        <v>0</v>
      </c>
      <c r="R27" s="774">
        <f t="shared" si="0"/>
        <v>0</v>
      </c>
      <c r="S27" s="764" t="str">
        <f t="shared" si="1"/>
        <v/>
      </c>
      <c r="T27" s="764" t="str">
        <f t="shared" si="2"/>
        <v/>
      </c>
      <c r="U27" s="764" t="str">
        <f t="shared" si="3"/>
        <v/>
      </c>
      <c r="V27" s="775" t="str">
        <f t="shared" si="4"/>
        <v/>
      </c>
      <c r="W27" s="724"/>
    </row>
    <row r="28" spans="1:23" ht="14.4" customHeight="1" x14ac:dyDescent="0.3">
      <c r="A28" s="777" t="s">
        <v>1831</v>
      </c>
      <c r="B28" s="726">
        <v>11</v>
      </c>
      <c r="C28" s="727">
        <v>30.12</v>
      </c>
      <c r="D28" s="728">
        <v>22.1</v>
      </c>
      <c r="E28" s="734">
        <v>7</v>
      </c>
      <c r="F28" s="715">
        <v>17.63</v>
      </c>
      <c r="G28" s="716">
        <v>13</v>
      </c>
      <c r="H28" s="714">
        <v>8</v>
      </c>
      <c r="I28" s="715">
        <v>21.7</v>
      </c>
      <c r="J28" s="721">
        <v>16</v>
      </c>
      <c r="K28" s="717">
        <v>2.52</v>
      </c>
      <c r="L28" s="714">
        <v>4</v>
      </c>
      <c r="M28" s="714">
        <v>37</v>
      </c>
      <c r="N28" s="718">
        <v>12.42</v>
      </c>
      <c r="O28" s="714" t="s">
        <v>1785</v>
      </c>
      <c r="P28" s="732" t="s">
        <v>1832</v>
      </c>
      <c r="Q28" s="719">
        <f t="shared" si="0"/>
        <v>-3</v>
      </c>
      <c r="R28" s="719">
        <f t="shared" si="0"/>
        <v>-8.4200000000000017</v>
      </c>
      <c r="S28" s="729">
        <f t="shared" si="1"/>
        <v>99.36</v>
      </c>
      <c r="T28" s="729">
        <f t="shared" si="2"/>
        <v>128</v>
      </c>
      <c r="U28" s="729">
        <f t="shared" si="3"/>
        <v>28.64</v>
      </c>
      <c r="V28" s="733">
        <f t="shared" si="4"/>
        <v>1.288244766505636</v>
      </c>
      <c r="W28" s="720">
        <v>43.32</v>
      </c>
    </row>
    <row r="29" spans="1:23" ht="14.4" customHeight="1" x14ac:dyDescent="0.3">
      <c r="A29" s="777" t="s">
        <v>1833</v>
      </c>
      <c r="B29" s="726">
        <v>1</v>
      </c>
      <c r="C29" s="727">
        <v>1.3</v>
      </c>
      <c r="D29" s="728">
        <v>11</v>
      </c>
      <c r="E29" s="734"/>
      <c r="F29" s="715"/>
      <c r="G29" s="716"/>
      <c r="H29" s="714"/>
      <c r="I29" s="715"/>
      <c r="J29" s="716"/>
      <c r="K29" s="717">
        <v>1.3</v>
      </c>
      <c r="L29" s="714">
        <v>3</v>
      </c>
      <c r="M29" s="714">
        <v>25</v>
      </c>
      <c r="N29" s="718">
        <v>8.2100000000000009</v>
      </c>
      <c r="O29" s="714" t="s">
        <v>1785</v>
      </c>
      <c r="P29" s="732" t="s">
        <v>1834</v>
      </c>
      <c r="Q29" s="719">
        <f t="shared" si="0"/>
        <v>-1</v>
      </c>
      <c r="R29" s="719">
        <f t="shared" si="0"/>
        <v>-1.3</v>
      </c>
      <c r="S29" s="729" t="str">
        <f t="shared" si="1"/>
        <v/>
      </c>
      <c r="T29" s="729" t="str">
        <f t="shared" si="2"/>
        <v/>
      </c>
      <c r="U29" s="729" t="str">
        <f t="shared" si="3"/>
        <v/>
      </c>
      <c r="V29" s="733" t="str">
        <f t="shared" si="4"/>
        <v/>
      </c>
      <c r="W29" s="720"/>
    </row>
    <row r="30" spans="1:23" ht="14.4" customHeight="1" x14ac:dyDescent="0.3">
      <c r="A30" s="777" t="s">
        <v>1835</v>
      </c>
      <c r="B30" s="729">
        <v>3</v>
      </c>
      <c r="C30" s="730">
        <v>2.0299999999999998</v>
      </c>
      <c r="D30" s="731">
        <v>10</v>
      </c>
      <c r="E30" s="711"/>
      <c r="F30" s="712"/>
      <c r="G30" s="713"/>
      <c r="H30" s="714"/>
      <c r="I30" s="715"/>
      <c r="J30" s="716"/>
      <c r="K30" s="717">
        <v>0.68</v>
      </c>
      <c r="L30" s="714">
        <v>3</v>
      </c>
      <c r="M30" s="714">
        <v>26</v>
      </c>
      <c r="N30" s="718">
        <v>8.5299999999999994</v>
      </c>
      <c r="O30" s="714" t="s">
        <v>1785</v>
      </c>
      <c r="P30" s="732" t="s">
        <v>1836</v>
      </c>
      <c r="Q30" s="719">
        <f t="shared" si="0"/>
        <v>-3</v>
      </c>
      <c r="R30" s="719">
        <f t="shared" si="0"/>
        <v>-2.0299999999999998</v>
      </c>
      <c r="S30" s="729" t="str">
        <f t="shared" si="1"/>
        <v/>
      </c>
      <c r="T30" s="729" t="str">
        <f t="shared" si="2"/>
        <v/>
      </c>
      <c r="U30" s="729" t="str">
        <f t="shared" si="3"/>
        <v/>
      </c>
      <c r="V30" s="733" t="str">
        <f t="shared" si="4"/>
        <v/>
      </c>
      <c r="W30" s="720"/>
    </row>
    <row r="31" spans="1:23" ht="14.4" customHeight="1" x14ac:dyDescent="0.3">
      <c r="A31" s="778" t="s">
        <v>1837</v>
      </c>
      <c r="B31" s="764">
        <v>10</v>
      </c>
      <c r="C31" s="765">
        <v>6.77</v>
      </c>
      <c r="D31" s="735">
        <v>9.9</v>
      </c>
      <c r="E31" s="768">
        <v>20</v>
      </c>
      <c r="F31" s="769">
        <v>14.41</v>
      </c>
      <c r="G31" s="725">
        <v>12.1</v>
      </c>
      <c r="H31" s="771">
        <v>11</v>
      </c>
      <c r="I31" s="767">
        <v>7.7</v>
      </c>
      <c r="J31" s="723">
        <v>11.9</v>
      </c>
      <c r="K31" s="770">
        <v>0.68</v>
      </c>
      <c r="L31" s="771">
        <v>3</v>
      </c>
      <c r="M31" s="771">
        <v>26</v>
      </c>
      <c r="N31" s="772">
        <v>8.5299999999999994</v>
      </c>
      <c r="O31" s="771" t="s">
        <v>1785</v>
      </c>
      <c r="P31" s="773" t="s">
        <v>1838</v>
      </c>
      <c r="Q31" s="774">
        <f t="shared" si="0"/>
        <v>1</v>
      </c>
      <c r="R31" s="774">
        <f t="shared" si="0"/>
        <v>0.9300000000000006</v>
      </c>
      <c r="S31" s="764">
        <f t="shared" si="1"/>
        <v>93.83</v>
      </c>
      <c r="T31" s="764">
        <f t="shared" si="2"/>
        <v>130.9</v>
      </c>
      <c r="U31" s="764">
        <f t="shared" si="3"/>
        <v>37.070000000000007</v>
      </c>
      <c r="V31" s="775">
        <f t="shared" si="4"/>
        <v>1.3950762016412661</v>
      </c>
      <c r="W31" s="724">
        <v>43.23</v>
      </c>
    </row>
    <row r="32" spans="1:23" ht="14.4" customHeight="1" x14ac:dyDescent="0.3">
      <c r="A32" s="778" t="s">
        <v>1839</v>
      </c>
      <c r="B32" s="764">
        <v>2</v>
      </c>
      <c r="C32" s="765">
        <v>3</v>
      </c>
      <c r="D32" s="735">
        <v>14.5</v>
      </c>
      <c r="E32" s="768">
        <v>2</v>
      </c>
      <c r="F32" s="769">
        <v>3.16</v>
      </c>
      <c r="G32" s="725">
        <v>21.5</v>
      </c>
      <c r="H32" s="771">
        <v>4</v>
      </c>
      <c r="I32" s="767">
        <v>5.94</v>
      </c>
      <c r="J32" s="723">
        <v>15.5</v>
      </c>
      <c r="K32" s="770">
        <v>1.46</v>
      </c>
      <c r="L32" s="771">
        <v>4</v>
      </c>
      <c r="M32" s="771">
        <v>32</v>
      </c>
      <c r="N32" s="772">
        <v>10.57</v>
      </c>
      <c r="O32" s="771" t="s">
        <v>1785</v>
      </c>
      <c r="P32" s="773" t="s">
        <v>1840</v>
      </c>
      <c r="Q32" s="774">
        <f t="shared" si="0"/>
        <v>2</v>
      </c>
      <c r="R32" s="774">
        <f t="shared" si="0"/>
        <v>2.9400000000000004</v>
      </c>
      <c r="S32" s="764">
        <f t="shared" si="1"/>
        <v>42.28</v>
      </c>
      <c r="T32" s="764">
        <f t="shared" si="2"/>
        <v>62</v>
      </c>
      <c r="U32" s="764">
        <f t="shared" si="3"/>
        <v>19.72</v>
      </c>
      <c r="V32" s="775">
        <f t="shared" si="4"/>
        <v>1.4664143803216652</v>
      </c>
      <c r="W32" s="724">
        <v>21.29</v>
      </c>
    </row>
    <row r="33" spans="1:23" ht="14.4" customHeight="1" x14ac:dyDescent="0.3">
      <c r="A33" s="777" t="s">
        <v>1841</v>
      </c>
      <c r="B33" s="729">
        <v>480</v>
      </c>
      <c r="C33" s="730">
        <v>106.07</v>
      </c>
      <c r="D33" s="731">
        <v>4.8</v>
      </c>
      <c r="E33" s="711">
        <v>640</v>
      </c>
      <c r="F33" s="712">
        <v>141.57</v>
      </c>
      <c r="G33" s="713">
        <v>4.5999999999999996</v>
      </c>
      <c r="H33" s="714">
        <v>473</v>
      </c>
      <c r="I33" s="715">
        <v>104.52</v>
      </c>
      <c r="J33" s="716">
        <v>4.5</v>
      </c>
      <c r="K33" s="717">
        <v>0.22</v>
      </c>
      <c r="L33" s="714">
        <v>2</v>
      </c>
      <c r="M33" s="714">
        <v>15</v>
      </c>
      <c r="N33" s="718">
        <v>4.8600000000000003</v>
      </c>
      <c r="O33" s="714" t="s">
        <v>1785</v>
      </c>
      <c r="P33" s="732" t="s">
        <v>1842</v>
      </c>
      <c r="Q33" s="719">
        <f t="shared" si="0"/>
        <v>-7</v>
      </c>
      <c r="R33" s="719">
        <f t="shared" si="0"/>
        <v>-1.5499999999999972</v>
      </c>
      <c r="S33" s="729">
        <f t="shared" si="1"/>
        <v>2298.7800000000002</v>
      </c>
      <c r="T33" s="729">
        <f t="shared" si="2"/>
        <v>2128.5</v>
      </c>
      <c r="U33" s="729">
        <f t="shared" si="3"/>
        <v>-170.2800000000002</v>
      </c>
      <c r="V33" s="733">
        <f t="shared" si="4"/>
        <v>0.92592592592592582</v>
      </c>
      <c r="W33" s="720">
        <v>73.959999999999994</v>
      </c>
    </row>
    <row r="34" spans="1:23" ht="14.4" customHeight="1" x14ac:dyDescent="0.3">
      <c r="A34" s="778" t="s">
        <v>1843</v>
      </c>
      <c r="B34" s="764">
        <v>244</v>
      </c>
      <c r="C34" s="765">
        <v>65.92</v>
      </c>
      <c r="D34" s="735">
        <v>5.7</v>
      </c>
      <c r="E34" s="768">
        <v>113</v>
      </c>
      <c r="F34" s="769">
        <v>30.4</v>
      </c>
      <c r="G34" s="725">
        <v>5.7</v>
      </c>
      <c r="H34" s="771">
        <v>223</v>
      </c>
      <c r="I34" s="767">
        <v>60.04</v>
      </c>
      <c r="J34" s="722">
        <v>5.0999999999999996</v>
      </c>
      <c r="K34" s="770">
        <v>0.27</v>
      </c>
      <c r="L34" s="771">
        <v>2</v>
      </c>
      <c r="M34" s="771">
        <v>17</v>
      </c>
      <c r="N34" s="772">
        <v>5.73</v>
      </c>
      <c r="O34" s="771" t="s">
        <v>1785</v>
      </c>
      <c r="P34" s="773" t="s">
        <v>1844</v>
      </c>
      <c r="Q34" s="774">
        <f t="shared" si="0"/>
        <v>-21</v>
      </c>
      <c r="R34" s="774">
        <f t="shared" si="0"/>
        <v>-5.8800000000000026</v>
      </c>
      <c r="S34" s="764">
        <f t="shared" si="1"/>
        <v>1277.7900000000002</v>
      </c>
      <c r="T34" s="764">
        <f t="shared" si="2"/>
        <v>1137.3</v>
      </c>
      <c r="U34" s="764">
        <f t="shared" si="3"/>
        <v>-140.49000000000024</v>
      </c>
      <c r="V34" s="775">
        <f t="shared" si="4"/>
        <v>0.89005235602094224</v>
      </c>
      <c r="W34" s="724">
        <v>72.42</v>
      </c>
    </row>
    <row r="35" spans="1:23" ht="14.4" customHeight="1" x14ac:dyDescent="0.3">
      <c r="A35" s="778" t="s">
        <v>1845</v>
      </c>
      <c r="B35" s="764">
        <v>22</v>
      </c>
      <c r="C35" s="765">
        <v>7.77</v>
      </c>
      <c r="D35" s="735">
        <v>5.4</v>
      </c>
      <c r="E35" s="768">
        <v>12</v>
      </c>
      <c r="F35" s="769">
        <v>4.24</v>
      </c>
      <c r="G35" s="725">
        <v>5.5</v>
      </c>
      <c r="H35" s="771">
        <v>40</v>
      </c>
      <c r="I35" s="767">
        <v>15.32</v>
      </c>
      <c r="J35" s="723">
        <v>6.2</v>
      </c>
      <c r="K35" s="770">
        <v>0.35</v>
      </c>
      <c r="L35" s="771">
        <v>2</v>
      </c>
      <c r="M35" s="771">
        <v>18</v>
      </c>
      <c r="N35" s="772">
        <v>6.07</v>
      </c>
      <c r="O35" s="771" t="s">
        <v>1785</v>
      </c>
      <c r="P35" s="773" t="s">
        <v>1846</v>
      </c>
      <c r="Q35" s="774">
        <f t="shared" si="0"/>
        <v>18</v>
      </c>
      <c r="R35" s="774">
        <f t="shared" si="0"/>
        <v>7.5500000000000007</v>
      </c>
      <c r="S35" s="764">
        <f t="shared" si="1"/>
        <v>242.8</v>
      </c>
      <c r="T35" s="764">
        <f t="shared" si="2"/>
        <v>248</v>
      </c>
      <c r="U35" s="764">
        <f t="shared" si="3"/>
        <v>5.1999999999999886</v>
      </c>
      <c r="V35" s="775">
        <f t="shared" si="4"/>
        <v>1.0214168039538714</v>
      </c>
      <c r="W35" s="724">
        <v>41.58</v>
      </c>
    </row>
    <row r="36" spans="1:23" ht="14.4" customHeight="1" x14ac:dyDescent="0.3">
      <c r="A36" s="777" t="s">
        <v>1847</v>
      </c>
      <c r="B36" s="729"/>
      <c r="C36" s="730"/>
      <c r="D36" s="731"/>
      <c r="E36" s="734"/>
      <c r="F36" s="715"/>
      <c r="G36" s="716"/>
      <c r="H36" s="711">
        <v>1</v>
      </c>
      <c r="I36" s="712">
        <v>5.27</v>
      </c>
      <c r="J36" s="721">
        <v>70</v>
      </c>
      <c r="K36" s="717">
        <v>2.17</v>
      </c>
      <c r="L36" s="714">
        <v>4</v>
      </c>
      <c r="M36" s="714">
        <v>38</v>
      </c>
      <c r="N36" s="718">
        <v>12.74</v>
      </c>
      <c r="O36" s="714" t="s">
        <v>1785</v>
      </c>
      <c r="P36" s="732" t="s">
        <v>1848</v>
      </c>
      <c r="Q36" s="719">
        <f t="shared" si="0"/>
        <v>1</v>
      </c>
      <c r="R36" s="719">
        <f t="shared" si="0"/>
        <v>5.27</v>
      </c>
      <c r="S36" s="729">
        <f t="shared" si="1"/>
        <v>12.74</v>
      </c>
      <c r="T36" s="729">
        <f t="shared" si="2"/>
        <v>70</v>
      </c>
      <c r="U36" s="729">
        <f t="shared" si="3"/>
        <v>57.26</v>
      </c>
      <c r="V36" s="733">
        <f t="shared" si="4"/>
        <v>5.4945054945054945</v>
      </c>
      <c r="W36" s="720">
        <v>57.26</v>
      </c>
    </row>
    <row r="37" spans="1:23" ht="14.4" customHeight="1" x14ac:dyDescent="0.3">
      <c r="A37" s="777" t="s">
        <v>1849</v>
      </c>
      <c r="B37" s="729">
        <v>3</v>
      </c>
      <c r="C37" s="730">
        <v>0.77</v>
      </c>
      <c r="D37" s="731">
        <v>2.2999999999999998</v>
      </c>
      <c r="E37" s="734">
        <v>4</v>
      </c>
      <c r="F37" s="715">
        <v>1.03</v>
      </c>
      <c r="G37" s="716">
        <v>2</v>
      </c>
      <c r="H37" s="711">
        <v>5</v>
      </c>
      <c r="I37" s="712">
        <v>1.28</v>
      </c>
      <c r="J37" s="713">
        <v>2.2000000000000002</v>
      </c>
      <c r="K37" s="717">
        <v>0.26</v>
      </c>
      <c r="L37" s="714">
        <v>1</v>
      </c>
      <c r="M37" s="714">
        <v>9</v>
      </c>
      <c r="N37" s="718">
        <v>2.83</v>
      </c>
      <c r="O37" s="714" t="s">
        <v>1785</v>
      </c>
      <c r="P37" s="732" t="s">
        <v>1850</v>
      </c>
      <c r="Q37" s="719">
        <f t="shared" si="0"/>
        <v>2</v>
      </c>
      <c r="R37" s="719">
        <f t="shared" si="0"/>
        <v>0.51</v>
      </c>
      <c r="S37" s="729">
        <f t="shared" si="1"/>
        <v>14.15</v>
      </c>
      <c r="T37" s="729">
        <f t="shared" si="2"/>
        <v>11</v>
      </c>
      <c r="U37" s="729">
        <f t="shared" si="3"/>
        <v>-3.1500000000000004</v>
      </c>
      <c r="V37" s="733">
        <f t="shared" si="4"/>
        <v>0.77738515901060068</v>
      </c>
      <c r="W37" s="720">
        <v>0.17</v>
      </c>
    </row>
    <row r="38" spans="1:23" ht="14.4" customHeight="1" x14ac:dyDescent="0.3">
      <c r="A38" s="778" t="s">
        <v>1851</v>
      </c>
      <c r="B38" s="764">
        <v>2</v>
      </c>
      <c r="C38" s="765">
        <v>2.13</v>
      </c>
      <c r="D38" s="735">
        <v>26.5</v>
      </c>
      <c r="E38" s="766"/>
      <c r="F38" s="767"/>
      <c r="G38" s="722"/>
      <c r="H38" s="768"/>
      <c r="I38" s="769"/>
      <c r="J38" s="725"/>
      <c r="K38" s="770">
        <v>0.85</v>
      </c>
      <c r="L38" s="771">
        <v>3</v>
      </c>
      <c r="M38" s="771">
        <v>23</v>
      </c>
      <c r="N38" s="772">
        <v>7.67</v>
      </c>
      <c r="O38" s="771" t="s">
        <v>1785</v>
      </c>
      <c r="P38" s="773" t="s">
        <v>1852</v>
      </c>
      <c r="Q38" s="774">
        <f t="shared" si="0"/>
        <v>-2</v>
      </c>
      <c r="R38" s="774">
        <f t="shared" si="0"/>
        <v>-2.13</v>
      </c>
      <c r="S38" s="764" t="str">
        <f t="shared" si="1"/>
        <v/>
      </c>
      <c r="T38" s="764" t="str">
        <f t="shared" si="2"/>
        <v/>
      </c>
      <c r="U38" s="764" t="str">
        <f t="shared" si="3"/>
        <v/>
      </c>
      <c r="V38" s="775" t="str">
        <f t="shared" si="4"/>
        <v/>
      </c>
      <c r="W38" s="724"/>
    </row>
    <row r="39" spans="1:23" ht="14.4" customHeight="1" thickBot="1" x14ac:dyDescent="0.35">
      <c r="A39" s="779" t="s">
        <v>1853</v>
      </c>
      <c r="B39" s="780">
        <v>1</v>
      </c>
      <c r="C39" s="781">
        <v>0.11</v>
      </c>
      <c r="D39" s="782">
        <v>8</v>
      </c>
      <c r="E39" s="783"/>
      <c r="F39" s="784"/>
      <c r="G39" s="785"/>
      <c r="H39" s="786"/>
      <c r="I39" s="784"/>
      <c r="J39" s="785"/>
      <c r="K39" s="787">
        <v>0.11</v>
      </c>
      <c r="L39" s="786">
        <v>2</v>
      </c>
      <c r="M39" s="786">
        <v>14</v>
      </c>
      <c r="N39" s="788">
        <v>4.79</v>
      </c>
      <c r="O39" s="786" t="s">
        <v>1785</v>
      </c>
      <c r="P39" s="789" t="s">
        <v>1854</v>
      </c>
      <c r="Q39" s="790">
        <f t="shared" si="0"/>
        <v>-1</v>
      </c>
      <c r="R39" s="790">
        <f t="shared" si="0"/>
        <v>-0.11</v>
      </c>
      <c r="S39" s="791" t="str">
        <f t="shared" si="1"/>
        <v/>
      </c>
      <c r="T39" s="791" t="str">
        <f t="shared" si="2"/>
        <v/>
      </c>
      <c r="U39" s="791" t="str">
        <f t="shared" si="3"/>
        <v/>
      </c>
      <c r="V39" s="792" t="str">
        <f t="shared" si="4"/>
        <v/>
      </c>
      <c r="W39" s="79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0:Q1048576">
    <cfRule type="cellIs" dxfId="12" priority="9" stopIfTrue="1" operator="lessThan">
      <formula>0</formula>
    </cfRule>
  </conditionalFormatting>
  <conditionalFormatting sqref="U40:U1048576">
    <cfRule type="cellIs" dxfId="11" priority="8" stopIfTrue="1" operator="greaterThan">
      <formula>0</formula>
    </cfRule>
  </conditionalFormatting>
  <conditionalFormatting sqref="V40:V1048576">
    <cfRule type="cellIs" dxfId="10" priority="7" stopIfTrue="1" operator="greaterThan">
      <formula>1</formula>
    </cfRule>
  </conditionalFormatting>
  <conditionalFormatting sqref="V40:V1048576">
    <cfRule type="cellIs" dxfId="9" priority="4" stopIfTrue="1" operator="greaterThan">
      <formula>1</formula>
    </cfRule>
  </conditionalFormatting>
  <conditionalFormatting sqref="U40:U1048576">
    <cfRule type="cellIs" dxfId="8" priority="5" stopIfTrue="1" operator="greaterThan">
      <formula>0</formula>
    </cfRule>
  </conditionalFormatting>
  <conditionalFormatting sqref="Q40:Q1048576">
    <cfRule type="cellIs" dxfId="7" priority="6" stopIfTrue="1" operator="lessThan">
      <formula>0</formula>
    </cfRule>
  </conditionalFormatting>
  <conditionalFormatting sqref="V5:V39">
    <cfRule type="cellIs" dxfId="6" priority="1" stopIfTrue="1" operator="greaterThan">
      <formula>1</formula>
    </cfRule>
  </conditionalFormatting>
  <conditionalFormatting sqref="U5:U39">
    <cfRule type="cellIs" dxfId="5" priority="2" stopIfTrue="1" operator="greaterThan">
      <formula>0</formula>
    </cfRule>
  </conditionalFormatting>
  <conditionalFormatting sqref="Q5:Q3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38" customWidth="1"/>
    <col min="2" max="2" width="7.77734375" style="203" customWidth="1"/>
    <col min="3" max="3" width="7.21875" style="238" hidden="1" customWidth="1"/>
    <col min="4" max="4" width="7.77734375" style="203" customWidth="1"/>
    <col min="5" max="5" width="7.21875" style="238" hidden="1" customWidth="1"/>
    <col min="6" max="6" width="7.77734375" style="203" customWidth="1"/>
    <col min="7" max="7" width="7.77734375" style="322" customWidth="1"/>
    <col min="8" max="8" width="7.77734375" style="203" customWidth="1"/>
    <col min="9" max="9" width="7.21875" style="238" hidden="1" customWidth="1"/>
    <col min="10" max="10" width="7.77734375" style="203" customWidth="1"/>
    <col min="11" max="11" width="7.21875" style="238" hidden="1" customWidth="1"/>
    <col min="12" max="12" width="7.77734375" style="203" customWidth="1"/>
    <col min="13" max="13" width="7.77734375" style="322" customWidth="1"/>
    <col min="14" max="16384" width="8.88671875" style="238"/>
  </cols>
  <sheetData>
    <row r="1" spans="1:13" ht="18.600000000000001" customHeight="1" thickBot="1" x14ac:dyDescent="0.4">
      <c r="A1" s="461" t="s">
        <v>141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thickBot="1" x14ac:dyDescent="0.35">
      <c r="A2" s="361" t="s">
        <v>306</v>
      </c>
      <c r="B2" s="334"/>
      <c r="C2" s="208"/>
      <c r="D2" s="334"/>
      <c r="E2" s="208"/>
      <c r="F2" s="334"/>
      <c r="G2" s="335"/>
      <c r="H2" s="334"/>
      <c r="I2" s="208"/>
      <c r="J2" s="334"/>
      <c r="K2" s="208"/>
      <c r="L2" s="334"/>
      <c r="M2" s="335"/>
    </row>
    <row r="3" spans="1:13" ht="14.4" customHeight="1" thickBot="1" x14ac:dyDescent="0.35">
      <c r="A3" s="328" t="s">
        <v>142</v>
      </c>
      <c r="B3" s="329">
        <f>SUBTOTAL(9,B6:B1048576)</f>
        <v>2324361</v>
      </c>
      <c r="C3" s="330">
        <f t="shared" ref="C3:L3" si="0">SUBTOTAL(9,C6:C1048576)</f>
        <v>9</v>
      </c>
      <c r="D3" s="330">
        <f t="shared" si="0"/>
        <v>2099553</v>
      </c>
      <c r="E3" s="330">
        <f t="shared" si="0"/>
        <v>12.223130159038089</v>
      </c>
      <c r="F3" s="330">
        <f t="shared" si="0"/>
        <v>2162356</v>
      </c>
      <c r="G3" s="333">
        <f>IF(B3&lt;&gt;0,F3/B3,"")</f>
        <v>0.9303012741996618</v>
      </c>
      <c r="H3" s="329">
        <f t="shared" si="0"/>
        <v>402.62</v>
      </c>
      <c r="I3" s="330">
        <f t="shared" si="0"/>
        <v>1</v>
      </c>
      <c r="J3" s="330">
        <f t="shared" si="0"/>
        <v>37040.860000000008</v>
      </c>
      <c r="K3" s="330">
        <f t="shared" si="0"/>
        <v>91.999552928319531</v>
      </c>
      <c r="L3" s="330">
        <f t="shared" si="0"/>
        <v>2403.56</v>
      </c>
      <c r="M3" s="331">
        <f>IF(H3&lt;&gt;0,L3/H3,"")</f>
        <v>5.9697978242511551</v>
      </c>
    </row>
    <row r="4" spans="1:13" ht="14.4" customHeight="1" x14ac:dyDescent="0.3">
      <c r="A4" s="557" t="s">
        <v>105</v>
      </c>
      <c r="B4" s="511" t="s">
        <v>110</v>
      </c>
      <c r="C4" s="512"/>
      <c r="D4" s="512"/>
      <c r="E4" s="512"/>
      <c r="F4" s="512"/>
      <c r="G4" s="513"/>
      <c r="H4" s="511" t="s">
        <v>111</v>
      </c>
      <c r="I4" s="512"/>
      <c r="J4" s="512"/>
      <c r="K4" s="512"/>
      <c r="L4" s="512"/>
      <c r="M4" s="513"/>
    </row>
    <row r="5" spans="1:13" s="320" customFormat="1" ht="14.4" customHeight="1" thickBot="1" x14ac:dyDescent="0.35">
      <c r="A5" s="794"/>
      <c r="B5" s="795">
        <v>2013</v>
      </c>
      <c r="C5" s="796"/>
      <c r="D5" s="796">
        <v>2014</v>
      </c>
      <c r="E5" s="796"/>
      <c r="F5" s="796">
        <v>2015</v>
      </c>
      <c r="G5" s="698" t="s">
        <v>2</v>
      </c>
      <c r="H5" s="795">
        <v>2013</v>
      </c>
      <c r="I5" s="796"/>
      <c r="J5" s="796">
        <v>2014</v>
      </c>
      <c r="K5" s="796"/>
      <c r="L5" s="796">
        <v>2015</v>
      </c>
      <c r="M5" s="698" t="s">
        <v>2</v>
      </c>
    </row>
    <row r="6" spans="1:13" ht="14.4" customHeight="1" x14ac:dyDescent="0.3">
      <c r="A6" s="637" t="s">
        <v>1856</v>
      </c>
      <c r="B6" s="797">
        <v>126</v>
      </c>
      <c r="C6" s="606">
        <v>1</v>
      </c>
      <c r="D6" s="797"/>
      <c r="E6" s="606"/>
      <c r="F6" s="797"/>
      <c r="G6" s="627"/>
      <c r="H6" s="797"/>
      <c r="I6" s="606"/>
      <c r="J6" s="797"/>
      <c r="K6" s="606"/>
      <c r="L6" s="797"/>
      <c r="M6" s="650"/>
    </row>
    <row r="7" spans="1:13" ht="14.4" customHeight="1" x14ac:dyDescent="0.3">
      <c r="A7" s="638" t="s">
        <v>1857</v>
      </c>
      <c r="B7" s="798">
        <v>43784</v>
      </c>
      <c r="C7" s="612">
        <v>1</v>
      </c>
      <c r="D7" s="798">
        <v>104707</v>
      </c>
      <c r="E7" s="612">
        <v>2.3914443632377123</v>
      </c>
      <c r="F7" s="798">
        <v>225570</v>
      </c>
      <c r="G7" s="628">
        <v>5.151881966014983</v>
      </c>
      <c r="H7" s="798"/>
      <c r="I7" s="612"/>
      <c r="J7" s="798"/>
      <c r="K7" s="612"/>
      <c r="L7" s="798"/>
      <c r="M7" s="651"/>
    </row>
    <row r="8" spans="1:13" ht="14.4" customHeight="1" x14ac:dyDescent="0.3">
      <c r="A8" s="638" t="s">
        <v>1858</v>
      </c>
      <c r="B8" s="798">
        <v>78529</v>
      </c>
      <c r="C8" s="612">
        <v>1</v>
      </c>
      <c r="D8" s="798">
        <v>89422</v>
      </c>
      <c r="E8" s="612">
        <v>1.1387130868850999</v>
      </c>
      <c r="F8" s="798">
        <v>120394</v>
      </c>
      <c r="G8" s="628">
        <v>1.5331151549109245</v>
      </c>
      <c r="H8" s="798"/>
      <c r="I8" s="612"/>
      <c r="J8" s="798"/>
      <c r="K8" s="612"/>
      <c r="L8" s="798"/>
      <c r="M8" s="651"/>
    </row>
    <row r="9" spans="1:13" ht="14.4" customHeight="1" x14ac:dyDescent="0.3">
      <c r="A9" s="638" t="s">
        <v>1859</v>
      </c>
      <c r="B9" s="798">
        <v>1206971</v>
      </c>
      <c r="C9" s="612">
        <v>1</v>
      </c>
      <c r="D9" s="798">
        <v>964585</v>
      </c>
      <c r="E9" s="612">
        <v>0.79917827354592608</v>
      </c>
      <c r="F9" s="798">
        <v>878371</v>
      </c>
      <c r="G9" s="628">
        <v>0.72774822261678196</v>
      </c>
      <c r="H9" s="798"/>
      <c r="I9" s="612"/>
      <c r="J9" s="798"/>
      <c r="K9" s="612"/>
      <c r="L9" s="798"/>
      <c r="M9" s="651"/>
    </row>
    <row r="10" spans="1:13" ht="14.4" customHeight="1" x14ac:dyDescent="0.3">
      <c r="A10" s="638" t="s">
        <v>1860</v>
      </c>
      <c r="B10" s="798">
        <v>169606</v>
      </c>
      <c r="C10" s="612">
        <v>1</v>
      </c>
      <c r="D10" s="798">
        <v>108416</v>
      </c>
      <c r="E10" s="612">
        <v>0.6392226690093511</v>
      </c>
      <c r="F10" s="798">
        <v>82238</v>
      </c>
      <c r="G10" s="628">
        <v>0.48487671426718393</v>
      </c>
      <c r="H10" s="798">
        <v>402.62</v>
      </c>
      <c r="I10" s="612">
        <v>1</v>
      </c>
      <c r="J10" s="798">
        <v>37040.860000000008</v>
      </c>
      <c r="K10" s="612">
        <v>91.999552928319531</v>
      </c>
      <c r="L10" s="798">
        <v>2403.56</v>
      </c>
      <c r="M10" s="651">
        <v>5.9697978242511551</v>
      </c>
    </row>
    <row r="11" spans="1:13" ht="14.4" customHeight="1" x14ac:dyDescent="0.3">
      <c r="A11" s="638" t="s">
        <v>1861</v>
      </c>
      <c r="B11" s="798">
        <v>512915</v>
      </c>
      <c r="C11" s="612">
        <v>1</v>
      </c>
      <c r="D11" s="798">
        <v>529948</v>
      </c>
      <c r="E11" s="612">
        <v>1.0332082313833677</v>
      </c>
      <c r="F11" s="798">
        <v>531233</v>
      </c>
      <c r="G11" s="628">
        <v>1.0357135197839797</v>
      </c>
      <c r="H11" s="798"/>
      <c r="I11" s="612"/>
      <c r="J11" s="798"/>
      <c r="K11" s="612"/>
      <c r="L11" s="798"/>
      <c r="M11" s="651"/>
    </row>
    <row r="12" spans="1:13" ht="14.4" customHeight="1" x14ac:dyDescent="0.3">
      <c r="A12" s="638" t="s">
        <v>1862</v>
      </c>
      <c r="B12" s="798">
        <v>15225</v>
      </c>
      <c r="C12" s="612">
        <v>1</v>
      </c>
      <c r="D12" s="798">
        <v>13311</v>
      </c>
      <c r="E12" s="612">
        <v>0.87428571428571433</v>
      </c>
      <c r="F12" s="798">
        <v>45221</v>
      </c>
      <c r="G12" s="628">
        <v>2.9701806239737274</v>
      </c>
      <c r="H12" s="798"/>
      <c r="I12" s="612"/>
      <c r="J12" s="798"/>
      <c r="K12" s="612"/>
      <c r="L12" s="798"/>
      <c r="M12" s="651"/>
    </row>
    <row r="13" spans="1:13" ht="14.4" customHeight="1" x14ac:dyDescent="0.3">
      <c r="A13" s="638" t="s">
        <v>1863</v>
      </c>
      <c r="B13" s="798">
        <v>285315</v>
      </c>
      <c r="C13" s="612">
        <v>1</v>
      </c>
      <c r="D13" s="798">
        <v>235397</v>
      </c>
      <c r="E13" s="612">
        <v>0.8250424968894029</v>
      </c>
      <c r="F13" s="798">
        <v>224829</v>
      </c>
      <c r="G13" s="628">
        <v>0.78800273382051422</v>
      </c>
      <c r="H13" s="798"/>
      <c r="I13" s="612"/>
      <c r="J13" s="798"/>
      <c r="K13" s="612"/>
      <c r="L13" s="798"/>
      <c r="M13" s="651"/>
    </row>
    <row r="14" spans="1:13" ht="14.4" customHeight="1" thickBot="1" x14ac:dyDescent="0.35">
      <c r="A14" s="800" t="s">
        <v>1864</v>
      </c>
      <c r="B14" s="799">
        <v>11890</v>
      </c>
      <c r="C14" s="618">
        <v>1</v>
      </c>
      <c r="D14" s="799">
        <v>53767</v>
      </c>
      <c r="E14" s="618">
        <v>4.5220353238015143</v>
      </c>
      <c r="F14" s="799">
        <v>54500</v>
      </c>
      <c r="G14" s="629">
        <v>4.5836837678721611</v>
      </c>
      <c r="H14" s="799"/>
      <c r="I14" s="618"/>
      <c r="J14" s="799"/>
      <c r="K14" s="618"/>
      <c r="L14" s="799"/>
      <c r="M14" s="65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6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38" bestFit="1" customWidth="1"/>
    <col min="2" max="2" width="8.6640625" style="238" bestFit="1" customWidth="1"/>
    <col min="3" max="3" width="2.109375" style="238" bestFit="1" customWidth="1"/>
    <col min="4" max="4" width="8" style="238" bestFit="1" customWidth="1"/>
    <col min="5" max="5" width="52.88671875" style="238" bestFit="1" customWidth="1"/>
    <col min="6" max="7" width="11.109375" style="319" customWidth="1"/>
    <col min="8" max="9" width="9.33203125" style="319" hidden="1" customWidth="1"/>
    <col min="10" max="11" width="11.109375" style="319" customWidth="1"/>
    <col min="12" max="13" width="9.33203125" style="319" hidden="1" customWidth="1"/>
    <col min="14" max="15" width="11.109375" style="319" customWidth="1"/>
    <col min="16" max="16" width="11.109375" style="322" customWidth="1"/>
    <col min="17" max="17" width="11.109375" style="319" customWidth="1"/>
    <col min="18" max="16384" width="8.88671875" style="238"/>
  </cols>
  <sheetData>
    <row r="1" spans="1:17" ht="18.600000000000001" customHeight="1" thickBot="1" x14ac:dyDescent="0.4">
      <c r="A1" s="461" t="s">
        <v>2361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ht="14.4" customHeight="1" thickBot="1" x14ac:dyDescent="0.35">
      <c r="A2" s="361" t="s">
        <v>306</v>
      </c>
      <c r="B2" s="208"/>
      <c r="C2" s="208"/>
      <c r="D2" s="208"/>
      <c r="E2" s="20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5"/>
      <c r="Q2" s="338"/>
    </row>
    <row r="3" spans="1:17" ht="14.4" customHeight="1" thickBot="1" x14ac:dyDescent="0.35">
      <c r="E3" s="97" t="s">
        <v>142</v>
      </c>
      <c r="F3" s="195">
        <f t="shared" ref="F3:O3" si="0">SUBTOTAL(9,F6:F1048576)</f>
        <v>24016.16</v>
      </c>
      <c r="G3" s="199">
        <f t="shared" si="0"/>
        <v>2324763.62</v>
      </c>
      <c r="H3" s="200"/>
      <c r="I3" s="200"/>
      <c r="J3" s="195">
        <f t="shared" si="0"/>
        <v>18311.18</v>
      </c>
      <c r="K3" s="199">
        <f t="shared" si="0"/>
        <v>2136593.8600000003</v>
      </c>
      <c r="L3" s="200"/>
      <c r="M3" s="200"/>
      <c r="N3" s="195">
        <f t="shared" si="0"/>
        <v>16204.76</v>
      </c>
      <c r="O3" s="199">
        <f t="shared" si="0"/>
        <v>2164759.56</v>
      </c>
      <c r="P3" s="166">
        <f>IF(G3=0,"",O3/G3)</f>
        <v>0.93117405200964043</v>
      </c>
      <c r="Q3" s="197">
        <f>IF(N3=0,"",O3/N3)</f>
        <v>133.58788158541071</v>
      </c>
    </row>
    <row r="4" spans="1:17" ht="14.4" customHeight="1" x14ac:dyDescent="0.3">
      <c r="A4" s="516" t="s">
        <v>61</v>
      </c>
      <c r="B4" s="515" t="s">
        <v>106</v>
      </c>
      <c r="C4" s="516" t="s">
        <v>107</v>
      </c>
      <c r="D4" s="520" t="s">
        <v>77</v>
      </c>
      <c r="E4" s="517" t="s">
        <v>11</v>
      </c>
      <c r="F4" s="518">
        <v>2013</v>
      </c>
      <c r="G4" s="519"/>
      <c r="H4" s="198"/>
      <c r="I4" s="198"/>
      <c r="J4" s="518">
        <v>2014</v>
      </c>
      <c r="K4" s="519"/>
      <c r="L4" s="198"/>
      <c r="M4" s="198"/>
      <c r="N4" s="518">
        <v>2015</v>
      </c>
      <c r="O4" s="519"/>
      <c r="P4" s="521" t="s">
        <v>2</v>
      </c>
      <c r="Q4" s="514" t="s">
        <v>109</v>
      </c>
    </row>
    <row r="5" spans="1:17" ht="14.4" customHeight="1" thickBot="1" x14ac:dyDescent="0.35">
      <c r="A5" s="702"/>
      <c r="B5" s="703"/>
      <c r="C5" s="702"/>
      <c r="D5" s="704"/>
      <c r="E5" s="705"/>
      <c r="F5" s="706" t="s">
        <v>78</v>
      </c>
      <c r="G5" s="707" t="s">
        <v>14</v>
      </c>
      <c r="H5" s="708"/>
      <c r="I5" s="708"/>
      <c r="J5" s="706" t="s">
        <v>78</v>
      </c>
      <c r="K5" s="707" t="s">
        <v>14</v>
      </c>
      <c r="L5" s="708"/>
      <c r="M5" s="708"/>
      <c r="N5" s="706" t="s">
        <v>78</v>
      </c>
      <c r="O5" s="707" t="s">
        <v>14</v>
      </c>
      <c r="P5" s="709"/>
      <c r="Q5" s="710"/>
    </row>
    <row r="6" spans="1:17" ht="14.4" customHeight="1" x14ac:dyDescent="0.3">
      <c r="A6" s="605" t="s">
        <v>1865</v>
      </c>
      <c r="B6" s="606" t="s">
        <v>1866</v>
      </c>
      <c r="C6" s="606" t="s">
        <v>1646</v>
      </c>
      <c r="D6" s="606" t="s">
        <v>1867</v>
      </c>
      <c r="E6" s="606" t="s">
        <v>1868</v>
      </c>
      <c r="F6" s="609">
        <v>2</v>
      </c>
      <c r="G6" s="609">
        <v>126</v>
      </c>
      <c r="H6" s="609">
        <v>1</v>
      </c>
      <c r="I6" s="609">
        <v>63</v>
      </c>
      <c r="J6" s="609"/>
      <c r="K6" s="609"/>
      <c r="L6" s="609"/>
      <c r="M6" s="609"/>
      <c r="N6" s="609"/>
      <c r="O6" s="609"/>
      <c r="P6" s="627"/>
      <c r="Q6" s="610"/>
    </row>
    <row r="7" spans="1:17" ht="14.4" customHeight="1" x14ac:dyDescent="0.3">
      <c r="A7" s="611" t="s">
        <v>1869</v>
      </c>
      <c r="B7" s="612" t="s">
        <v>1870</v>
      </c>
      <c r="C7" s="612" t="s">
        <v>1646</v>
      </c>
      <c r="D7" s="612" t="s">
        <v>1871</v>
      </c>
      <c r="E7" s="612" t="s">
        <v>1872</v>
      </c>
      <c r="F7" s="615">
        <v>1</v>
      </c>
      <c r="G7" s="615">
        <v>297</v>
      </c>
      <c r="H7" s="615">
        <v>1</v>
      </c>
      <c r="I7" s="615">
        <v>297</v>
      </c>
      <c r="J7" s="615">
        <v>2</v>
      </c>
      <c r="K7" s="615">
        <v>594</v>
      </c>
      <c r="L7" s="615">
        <v>2</v>
      </c>
      <c r="M7" s="615">
        <v>297</v>
      </c>
      <c r="N7" s="615">
        <v>6</v>
      </c>
      <c r="O7" s="615">
        <v>1818</v>
      </c>
      <c r="P7" s="628">
        <v>6.1212121212121211</v>
      </c>
      <c r="Q7" s="616">
        <v>303</v>
      </c>
    </row>
    <row r="8" spans="1:17" ht="14.4" customHeight="1" x14ac:dyDescent="0.3">
      <c r="A8" s="611" t="s">
        <v>1869</v>
      </c>
      <c r="B8" s="612" t="s">
        <v>1870</v>
      </c>
      <c r="C8" s="612" t="s">
        <v>1646</v>
      </c>
      <c r="D8" s="612" t="s">
        <v>1873</v>
      </c>
      <c r="E8" s="612" t="s">
        <v>1874</v>
      </c>
      <c r="F8" s="615">
        <v>1</v>
      </c>
      <c r="G8" s="615">
        <v>1245</v>
      </c>
      <c r="H8" s="615">
        <v>1</v>
      </c>
      <c r="I8" s="615">
        <v>1245</v>
      </c>
      <c r="J8" s="615">
        <v>3</v>
      </c>
      <c r="K8" s="615">
        <v>3767</v>
      </c>
      <c r="L8" s="615">
        <v>3.02570281124498</v>
      </c>
      <c r="M8" s="615">
        <v>1255.6666666666667</v>
      </c>
      <c r="N8" s="615">
        <v>6</v>
      </c>
      <c r="O8" s="615">
        <v>7608</v>
      </c>
      <c r="P8" s="628">
        <v>6.1108433734939762</v>
      </c>
      <c r="Q8" s="616">
        <v>1268</v>
      </c>
    </row>
    <row r="9" spans="1:17" ht="14.4" customHeight="1" x14ac:dyDescent="0.3">
      <c r="A9" s="611" t="s">
        <v>1869</v>
      </c>
      <c r="B9" s="612" t="s">
        <v>1870</v>
      </c>
      <c r="C9" s="612" t="s">
        <v>1646</v>
      </c>
      <c r="D9" s="612" t="s">
        <v>1875</v>
      </c>
      <c r="E9" s="612" t="s">
        <v>1876</v>
      </c>
      <c r="F9" s="615">
        <v>16</v>
      </c>
      <c r="G9" s="615">
        <v>35728</v>
      </c>
      <c r="H9" s="615">
        <v>1</v>
      </c>
      <c r="I9" s="615">
        <v>2233</v>
      </c>
      <c r="J9" s="615">
        <v>39</v>
      </c>
      <c r="K9" s="615">
        <v>87318</v>
      </c>
      <c r="L9" s="615">
        <v>2.4439655172413794</v>
      </c>
      <c r="M9" s="615">
        <v>2238.9230769230771</v>
      </c>
      <c r="N9" s="615">
        <v>78</v>
      </c>
      <c r="O9" s="615">
        <v>176592</v>
      </c>
      <c r="P9" s="628">
        <v>4.9426780116435287</v>
      </c>
      <c r="Q9" s="616">
        <v>2264</v>
      </c>
    </row>
    <row r="10" spans="1:17" ht="14.4" customHeight="1" x14ac:dyDescent="0.3">
      <c r="A10" s="611" t="s">
        <v>1869</v>
      </c>
      <c r="B10" s="612" t="s">
        <v>1870</v>
      </c>
      <c r="C10" s="612" t="s">
        <v>1646</v>
      </c>
      <c r="D10" s="612" t="s">
        <v>1877</v>
      </c>
      <c r="E10" s="612" t="s">
        <v>1878</v>
      </c>
      <c r="F10" s="615">
        <v>1</v>
      </c>
      <c r="G10" s="615">
        <v>6514</v>
      </c>
      <c r="H10" s="615">
        <v>1</v>
      </c>
      <c r="I10" s="615">
        <v>6514</v>
      </c>
      <c r="J10" s="615">
        <v>2</v>
      </c>
      <c r="K10" s="615">
        <v>13028</v>
      </c>
      <c r="L10" s="615">
        <v>2</v>
      </c>
      <c r="M10" s="615">
        <v>6514</v>
      </c>
      <c r="N10" s="615">
        <v>6</v>
      </c>
      <c r="O10" s="615">
        <v>39552</v>
      </c>
      <c r="P10" s="628">
        <v>6.0718452563708931</v>
      </c>
      <c r="Q10" s="616">
        <v>6592</v>
      </c>
    </row>
    <row r="11" spans="1:17" ht="14.4" customHeight="1" x14ac:dyDescent="0.3">
      <c r="A11" s="611" t="s">
        <v>1879</v>
      </c>
      <c r="B11" s="612" t="s">
        <v>1870</v>
      </c>
      <c r="C11" s="612" t="s">
        <v>1646</v>
      </c>
      <c r="D11" s="612" t="s">
        <v>1880</v>
      </c>
      <c r="E11" s="612" t="s">
        <v>1881</v>
      </c>
      <c r="F11" s="615">
        <v>4</v>
      </c>
      <c r="G11" s="615">
        <v>92</v>
      </c>
      <c r="H11" s="615">
        <v>1</v>
      </c>
      <c r="I11" s="615">
        <v>23</v>
      </c>
      <c r="J11" s="615">
        <v>3</v>
      </c>
      <c r="K11" s="615">
        <v>69</v>
      </c>
      <c r="L11" s="615">
        <v>0.75</v>
      </c>
      <c r="M11" s="615">
        <v>23</v>
      </c>
      <c r="N11" s="615"/>
      <c r="O11" s="615"/>
      <c r="P11" s="628"/>
      <c r="Q11" s="616"/>
    </row>
    <row r="12" spans="1:17" ht="14.4" customHeight="1" x14ac:dyDescent="0.3">
      <c r="A12" s="611" t="s">
        <v>1879</v>
      </c>
      <c r="B12" s="612" t="s">
        <v>1870</v>
      </c>
      <c r="C12" s="612" t="s">
        <v>1646</v>
      </c>
      <c r="D12" s="612" t="s">
        <v>1873</v>
      </c>
      <c r="E12" s="612" t="s">
        <v>1874</v>
      </c>
      <c r="F12" s="615">
        <v>2</v>
      </c>
      <c r="G12" s="615">
        <v>2490</v>
      </c>
      <c r="H12" s="615">
        <v>1</v>
      </c>
      <c r="I12" s="615">
        <v>1245</v>
      </c>
      <c r="J12" s="615">
        <v>1</v>
      </c>
      <c r="K12" s="615">
        <v>1245</v>
      </c>
      <c r="L12" s="615">
        <v>0.5</v>
      </c>
      <c r="M12" s="615">
        <v>1245</v>
      </c>
      <c r="N12" s="615"/>
      <c r="O12" s="615"/>
      <c r="P12" s="628"/>
      <c r="Q12" s="616"/>
    </row>
    <row r="13" spans="1:17" ht="14.4" customHeight="1" x14ac:dyDescent="0.3">
      <c r="A13" s="611" t="s">
        <v>1879</v>
      </c>
      <c r="B13" s="612" t="s">
        <v>1870</v>
      </c>
      <c r="C13" s="612" t="s">
        <v>1646</v>
      </c>
      <c r="D13" s="612" t="s">
        <v>1882</v>
      </c>
      <c r="E13" s="612" t="s">
        <v>1883</v>
      </c>
      <c r="F13" s="615">
        <v>3</v>
      </c>
      <c r="G13" s="615">
        <v>1272</v>
      </c>
      <c r="H13" s="615">
        <v>1</v>
      </c>
      <c r="I13" s="615">
        <v>424</v>
      </c>
      <c r="J13" s="615">
        <v>3</v>
      </c>
      <c r="K13" s="615">
        <v>1272</v>
      </c>
      <c r="L13" s="615">
        <v>1</v>
      </c>
      <c r="M13" s="615">
        <v>424</v>
      </c>
      <c r="N13" s="615"/>
      <c r="O13" s="615"/>
      <c r="P13" s="628"/>
      <c r="Q13" s="616"/>
    </row>
    <row r="14" spans="1:17" ht="14.4" customHeight="1" x14ac:dyDescent="0.3">
      <c r="A14" s="611" t="s">
        <v>1879</v>
      </c>
      <c r="B14" s="612" t="s">
        <v>1870</v>
      </c>
      <c r="C14" s="612" t="s">
        <v>1646</v>
      </c>
      <c r="D14" s="612" t="s">
        <v>1884</v>
      </c>
      <c r="E14" s="612" t="s">
        <v>1885</v>
      </c>
      <c r="F14" s="615">
        <v>3</v>
      </c>
      <c r="G14" s="615">
        <v>3006</v>
      </c>
      <c r="H14" s="615">
        <v>1</v>
      </c>
      <c r="I14" s="615">
        <v>1002</v>
      </c>
      <c r="J14" s="615">
        <v>3</v>
      </c>
      <c r="K14" s="615">
        <v>3006</v>
      </c>
      <c r="L14" s="615">
        <v>1</v>
      </c>
      <c r="M14" s="615">
        <v>1002</v>
      </c>
      <c r="N14" s="615"/>
      <c r="O14" s="615"/>
      <c r="P14" s="628"/>
      <c r="Q14" s="616"/>
    </row>
    <row r="15" spans="1:17" ht="14.4" customHeight="1" x14ac:dyDescent="0.3">
      <c r="A15" s="611" t="s">
        <v>1879</v>
      </c>
      <c r="B15" s="612" t="s">
        <v>1870</v>
      </c>
      <c r="C15" s="612" t="s">
        <v>1646</v>
      </c>
      <c r="D15" s="612" t="s">
        <v>1875</v>
      </c>
      <c r="E15" s="612" t="s">
        <v>1876</v>
      </c>
      <c r="F15" s="615">
        <v>1</v>
      </c>
      <c r="G15" s="615">
        <v>2233</v>
      </c>
      <c r="H15" s="615">
        <v>1</v>
      </c>
      <c r="I15" s="615">
        <v>2233</v>
      </c>
      <c r="J15" s="615"/>
      <c r="K15" s="615"/>
      <c r="L15" s="615"/>
      <c r="M15" s="615"/>
      <c r="N15" s="615"/>
      <c r="O15" s="615"/>
      <c r="P15" s="628"/>
      <c r="Q15" s="616"/>
    </row>
    <row r="16" spans="1:17" ht="14.4" customHeight="1" x14ac:dyDescent="0.3">
      <c r="A16" s="611" t="s">
        <v>1879</v>
      </c>
      <c r="B16" s="612" t="s">
        <v>1886</v>
      </c>
      <c r="C16" s="612" t="s">
        <v>1646</v>
      </c>
      <c r="D16" s="612" t="s">
        <v>1887</v>
      </c>
      <c r="E16" s="612" t="s">
        <v>1888</v>
      </c>
      <c r="F16" s="615">
        <v>15</v>
      </c>
      <c r="G16" s="615">
        <v>5250</v>
      </c>
      <c r="H16" s="615">
        <v>1</v>
      </c>
      <c r="I16" s="615">
        <v>350</v>
      </c>
      <c r="J16" s="615">
        <v>10</v>
      </c>
      <c r="K16" s="615">
        <v>3503</v>
      </c>
      <c r="L16" s="615">
        <v>0.66723809523809519</v>
      </c>
      <c r="M16" s="615">
        <v>350.3</v>
      </c>
      <c r="N16" s="615"/>
      <c r="O16" s="615"/>
      <c r="P16" s="628"/>
      <c r="Q16" s="616"/>
    </row>
    <row r="17" spans="1:17" ht="14.4" customHeight="1" x14ac:dyDescent="0.3">
      <c r="A17" s="611" t="s">
        <v>1879</v>
      </c>
      <c r="B17" s="612" t="s">
        <v>1886</v>
      </c>
      <c r="C17" s="612" t="s">
        <v>1646</v>
      </c>
      <c r="D17" s="612" t="s">
        <v>1889</v>
      </c>
      <c r="E17" s="612" t="s">
        <v>1890</v>
      </c>
      <c r="F17" s="615">
        <v>11</v>
      </c>
      <c r="G17" s="615">
        <v>715</v>
      </c>
      <c r="H17" s="615">
        <v>1</v>
      </c>
      <c r="I17" s="615">
        <v>65</v>
      </c>
      <c r="J17" s="615">
        <v>7</v>
      </c>
      <c r="K17" s="615">
        <v>455</v>
      </c>
      <c r="L17" s="615">
        <v>0.63636363636363635</v>
      </c>
      <c r="M17" s="615">
        <v>65</v>
      </c>
      <c r="N17" s="615">
        <v>961</v>
      </c>
      <c r="O17" s="615">
        <v>62465</v>
      </c>
      <c r="P17" s="628">
        <v>87.36363636363636</v>
      </c>
      <c r="Q17" s="616">
        <v>65</v>
      </c>
    </row>
    <row r="18" spans="1:17" ht="14.4" customHeight="1" x14ac:dyDescent="0.3">
      <c r="A18" s="611" t="s">
        <v>1879</v>
      </c>
      <c r="B18" s="612" t="s">
        <v>1886</v>
      </c>
      <c r="C18" s="612" t="s">
        <v>1646</v>
      </c>
      <c r="D18" s="612" t="s">
        <v>1891</v>
      </c>
      <c r="E18" s="612" t="s">
        <v>1892</v>
      </c>
      <c r="F18" s="615">
        <v>1</v>
      </c>
      <c r="G18" s="615">
        <v>590</v>
      </c>
      <c r="H18" s="615">
        <v>1</v>
      </c>
      <c r="I18" s="615">
        <v>590</v>
      </c>
      <c r="J18" s="615">
        <v>2</v>
      </c>
      <c r="K18" s="615">
        <v>1182</v>
      </c>
      <c r="L18" s="615">
        <v>2.0033898305084747</v>
      </c>
      <c r="M18" s="615">
        <v>591</v>
      </c>
      <c r="N18" s="615"/>
      <c r="O18" s="615"/>
      <c r="P18" s="628"/>
      <c r="Q18" s="616"/>
    </row>
    <row r="19" spans="1:17" ht="14.4" customHeight="1" x14ac:dyDescent="0.3">
      <c r="A19" s="611" t="s">
        <v>1879</v>
      </c>
      <c r="B19" s="612" t="s">
        <v>1886</v>
      </c>
      <c r="C19" s="612" t="s">
        <v>1646</v>
      </c>
      <c r="D19" s="612" t="s">
        <v>1893</v>
      </c>
      <c r="E19" s="612" t="s">
        <v>1894</v>
      </c>
      <c r="F19" s="615">
        <v>1</v>
      </c>
      <c r="G19" s="615">
        <v>615</v>
      </c>
      <c r="H19" s="615">
        <v>1</v>
      </c>
      <c r="I19" s="615">
        <v>615</v>
      </c>
      <c r="J19" s="615"/>
      <c r="K19" s="615"/>
      <c r="L19" s="615"/>
      <c r="M19" s="615"/>
      <c r="N19" s="615"/>
      <c r="O19" s="615"/>
      <c r="P19" s="628"/>
      <c r="Q19" s="616"/>
    </row>
    <row r="20" spans="1:17" ht="14.4" customHeight="1" x14ac:dyDescent="0.3">
      <c r="A20" s="611" t="s">
        <v>1879</v>
      </c>
      <c r="B20" s="612" t="s">
        <v>1886</v>
      </c>
      <c r="C20" s="612" t="s">
        <v>1646</v>
      </c>
      <c r="D20" s="612" t="s">
        <v>1895</v>
      </c>
      <c r="E20" s="612" t="s">
        <v>1896</v>
      </c>
      <c r="F20" s="615">
        <v>41</v>
      </c>
      <c r="G20" s="615">
        <v>943</v>
      </c>
      <c r="H20" s="615">
        <v>1</v>
      </c>
      <c r="I20" s="615">
        <v>23</v>
      </c>
      <c r="J20" s="615">
        <v>54</v>
      </c>
      <c r="K20" s="615">
        <v>1228</v>
      </c>
      <c r="L20" s="615">
        <v>1.3022269353128313</v>
      </c>
      <c r="M20" s="615">
        <v>22.74074074074074</v>
      </c>
      <c r="N20" s="615">
        <v>15</v>
      </c>
      <c r="O20" s="615">
        <v>360</v>
      </c>
      <c r="P20" s="628">
        <v>0.38176033934252385</v>
      </c>
      <c r="Q20" s="616">
        <v>24</v>
      </c>
    </row>
    <row r="21" spans="1:17" ht="14.4" customHeight="1" x14ac:dyDescent="0.3">
      <c r="A21" s="611" t="s">
        <v>1879</v>
      </c>
      <c r="B21" s="612" t="s">
        <v>1886</v>
      </c>
      <c r="C21" s="612" t="s">
        <v>1646</v>
      </c>
      <c r="D21" s="612" t="s">
        <v>1897</v>
      </c>
      <c r="E21" s="612" t="s">
        <v>1898</v>
      </c>
      <c r="F21" s="615">
        <v>3</v>
      </c>
      <c r="G21" s="615">
        <v>162</v>
      </c>
      <c r="H21" s="615">
        <v>1</v>
      </c>
      <c r="I21" s="615">
        <v>54</v>
      </c>
      <c r="J21" s="615">
        <v>17</v>
      </c>
      <c r="K21" s="615">
        <v>918</v>
      </c>
      <c r="L21" s="615">
        <v>5.666666666666667</v>
      </c>
      <c r="M21" s="615">
        <v>54</v>
      </c>
      <c r="N21" s="615">
        <v>4</v>
      </c>
      <c r="O21" s="615">
        <v>216</v>
      </c>
      <c r="P21" s="628">
        <v>1.3333333333333333</v>
      </c>
      <c r="Q21" s="616">
        <v>54</v>
      </c>
    </row>
    <row r="22" spans="1:17" ht="14.4" customHeight="1" x14ac:dyDescent="0.3">
      <c r="A22" s="611" t="s">
        <v>1879</v>
      </c>
      <c r="B22" s="612" t="s">
        <v>1886</v>
      </c>
      <c r="C22" s="612" t="s">
        <v>1646</v>
      </c>
      <c r="D22" s="612" t="s">
        <v>1899</v>
      </c>
      <c r="E22" s="612" t="s">
        <v>1900</v>
      </c>
      <c r="F22" s="615">
        <v>34</v>
      </c>
      <c r="G22" s="615">
        <v>2618</v>
      </c>
      <c r="H22" s="615">
        <v>1</v>
      </c>
      <c r="I22" s="615">
        <v>77</v>
      </c>
      <c r="J22" s="615">
        <v>59</v>
      </c>
      <c r="K22" s="615">
        <v>4543</v>
      </c>
      <c r="L22" s="615">
        <v>1.7352941176470589</v>
      </c>
      <c r="M22" s="615">
        <v>77</v>
      </c>
      <c r="N22" s="615">
        <v>54</v>
      </c>
      <c r="O22" s="615">
        <v>4158</v>
      </c>
      <c r="P22" s="628">
        <v>1.588235294117647</v>
      </c>
      <c r="Q22" s="616">
        <v>77</v>
      </c>
    </row>
    <row r="23" spans="1:17" ht="14.4" customHeight="1" x14ac:dyDescent="0.3">
      <c r="A23" s="611" t="s">
        <v>1879</v>
      </c>
      <c r="B23" s="612" t="s">
        <v>1886</v>
      </c>
      <c r="C23" s="612" t="s">
        <v>1646</v>
      </c>
      <c r="D23" s="612" t="s">
        <v>1901</v>
      </c>
      <c r="E23" s="612" t="s">
        <v>1902</v>
      </c>
      <c r="F23" s="615">
        <v>843</v>
      </c>
      <c r="G23" s="615">
        <v>18546</v>
      </c>
      <c r="H23" s="615">
        <v>1</v>
      </c>
      <c r="I23" s="615">
        <v>22</v>
      </c>
      <c r="J23" s="615">
        <v>915</v>
      </c>
      <c r="K23" s="615">
        <v>20206</v>
      </c>
      <c r="L23" s="615">
        <v>1.0895071713577051</v>
      </c>
      <c r="M23" s="615">
        <v>22.083060109289619</v>
      </c>
      <c r="N23" s="615">
        <v>618</v>
      </c>
      <c r="O23" s="615">
        <v>14214</v>
      </c>
      <c r="P23" s="628">
        <v>0.76641863474603689</v>
      </c>
      <c r="Q23" s="616">
        <v>23</v>
      </c>
    </row>
    <row r="24" spans="1:17" ht="14.4" customHeight="1" x14ac:dyDescent="0.3">
      <c r="A24" s="611" t="s">
        <v>1879</v>
      </c>
      <c r="B24" s="612" t="s">
        <v>1886</v>
      </c>
      <c r="C24" s="612" t="s">
        <v>1646</v>
      </c>
      <c r="D24" s="612" t="s">
        <v>1903</v>
      </c>
      <c r="E24" s="612" t="s">
        <v>1904</v>
      </c>
      <c r="F24" s="615">
        <v>1</v>
      </c>
      <c r="G24" s="615">
        <v>627</v>
      </c>
      <c r="H24" s="615">
        <v>1</v>
      </c>
      <c r="I24" s="615">
        <v>627</v>
      </c>
      <c r="J24" s="615"/>
      <c r="K24" s="615"/>
      <c r="L24" s="615"/>
      <c r="M24" s="615"/>
      <c r="N24" s="615"/>
      <c r="O24" s="615"/>
      <c r="P24" s="628"/>
      <c r="Q24" s="616"/>
    </row>
    <row r="25" spans="1:17" ht="14.4" customHeight="1" x14ac:dyDescent="0.3">
      <c r="A25" s="611" t="s">
        <v>1879</v>
      </c>
      <c r="B25" s="612" t="s">
        <v>1886</v>
      </c>
      <c r="C25" s="612" t="s">
        <v>1646</v>
      </c>
      <c r="D25" s="612" t="s">
        <v>1905</v>
      </c>
      <c r="E25" s="612" t="s">
        <v>1906</v>
      </c>
      <c r="F25" s="615">
        <v>5</v>
      </c>
      <c r="G25" s="615">
        <v>1045</v>
      </c>
      <c r="H25" s="615">
        <v>1</v>
      </c>
      <c r="I25" s="615">
        <v>209</v>
      </c>
      <c r="J25" s="615"/>
      <c r="K25" s="615"/>
      <c r="L25" s="615"/>
      <c r="M25" s="615"/>
      <c r="N25" s="615">
        <v>1</v>
      </c>
      <c r="O25" s="615">
        <v>209</v>
      </c>
      <c r="P25" s="628">
        <v>0.2</v>
      </c>
      <c r="Q25" s="616">
        <v>209</v>
      </c>
    </row>
    <row r="26" spans="1:17" ht="14.4" customHeight="1" x14ac:dyDescent="0.3">
      <c r="A26" s="611" t="s">
        <v>1879</v>
      </c>
      <c r="B26" s="612" t="s">
        <v>1886</v>
      </c>
      <c r="C26" s="612" t="s">
        <v>1646</v>
      </c>
      <c r="D26" s="612" t="s">
        <v>1907</v>
      </c>
      <c r="E26" s="612" t="s">
        <v>1908</v>
      </c>
      <c r="F26" s="615">
        <v>53</v>
      </c>
      <c r="G26" s="615">
        <v>3498</v>
      </c>
      <c r="H26" s="615">
        <v>1</v>
      </c>
      <c r="I26" s="615">
        <v>66</v>
      </c>
      <c r="J26" s="615">
        <v>56</v>
      </c>
      <c r="K26" s="615">
        <v>3696</v>
      </c>
      <c r="L26" s="615">
        <v>1.0566037735849056</v>
      </c>
      <c r="M26" s="615">
        <v>66</v>
      </c>
      <c r="N26" s="615">
        <v>94</v>
      </c>
      <c r="O26" s="615">
        <v>6204</v>
      </c>
      <c r="P26" s="628">
        <v>1.7735849056603774</v>
      </c>
      <c r="Q26" s="616">
        <v>66</v>
      </c>
    </row>
    <row r="27" spans="1:17" ht="14.4" customHeight="1" x14ac:dyDescent="0.3">
      <c r="A27" s="611" t="s">
        <v>1879</v>
      </c>
      <c r="B27" s="612" t="s">
        <v>1886</v>
      </c>
      <c r="C27" s="612" t="s">
        <v>1646</v>
      </c>
      <c r="D27" s="612" t="s">
        <v>1909</v>
      </c>
      <c r="E27" s="612" t="s">
        <v>1910</v>
      </c>
      <c r="F27" s="615">
        <v>781</v>
      </c>
      <c r="G27" s="615">
        <v>18744</v>
      </c>
      <c r="H27" s="615">
        <v>1</v>
      </c>
      <c r="I27" s="615">
        <v>24</v>
      </c>
      <c r="J27" s="615">
        <v>842</v>
      </c>
      <c r="K27" s="615">
        <v>19872</v>
      </c>
      <c r="L27" s="615">
        <v>1.0601792573623559</v>
      </c>
      <c r="M27" s="615">
        <v>23.600950118764846</v>
      </c>
      <c r="N27" s="615">
        <v>580</v>
      </c>
      <c r="O27" s="615">
        <v>13920</v>
      </c>
      <c r="P27" s="628">
        <v>0.74263764404609478</v>
      </c>
      <c r="Q27" s="616">
        <v>24</v>
      </c>
    </row>
    <row r="28" spans="1:17" ht="14.4" customHeight="1" x14ac:dyDescent="0.3">
      <c r="A28" s="611" t="s">
        <v>1879</v>
      </c>
      <c r="B28" s="612" t="s">
        <v>1886</v>
      </c>
      <c r="C28" s="612" t="s">
        <v>1646</v>
      </c>
      <c r="D28" s="612" t="s">
        <v>1911</v>
      </c>
      <c r="E28" s="612" t="s">
        <v>1912</v>
      </c>
      <c r="F28" s="615">
        <v>1</v>
      </c>
      <c r="G28" s="615">
        <v>738</v>
      </c>
      <c r="H28" s="615">
        <v>1</v>
      </c>
      <c r="I28" s="615">
        <v>738</v>
      </c>
      <c r="J28" s="615">
        <v>1</v>
      </c>
      <c r="K28" s="615">
        <v>738</v>
      </c>
      <c r="L28" s="615">
        <v>1</v>
      </c>
      <c r="M28" s="615">
        <v>738</v>
      </c>
      <c r="N28" s="615">
        <v>1</v>
      </c>
      <c r="O28" s="615">
        <v>739</v>
      </c>
      <c r="P28" s="628">
        <v>1.0013550135501355</v>
      </c>
      <c r="Q28" s="616">
        <v>739</v>
      </c>
    </row>
    <row r="29" spans="1:17" ht="14.4" customHeight="1" x14ac:dyDescent="0.3">
      <c r="A29" s="611" t="s">
        <v>1879</v>
      </c>
      <c r="B29" s="612" t="s">
        <v>1886</v>
      </c>
      <c r="C29" s="612" t="s">
        <v>1646</v>
      </c>
      <c r="D29" s="612" t="s">
        <v>1913</v>
      </c>
      <c r="E29" s="612" t="s">
        <v>1914</v>
      </c>
      <c r="F29" s="615">
        <v>10</v>
      </c>
      <c r="G29" s="615">
        <v>1800</v>
      </c>
      <c r="H29" s="615">
        <v>1</v>
      </c>
      <c r="I29" s="615">
        <v>180</v>
      </c>
      <c r="J29" s="615">
        <v>14</v>
      </c>
      <c r="K29" s="615">
        <v>2520</v>
      </c>
      <c r="L29" s="615">
        <v>1.4</v>
      </c>
      <c r="M29" s="615">
        <v>180</v>
      </c>
      <c r="N29" s="615">
        <v>11</v>
      </c>
      <c r="O29" s="615">
        <v>1980</v>
      </c>
      <c r="P29" s="628">
        <v>1.1000000000000001</v>
      </c>
      <c r="Q29" s="616">
        <v>180</v>
      </c>
    </row>
    <row r="30" spans="1:17" ht="14.4" customHeight="1" x14ac:dyDescent="0.3">
      <c r="A30" s="611" t="s">
        <v>1879</v>
      </c>
      <c r="B30" s="612" t="s">
        <v>1886</v>
      </c>
      <c r="C30" s="612" t="s">
        <v>1646</v>
      </c>
      <c r="D30" s="612" t="s">
        <v>1915</v>
      </c>
      <c r="E30" s="612" t="s">
        <v>1916</v>
      </c>
      <c r="F30" s="615">
        <v>4</v>
      </c>
      <c r="G30" s="615">
        <v>1012</v>
      </c>
      <c r="H30" s="615">
        <v>1</v>
      </c>
      <c r="I30" s="615">
        <v>253</v>
      </c>
      <c r="J30" s="615">
        <v>40</v>
      </c>
      <c r="K30" s="615">
        <v>10120</v>
      </c>
      <c r="L30" s="615">
        <v>10</v>
      </c>
      <c r="M30" s="615">
        <v>253</v>
      </c>
      <c r="N30" s="615">
        <v>22</v>
      </c>
      <c r="O30" s="615">
        <v>5566</v>
      </c>
      <c r="P30" s="628">
        <v>5.5</v>
      </c>
      <c r="Q30" s="616">
        <v>253</v>
      </c>
    </row>
    <row r="31" spans="1:17" ht="14.4" customHeight="1" x14ac:dyDescent="0.3">
      <c r="A31" s="611" t="s">
        <v>1879</v>
      </c>
      <c r="B31" s="612" t="s">
        <v>1886</v>
      </c>
      <c r="C31" s="612" t="s">
        <v>1646</v>
      </c>
      <c r="D31" s="612" t="s">
        <v>1917</v>
      </c>
      <c r="E31" s="612" t="s">
        <v>1918</v>
      </c>
      <c r="F31" s="615">
        <v>1</v>
      </c>
      <c r="G31" s="615">
        <v>264</v>
      </c>
      <c r="H31" s="615">
        <v>1</v>
      </c>
      <c r="I31" s="615">
        <v>264</v>
      </c>
      <c r="J31" s="615"/>
      <c r="K31" s="615"/>
      <c r="L31" s="615"/>
      <c r="M31" s="615"/>
      <c r="N31" s="615"/>
      <c r="O31" s="615"/>
      <c r="P31" s="628"/>
      <c r="Q31" s="616"/>
    </row>
    <row r="32" spans="1:17" ht="14.4" customHeight="1" x14ac:dyDescent="0.3">
      <c r="A32" s="611" t="s">
        <v>1879</v>
      </c>
      <c r="B32" s="612" t="s">
        <v>1886</v>
      </c>
      <c r="C32" s="612" t="s">
        <v>1646</v>
      </c>
      <c r="D32" s="612" t="s">
        <v>1919</v>
      </c>
      <c r="E32" s="612" t="s">
        <v>1920</v>
      </c>
      <c r="F32" s="615">
        <v>16</v>
      </c>
      <c r="G32" s="615">
        <v>3456</v>
      </c>
      <c r="H32" s="615">
        <v>1</v>
      </c>
      <c r="I32" s="615">
        <v>216</v>
      </c>
      <c r="J32" s="615">
        <v>24</v>
      </c>
      <c r="K32" s="615">
        <v>5184</v>
      </c>
      <c r="L32" s="615">
        <v>1.5</v>
      </c>
      <c r="M32" s="615">
        <v>216</v>
      </c>
      <c r="N32" s="615">
        <v>12</v>
      </c>
      <c r="O32" s="615">
        <v>2592</v>
      </c>
      <c r="P32" s="628">
        <v>0.75</v>
      </c>
      <c r="Q32" s="616">
        <v>216</v>
      </c>
    </row>
    <row r="33" spans="1:17" ht="14.4" customHeight="1" x14ac:dyDescent="0.3">
      <c r="A33" s="611" t="s">
        <v>1879</v>
      </c>
      <c r="B33" s="612" t="s">
        <v>1886</v>
      </c>
      <c r="C33" s="612" t="s">
        <v>1646</v>
      </c>
      <c r="D33" s="612" t="s">
        <v>1921</v>
      </c>
      <c r="E33" s="612" t="s">
        <v>1922</v>
      </c>
      <c r="F33" s="615"/>
      <c r="G33" s="615"/>
      <c r="H33" s="615"/>
      <c r="I33" s="615"/>
      <c r="J33" s="615"/>
      <c r="K33" s="615"/>
      <c r="L33" s="615"/>
      <c r="M33" s="615"/>
      <c r="N33" s="615">
        <v>1</v>
      </c>
      <c r="O33" s="615">
        <v>36</v>
      </c>
      <c r="P33" s="628"/>
      <c r="Q33" s="616">
        <v>36</v>
      </c>
    </row>
    <row r="34" spans="1:17" ht="14.4" customHeight="1" x14ac:dyDescent="0.3">
      <c r="A34" s="611" t="s">
        <v>1879</v>
      </c>
      <c r="B34" s="612" t="s">
        <v>1886</v>
      </c>
      <c r="C34" s="612" t="s">
        <v>1646</v>
      </c>
      <c r="D34" s="612" t="s">
        <v>1923</v>
      </c>
      <c r="E34" s="612" t="s">
        <v>1924</v>
      </c>
      <c r="F34" s="615">
        <v>1</v>
      </c>
      <c r="G34" s="615">
        <v>590</v>
      </c>
      <c r="H34" s="615">
        <v>1</v>
      </c>
      <c r="I34" s="615">
        <v>590</v>
      </c>
      <c r="J34" s="615"/>
      <c r="K34" s="615"/>
      <c r="L34" s="615"/>
      <c r="M34" s="615"/>
      <c r="N34" s="615"/>
      <c r="O34" s="615"/>
      <c r="P34" s="628"/>
      <c r="Q34" s="616"/>
    </row>
    <row r="35" spans="1:17" ht="14.4" customHeight="1" x14ac:dyDescent="0.3">
      <c r="A35" s="611" t="s">
        <v>1879</v>
      </c>
      <c r="B35" s="612" t="s">
        <v>1886</v>
      </c>
      <c r="C35" s="612" t="s">
        <v>1646</v>
      </c>
      <c r="D35" s="612" t="s">
        <v>1925</v>
      </c>
      <c r="E35" s="612" t="s">
        <v>1926</v>
      </c>
      <c r="F35" s="615">
        <v>132</v>
      </c>
      <c r="G35" s="615">
        <v>6600</v>
      </c>
      <c r="H35" s="615">
        <v>1</v>
      </c>
      <c r="I35" s="615">
        <v>50</v>
      </c>
      <c r="J35" s="615">
        <v>178</v>
      </c>
      <c r="K35" s="615">
        <v>8700</v>
      </c>
      <c r="L35" s="615">
        <v>1.3181818181818181</v>
      </c>
      <c r="M35" s="615">
        <v>48.876404494382022</v>
      </c>
      <c r="N35" s="615">
        <v>140</v>
      </c>
      <c r="O35" s="615">
        <v>7000</v>
      </c>
      <c r="P35" s="628">
        <v>1.0606060606060606</v>
      </c>
      <c r="Q35" s="616">
        <v>50</v>
      </c>
    </row>
    <row r="36" spans="1:17" ht="14.4" customHeight="1" x14ac:dyDescent="0.3">
      <c r="A36" s="611" t="s">
        <v>1879</v>
      </c>
      <c r="B36" s="612" t="s">
        <v>1886</v>
      </c>
      <c r="C36" s="612" t="s">
        <v>1646</v>
      </c>
      <c r="D36" s="612" t="s">
        <v>1927</v>
      </c>
      <c r="E36" s="612" t="s">
        <v>1928</v>
      </c>
      <c r="F36" s="615">
        <v>1</v>
      </c>
      <c r="G36" s="615">
        <v>545</v>
      </c>
      <c r="H36" s="615">
        <v>1</v>
      </c>
      <c r="I36" s="615">
        <v>545</v>
      </c>
      <c r="J36" s="615"/>
      <c r="K36" s="615"/>
      <c r="L36" s="615"/>
      <c r="M36" s="615"/>
      <c r="N36" s="615"/>
      <c r="O36" s="615"/>
      <c r="P36" s="628"/>
      <c r="Q36" s="616"/>
    </row>
    <row r="37" spans="1:17" ht="14.4" customHeight="1" x14ac:dyDescent="0.3">
      <c r="A37" s="611" t="s">
        <v>1879</v>
      </c>
      <c r="B37" s="612" t="s">
        <v>1886</v>
      </c>
      <c r="C37" s="612" t="s">
        <v>1646</v>
      </c>
      <c r="D37" s="612" t="s">
        <v>1929</v>
      </c>
      <c r="E37" s="612" t="s">
        <v>1930</v>
      </c>
      <c r="F37" s="615">
        <v>1</v>
      </c>
      <c r="G37" s="615">
        <v>734</v>
      </c>
      <c r="H37" s="615">
        <v>1</v>
      </c>
      <c r="I37" s="615">
        <v>734</v>
      </c>
      <c r="J37" s="615">
        <v>1</v>
      </c>
      <c r="K37" s="615">
        <v>734</v>
      </c>
      <c r="L37" s="615">
        <v>1</v>
      </c>
      <c r="M37" s="615">
        <v>734</v>
      </c>
      <c r="N37" s="615">
        <v>1</v>
      </c>
      <c r="O37" s="615">
        <v>735</v>
      </c>
      <c r="P37" s="628">
        <v>1.0013623978201636</v>
      </c>
      <c r="Q37" s="616">
        <v>735</v>
      </c>
    </row>
    <row r="38" spans="1:17" ht="14.4" customHeight="1" x14ac:dyDescent="0.3">
      <c r="A38" s="611" t="s">
        <v>1879</v>
      </c>
      <c r="B38" s="612" t="s">
        <v>1886</v>
      </c>
      <c r="C38" s="612" t="s">
        <v>1646</v>
      </c>
      <c r="D38" s="612" t="s">
        <v>1931</v>
      </c>
      <c r="E38" s="612" t="s">
        <v>1932</v>
      </c>
      <c r="F38" s="615">
        <v>1</v>
      </c>
      <c r="G38" s="615">
        <v>344</v>
      </c>
      <c r="H38" s="615">
        <v>1</v>
      </c>
      <c r="I38" s="615">
        <v>344</v>
      </c>
      <c r="J38" s="615"/>
      <c r="K38" s="615"/>
      <c r="L38" s="615"/>
      <c r="M38" s="615"/>
      <c r="N38" s="615"/>
      <c r="O38" s="615"/>
      <c r="P38" s="628"/>
      <c r="Q38" s="616"/>
    </row>
    <row r="39" spans="1:17" ht="14.4" customHeight="1" x14ac:dyDescent="0.3">
      <c r="A39" s="611" t="s">
        <v>1879</v>
      </c>
      <c r="B39" s="612" t="s">
        <v>1886</v>
      </c>
      <c r="C39" s="612" t="s">
        <v>1646</v>
      </c>
      <c r="D39" s="612" t="s">
        <v>1933</v>
      </c>
      <c r="E39" s="612" t="s">
        <v>1934</v>
      </c>
      <c r="F39" s="615"/>
      <c r="G39" s="615"/>
      <c r="H39" s="615"/>
      <c r="I39" s="615"/>
      <c r="J39" s="615">
        <v>1</v>
      </c>
      <c r="K39" s="615">
        <v>231</v>
      </c>
      <c r="L39" s="615"/>
      <c r="M39" s="615">
        <v>231</v>
      </c>
      <c r="N39" s="615"/>
      <c r="O39" s="615"/>
      <c r="P39" s="628"/>
      <c r="Q39" s="616"/>
    </row>
    <row r="40" spans="1:17" ht="14.4" customHeight="1" x14ac:dyDescent="0.3">
      <c r="A40" s="611" t="s">
        <v>1935</v>
      </c>
      <c r="B40" s="612" t="s">
        <v>1936</v>
      </c>
      <c r="C40" s="612" t="s">
        <v>1646</v>
      </c>
      <c r="D40" s="612" t="s">
        <v>1937</v>
      </c>
      <c r="E40" s="612" t="s">
        <v>1938</v>
      </c>
      <c r="F40" s="615">
        <v>42</v>
      </c>
      <c r="G40" s="615">
        <v>1134</v>
      </c>
      <c r="H40" s="615">
        <v>1</v>
      </c>
      <c r="I40" s="615">
        <v>27</v>
      </c>
      <c r="J40" s="615">
        <v>50</v>
      </c>
      <c r="K40" s="615">
        <v>1350</v>
      </c>
      <c r="L40" s="615">
        <v>1.1904761904761905</v>
      </c>
      <c r="M40" s="615">
        <v>27</v>
      </c>
      <c r="N40" s="615">
        <v>47</v>
      </c>
      <c r="O40" s="615">
        <v>1269</v>
      </c>
      <c r="P40" s="628">
        <v>1.1190476190476191</v>
      </c>
      <c r="Q40" s="616">
        <v>27</v>
      </c>
    </row>
    <row r="41" spans="1:17" ht="14.4" customHeight="1" x14ac:dyDescent="0.3">
      <c r="A41" s="611" t="s">
        <v>1935</v>
      </c>
      <c r="B41" s="612" t="s">
        <v>1936</v>
      </c>
      <c r="C41" s="612" t="s">
        <v>1646</v>
      </c>
      <c r="D41" s="612" t="s">
        <v>1939</v>
      </c>
      <c r="E41" s="612" t="s">
        <v>1940</v>
      </c>
      <c r="F41" s="615">
        <v>1</v>
      </c>
      <c r="G41" s="615">
        <v>54</v>
      </c>
      <c r="H41" s="615">
        <v>1</v>
      </c>
      <c r="I41" s="615">
        <v>54</v>
      </c>
      <c r="J41" s="615"/>
      <c r="K41" s="615"/>
      <c r="L41" s="615"/>
      <c r="M41" s="615"/>
      <c r="N41" s="615"/>
      <c r="O41" s="615"/>
      <c r="P41" s="628"/>
      <c r="Q41" s="616"/>
    </row>
    <row r="42" spans="1:17" ht="14.4" customHeight="1" x14ac:dyDescent="0.3">
      <c r="A42" s="611" t="s">
        <v>1935</v>
      </c>
      <c r="B42" s="612" t="s">
        <v>1936</v>
      </c>
      <c r="C42" s="612" t="s">
        <v>1646</v>
      </c>
      <c r="D42" s="612" t="s">
        <v>1941</v>
      </c>
      <c r="E42" s="612" t="s">
        <v>1942</v>
      </c>
      <c r="F42" s="615">
        <v>2</v>
      </c>
      <c r="G42" s="615">
        <v>48</v>
      </c>
      <c r="H42" s="615">
        <v>1</v>
      </c>
      <c r="I42" s="615">
        <v>24</v>
      </c>
      <c r="J42" s="615"/>
      <c r="K42" s="615"/>
      <c r="L42" s="615"/>
      <c r="M42" s="615"/>
      <c r="N42" s="615">
        <v>8</v>
      </c>
      <c r="O42" s="615">
        <v>192</v>
      </c>
      <c r="P42" s="628">
        <v>4</v>
      </c>
      <c r="Q42" s="616">
        <v>24</v>
      </c>
    </row>
    <row r="43" spans="1:17" ht="14.4" customHeight="1" x14ac:dyDescent="0.3">
      <c r="A43" s="611" t="s">
        <v>1935</v>
      </c>
      <c r="B43" s="612" t="s">
        <v>1936</v>
      </c>
      <c r="C43" s="612" t="s">
        <v>1646</v>
      </c>
      <c r="D43" s="612" t="s">
        <v>1943</v>
      </c>
      <c r="E43" s="612" t="s">
        <v>1944</v>
      </c>
      <c r="F43" s="615">
        <v>67</v>
      </c>
      <c r="G43" s="615">
        <v>1809</v>
      </c>
      <c r="H43" s="615">
        <v>1</v>
      </c>
      <c r="I43" s="615">
        <v>27</v>
      </c>
      <c r="J43" s="615">
        <v>65</v>
      </c>
      <c r="K43" s="615">
        <v>1755</v>
      </c>
      <c r="L43" s="615">
        <v>0.97014925373134331</v>
      </c>
      <c r="M43" s="615">
        <v>27</v>
      </c>
      <c r="N43" s="615">
        <v>81</v>
      </c>
      <c r="O43" s="615">
        <v>2187</v>
      </c>
      <c r="P43" s="628">
        <v>1.208955223880597</v>
      </c>
      <c r="Q43" s="616">
        <v>27</v>
      </c>
    </row>
    <row r="44" spans="1:17" ht="14.4" customHeight="1" x14ac:dyDescent="0.3">
      <c r="A44" s="611" t="s">
        <v>1935</v>
      </c>
      <c r="B44" s="612" t="s">
        <v>1936</v>
      </c>
      <c r="C44" s="612" t="s">
        <v>1646</v>
      </c>
      <c r="D44" s="612" t="s">
        <v>1945</v>
      </c>
      <c r="E44" s="612" t="s">
        <v>1946</v>
      </c>
      <c r="F44" s="615">
        <v>2441</v>
      </c>
      <c r="G44" s="615">
        <v>136696</v>
      </c>
      <c r="H44" s="615">
        <v>1</v>
      </c>
      <c r="I44" s="615">
        <v>56</v>
      </c>
      <c r="J44" s="615">
        <v>769</v>
      </c>
      <c r="K44" s="615">
        <v>42515</v>
      </c>
      <c r="L44" s="615">
        <v>0.31101861063966757</v>
      </c>
      <c r="M44" s="615">
        <v>55.286085825747726</v>
      </c>
      <c r="N44" s="615"/>
      <c r="O44" s="615"/>
      <c r="P44" s="628"/>
      <c r="Q44" s="616"/>
    </row>
    <row r="45" spans="1:17" ht="14.4" customHeight="1" x14ac:dyDescent="0.3">
      <c r="A45" s="611" t="s">
        <v>1935</v>
      </c>
      <c r="B45" s="612" t="s">
        <v>1936</v>
      </c>
      <c r="C45" s="612" t="s">
        <v>1646</v>
      </c>
      <c r="D45" s="612" t="s">
        <v>1947</v>
      </c>
      <c r="E45" s="612" t="s">
        <v>1948</v>
      </c>
      <c r="F45" s="615">
        <v>7</v>
      </c>
      <c r="G45" s="615">
        <v>189</v>
      </c>
      <c r="H45" s="615">
        <v>1</v>
      </c>
      <c r="I45" s="615">
        <v>27</v>
      </c>
      <c r="J45" s="615">
        <v>6</v>
      </c>
      <c r="K45" s="615">
        <v>162</v>
      </c>
      <c r="L45" s="615">
        <v>0.8571428571428571</v>
      </c>
      <c r="M45" s="615">
        <v>27</v>
      </c>
      <c r="N45" s="615">
        <v>14</v>
      </c>
      <c r="O45" s="615">
        <v>378</v>
      </c>
      <c r="P45" s="628">
        <v>2</v>
      </c>
      <c r="Q45" s="616">
        <v>27</v>
      </c>
    </row>
    <row r="46" spans="1:17" ht="14.4" customHeight="1" x14ac:dyDescent="0.3">
      <c r="A46" s="611" t="s">
        <v>1935</v>
      </c>
      <c r="B46" s="612" t="s">
        <v>1936</v>
      </c>
      <c r="C46" s="612" t="s">
        <v>1646</v>
      </c>
      <c r="D46" s="612" t="s">
        <v>1949</v>
      </c>
      <c r="E46" s="612" t="s">
        <v>1950</v>
      </c>
      <c r="F46" s="615">
        <v>12</v>
      </c>
      <c r="G46" s="615">
        <v>264</v>
      </c>
      <c r="H46" s="615">
        <v>1</v>
      </c>
      <c r="I46" s="615">
        <v>22</v>
      </c>
      <c r="J46" s="615">
        <v>1030</v>
      </c>
      <c r="K46" s="615">
        <v>22484</v>
      </c>
      <c r="L46" s="615">
        <v>85.166666666666671</v>
      </c>
      <c r="M46" s="615">
        <v>21.829126213592232</v>
      </c>
      <c r="N46" s="615">
        <v>1207</v>
      </c>
      <c r="O46" s="615">
        <v>26554</v>
      </c>
      <c r="P46" s="628">
        <v>100.58333333333333</v>
      </c>
      <c r="Q46" s="616">
        <v>22</v>
      </c>
    </row>
    <row r="47" spans="1:17" ht="14.4" customHeight="1" x14ac:dyDescent="0.3">
      <c r="A47" s="611" t="s">
        <v>1935</v>
      </c>
      <c r="B47" s="612" t="s">
        <v>1936</v>
      </c>
      <c r="C47" s="612" t="s">
        <v>1646</v>
      </c>
      <c r="D47" s="612" t="s">
        <v>1951</v>
      </c>
      <c r="E47" s="612" t="s">
        <v>1952</v>
      </c>
      <c r="F47" s="615"/>
      <c r="G47" s="615"/>
      <c r="H47" s="615"/>
      <c r="I47" s="615"/>
      <c r="J47" s="615"/>
      <c r="K47" s="615"/>
      <c r="L47" s="615"/>
      <c r="M47" s="615"/>
      <c r="N47" s="615">
        <v>1</v>
      </c>
      <c r="O47" s="615">
        <v>68</v>
      </c>
      <c r="P47" s="628"/>
      <c r="Q47" s="616">
        <v>68</v>
      </c>
    </row>
    <row r="48" spans="1:17" ht="14.4" customHeight="1" x14ac:dyDescent="0.3">
      <c r="A48" s="611" t="s">
        <v>1935</v>
      </c>
      <c r="B48" s="612" t="s">
        <v>1936</v>
      </c>
      <c r="C48" s="612" t="s">
        <v>1646</v>
      </c>
      <c r="D48" s="612" t="s">
        <v>1953</v>
      </c>
      <c r="E48" s="612" t="s">
        <v>1954</v>
      </c>
      <c r="F48" s="615">
        <v>2452</v>
      </c>
      <c r="G48" s="615">
        <v>149572</v>
      </c>
      <c r="H48" s="615">
        <v>1</v>
      </c>
      <c r="I48" s="615">
        <v>61</v>
      </c>
      <c r="J48" s="615">
        <v>1714</v>
      </c>
      <c r="K48" s="615">
        <v>104496</v>
      </c>
      <c r="L48" s="615">
        <v>0.6986334340651994</v>
      </c>
      <c r="M48" s="615">
        <v>60.96616102683781</v>
      </c>
      <c r="N48" s="615">
        <v>1413</v>
      </c>
      <c r="O48" s="615">
        <v>87606</v>
      </c>
      <c r="P48" s="628">
        <v>0.58571122937448183</v>
      </c>
      <c r="Q48" s="616">
        <v>62</v>
      </c>
    </row>
    <row r="49" spans="1:17" ht="14.4" customHeight="1" x14ac:dyDescent="0.3">
      <c r="A49" s="611" t="s">
        <v>1935</v>
      </c>
      <c r="B49" s="612" t="s">
        <v>1936</v>
      </c>
      <c r="C49" s="612" t="s">
        <v>1646</v>
      </c>
      <c r="D49" s="612" t="s">
        <v>1955</v>
      </c>
      <c r="E49" s="612" t="s">
        <v>1956</v>
      </c>
      <c r="F49" s="615"/>
      <c r="G49" s="615"/>
      <c r="H49" s="615"/>
      <c r="I49" s="615"/>
      <c r="J49" s="615">
        <v>104</v>
      </c>
      <c r="K49" s="615">
        <v>8107</v>
      </c>
      <c r="L49" s="615"/>
      <c r="M49" s="615">
        <v>77.95192307692308</v>
      </c>
      <c r="N49" s="615">
        <v>14</v>
      </c>
      <c r="O49" s="615">
        <v>1148</v>
      </c>
      <c r="P49" s="628"/>
      <c r="Q49" s="616">
        <v>82</v>
      </c>
    </row>
    <row r="50" spans="1:17" ht="14.4" customHeight="1" x14ac:dyDescent="0.3">
      <c r="A50" s="611" t="s">
        <v>1935</v>
      </c>
      <c r="B50" s="612" t="s">
        <v>1936</v>
      </c>
      <c r="C50" s="612" t="s">
        <v>1646</v>
      </c>
      <c r="D50" s="612" t="s">
        <v>1957</v>
      </c>
      <c r="E50" s="612" t="s">
        <v>1958</v>
      </c>
      <c r="F50" s="615">
        <v>13</v>
      </c>
      <c r="G50" s="615">
        <v>12831</v>
      </c>
      <c r="H50" s="615">
        <v>1</v>
      </c>
      <c r="I50" s="615">
        <v>987</v>
      </c>
      <c r="J50" s="615">
        <v>14</v>
      </c>
      <c r="K50" s="615">
        <v>13818</v>
      </c>
      <c r="L50" s="615">
        <v>1.0769230769230769</v>
      </c>
      <c r="M50" s="615">
        <v>987</v>
      </c>
      <c r="N50" s="615">
        <v>22</v>
      </c>
      <c r="O50" s="615">
        <v>21714</v>
      </c>
      <c r="P50" s="628">
        <v>1.6923076923076923</v>
      </c>
      <c r="Q50" s="616">
        <v>987</v>
      </c>
    </row>
    <row r="51" spans="1:17" ht="14.4" customHeight="1" x14ac:dyDescent="0.3">
      <c r="A51" s="611" t="s">
        <v>1935</v>
      </c>
      <c r="B51" s="612" t="s">
        <v>1936</v>
      </c>
      <c r="C51" s="612" t="s">
        <v>1646</v>
      </c>
      <c r="D51" s="612" t="s">
        <v>1959</v>
      </c>
      <c r="E51" s="612" t="s">
        <v>1960</v>
      </c>
      <c r="F51" s="615">
        <v>859</v>
      </c>
      <c r="G51" s="615">
        <v>25770</v>
      </c>
      <c r="H51" s="615">
        <v>1</v>
      </c>
      <c r="I51" s="615">
        <v>30</v>
      </c>
      <c r="J51" s="615">
        <v>701</v>
      </c>
      <c r="K51" s="615">
        <v>20730</v>
      </c>
      <c r="L51" s="615">
        <v>0.80442374854481957</v>
      </c>
      <c r="M51" s="615">
        <v>29.572039942938659</v>
      </c>
      <c r="N51" s="615">
        <v>647</v>
      </c>
      <c r="O51" s="615">
        <v>19410</v>
      </c>
      <c r="P51" s="628">
        <v>0.75320139697322464</v>
      </c>
      <c r="Q51" s="616">
        <v>30</v>
      </c>
    </row>
    <row r="52" spans="1:17" ht="14.4" customHeight="1" x14ac:dyDescent="0.3">
      <c r="A52" s="611" t="s">
        <v>1935</v>
      </c>
      <c r="B52" s="612" t="s">
        <v>1936</v>
      </c>
      <c r="C52" s="612" t="s">
        <v>1646</v>
      </c>
      <c r="D52" s="612" t="s">
        <v>1961</v>
      </c>
      <c r="E52" s="612" t="s">
        <v>1962</v>
      </c>
      <c r="F52" s="615"/>
      <c r="G52" s="615"/>
      <c r="H52" s="615"/>
      <c r="I52" s="615"/>
      <c r="J52" s="615">
        <v>3</v>
      </c>
      <c r="K52" s="615">
        <v>246</v>
      </c>
      <c r="L52" s="615"/>
      <c r="M52" s="615">
        <v>82</v>
      </c>
      <c r="N52" s="615">
        <v>1</v>
      </c>
      <c r="O52" s="615">
        <v>82</v>
      </c>
      <c r="P52" s="628"/>
      <c r="Q52" s="616">
        <v>82</v>
      </c>
    </row>
    <row r="53" spans="1:17" ht="14.4" customHeight="1" x14ac:dyDescent="0.3">
      <c r="A53" s="611" t="s">
        <v>1935</v>
      </c>
      <c r="B53" s="612" t="s">
        <v>1936</v>
      </c>
      <c r="C53" s="612" t="s">
        <v>1646</v>
      </c>
      <c r="D53" s="612" t="s">
        <v>1963</v>
      </c>
      <c r="E53" s="612" t="s">
        <v>1964</v>
      </c>
      <c r="F53" s="615"/>
      <c r="G53" s="615"/>
      <c r="H53" s="615"/>
      <c r="I53" s="615"/>
      <c r="J53" s="615">
        <v>2</v>
      </c>
      <c r="K53" s="615">
        <v>525</v>
      </c>
      <c r="L53" s="615"/>
      <c r="M53" s="615">
        <v>262.5</v>
      </c>
      <c r="N53" s="615">
        <v>1</v>
      </c>
      <c r="O53" s="615">
        <v>263</v>
      </c>
      <c r="P53" s="628"/>
      <c r="Q53" s="616">
        <v>263</v>
      </c>
    </row>
    <row r="54" spans="1:17" ht="14.4" customHeight="1" x14ac:dyDescent="0.3">
      <c r="A54" s="611" t="s">
        <v>1935</v>
      </c>
      <c r="B54" s="612" t="s">
        <v>1936</v>
      </c>
      <c r="C54" s="612" t="s">
        <v>1646</v>
      </c>
      <c r="D54" s="612" t="s">
        <v>1965</v>
      </c>
      <c r="E54" s="612" t="s">
        <v>1966</v>
      </c>
      <c r="F54" s="615">
        <v>1</v>
      </c>
      <c r="G54" s="615">
        <v>266</v>
      </c>
      <c r="H54" s="615">
        <v>1</v>
      </c>
      <c r="I54" s="615">
        <v>266</v>
      </c>
      <c r="J54" s="615">
        <v>3</v>
      </c>
      <c r="K54" s="615">
        <v>798</v>
      </c>
      <c r="L54" s="615">
        <v>3</v>
      </c>
      <c r="M54" s="615">
        <v>266</v>
      </c>
      <c r="N54" s="615"/>
      <c r="O54" s="615"/>
      <c r="P54" s="628"/>
      <c r="Q54" s="616"/>
    </row>
    <row r="55" spans="1:17" ht="14.4" customHeight="1" x14ac:dyDescent="0.3">
      <c r="A55" s="611" t="s">
        <v>1935</v>
      </c>
      <c r="B55" s="612" t="s">
        <v>1936</v>
      </c>
      <c r="C55" s="612" t="s">
        <v>1646</v>
      </c>
      <c r="D55" s="612" t="s">
        <v>1967</v>
      </c>
      <c r="E55" s="612" t="s">
        <v>1968</v>
      </c>
      <c r="F55" s="615">
        <v>1</v>
      </c>
      <c r="G55" s="615">
        <v>230</v>
      </c>
      <c r="H55" s="615">
        <v>1</v>
      </c>
      <c r="I55" s="615">
        <v>230</v>
      </c>
      <c r="J55" s="615">
        <v>3</v>
      </c>
      <c r="K55" s="615">
        <v>690</v>
      </c>
      <c r="L55" s="615">
        <v>3</v>
      </c>
      <c r="M55" s="615">
        <v>230</v>
      </c>
      <c r="N55" s="615"/>
      <c r="O55" s="615"/>
      <c r="P55" s="628"/>
      <c r="Q55" s="616"/>
    </row>
    <row r="56" spans="1:17" ht="14.4" customHeight="1" x14ac:dyDescent="0.3">
      <c r="A56" s="611" t="s">
        <v>1935</v>
      </c>
      <c r="B56" s="612" t="s">
        <v>1936</v>
      </c>
      <c r="C56" s="612" t="s">
        <v>1646</v>
      </c>
      <c r="D56" s="612" t="s">
        <v>1969</v>
      </c>
      <c r="E56" s="612" t="s">
        <v>1970</v>
      </c>
      <c r="F56" s="615">
        <v>100</v>
      </c>
      <c r="G56" s="615">
        <v>1700</v>
      </c>
      <c r="H56" s="615">
        <v>1</v>
      </c>
      <c r="I56" s="615">
        <v>17</v>
      </c>
      <c r="J56" s="615">
        <v>77</v>
      </c>
      <c r="K56" s="615">
        <v>1309</v>
      </c>
      <c r="L56" s="615">
        <v>0.77</v>
      </c>
      <c r="M56" s="615">
        <v>17</v>
      </c>
      <c r="N56" s="615">
        <v>98</v>
      </c>
      <c r="O56" s="615">
        <v>1666</v>
      </c>
      <c r="P56" s="628">
        <v>0.98</v>
      </c>
      <c r="Q56" s="616">
        <v>17</v>
      </c>
    </row>
    <row r="57" spans="1:17" ht="14.4" customHeight="1" x14ac:dyDescent="0.3">
      <c r="A57" s="611" t="s">
        <v>1935</v>
      </c>
      <c r="B57" s="612" t="s">
        <v>1936</v>
      </c>
      <c r="C57" s="612" t="s">
        <v>1646</v>
      </c>
      <c r="D57" s="612" t="s">
        <v>1971</v>
      </c>
      <c r="E57" s="612" t="s">
        <v>1972</v>
      </c>
      <c r="F57" s="615">
        <v>1</v>
      </c>
      <c r="G57" s="615">
        <v>53</v>
      </c>
      <c r="H57" s="615">
        <v>1</v>
      </c>
      <c r="I57" s="615">
        <v>53</v>
      </c>
      <c r="J57" s="615">
        <v>3</v>
      </c>
      <c r="K57" s="615">
        <v>159</v>
      </c>
      <c r="L57" s="615">
        <v>3</v>
      </c>
      <c r="M57" s="615">
        <v>53</v>
      </c>
      <c r="N57" s="615">
        <v>4</v>
      </c>
      <c r="O57" s="615">
        <v>212</v>
      </c>
      <c r="P57" s="628">
        <v>4</v>
      </c>
      <c r="Q57" s="616">
        <v>53</v>
      </c>
    </row>
    <row r="58" spans="1:17" ht="14.4" customHeight="1" x14ac:dyDescent="0.3">
      <c r="A58" s="611" t="s">
        <v>1935</v>
      </c>
      <c r="B58" s="612" t="s">
        <v>1936</v>
      </c>
      <c r="C58" s="612" t="s">
        <v>1646</v>
      </c>
      <c r="D58" s="612" t="s">
        <v>1973</v>
      </c>
      <c r="E58" s="612" t="s">
        <v>1974</v>
      </c>
      <c r="F58" s="615">
        <v>1</v>
      </c>
      <c r="G58" s="615">
        <v>61</v>
      </c>
      <c r="H58" s="615">
        <v>1</v>
      </c>
      <c r="I58" s="615">
        <v>61</v>
      </c>
      <c r="J58" s="615"/>
      <c r="K58" s="615"/>
      <c r="L58" s="615"/>
      <c r="M58" s="615"/>
      <c r="N58" s="615"/>
      <c r="O58" s="615"/>
      <c r="P58" s="628"/>
      <c r="Q58" s="616"/>
    </row>
    <row r="59" spans="1:17" ht="14.4" customHeight="1" x14ac:dyDescent="0.3">
      <c r="A59" s="611" t="s">
        <v>1935</v>
      </c>
      <c r="B59" s="612" t="s">
        <v>1936</v>
      </c>
      <c r="C59" s="612" t="s">
        <v>1646</v>
      </c>
      <c r="D59" s="612" t="s">
        <v>1975</v>
      </c>
      <c r="E59" s="612" t="s">
        <v>1976</v>
      </c>
      <c r="F59" s="615">
        <v>45</v>
      </c>
      <c r="G59" s="615">
        <v>855</v>
      </c>
      <c r="H59" s="615">
        <v>1</v>
      </c>
      <c r="I59" s="615">
        <v>19</v>
      </c>
      <c r="J59" s="615">
        <v>20</v>
      </c>
      <c r="K59" s="615">
        <v>380</v>
      </c>
      <c r="L59" s="615">
        <v>0.44444444444444442</v>
      </c>
      <c r="M59" s="615">
        <v>19</v>
      </c>
      <c r="N59" s="615">
        <v>26</v>
      </c>
      <c r="O59" s="615">
        <v>494</v>
      </c>
      <c r="P59" s="628">
        <v>0.57777777777777772</v>
      </c>
      <c r="Q59" s="616">
        <v>19</v>
      </c>
    </row>
    <row r="60" spans="1:17" ht="14.4" customHeight="1" x14ac:dyDescent="0.3">
      <c r="A60" s="611" t="s">
        <v>1935</v>
      </c>
      <c r="B60" s="612" t="s">
        <v>1936</v>
      </c>
      <c r="C60" s="612" t="s">
        <v>1646</v>
      </c>
      <c r="D60" s="612" t="s">
        <v>1977</v>
      </c>
      <c r="E60" s="612" t="s">
        <v>1978</v>
      </c>
      <c r="F60" s="615">
        <v>3</v>
      </c>
      <c r="G60" s="615">
        <v>315</v>
      </c>
      <c r="H60" s="615">
        <v>1</v>
      </c>
      <c r="I60" s="615">
        <v>105</v>
      </c>
      <c r="J60" s="615">
        <v>6</v>
      </c>
      <c r="K60" s="615">
        <v>636</v>
      </c>
      <c r="L60" s="615">
        <v>2.019047619047619</v>
      </c>
      <c r="M60" s="615">
        <v>106</v>
      </c>
      <c r="N60" s="615"/>
      <c r="O60" s="615"/>
      <c r="P60" s="628"/>
      <c r="Q60" s="616"/>
    </row>
    <row r="61" spans="1:17" ht="14.4" customHeight="1" x14ac:dyDescent="0.3">
      <c r="A61" s="611" t="s">
        <v>1935</v>
      </c>
      <c r="B61" s="612" t="s">
        <v>1936</v>
      </c>
      <c r="C61" s="612" t="s">
        <v>1646</v>
      </c>
      <c r="D61" s="612" t="s">
        <v>1979</v>
      </c>
      <c r="E61" s="612" t="s">
        <v>1980</v>
      </c>
      <c r="F61" s="615"/>
      <c r="G61" s="615"/>
      <c r="H61" s="615"/>
      <c r="I61" s="615"/>
      <c r="J61" s="615">
        <v>1</v>
      </c>
      <c r="K61" s="615">
        <v>391</v>
      </c>
      <c r="L61" s="615"/>
      <c r="M61" s="615">
        <v>391</v>
      </c>
      <c r="N61" s="615"/>
      <c r="O61" s="615"/>
      <c r="P61" s="628"/>
      <c r="Q61" s="616"/>
    </row>
    <row r="62" spans="1:17" ht="14.4" customHeight="1" x14ac:dyDescent="0.3">
      <c r="A62" s="611" t="s">
        <v>1935</v>
      </c>
      <c r="B62" s="612" t="s">
        <v>1936</v>
      </c>
      <c r="C62" s="612" t="s">
        <v>1646</v>
      </c>
      <c r="D62" s="612" t="s">
        <v>1981</v>
      </c>
      <c r="E62" s="612" t="s">
        <v>1982</v>
      </c>
      <c r="F62" s="615">
        <v>12</v>
      </c>
      <c r="G62" s="615">
        <v>5532</v>
      </c>
      <c r="H62" s="615">
        <v>1</v>
      </c>
      <c r="I62" s="615">
        <v>461</v>
      </c>
      <c r="J62" s="615">
        <v>11</v>
      </c>
      <c r="K62" s="615">
        <v>5077</v>
      </c>
      <c r="L62" s="615">
        <v>0.91775126536514828</v>
      </c>
      <c r="M62" s="615">
        <v>461.54545454545456</v>
      </c>
      <c r="N62" s="615">
        <v>12</v>
      </c>
      <c r="O62" s="615">
        <v>5544</v>
      </c>
      <c r="P62" s="628">
        <v>1.0021691973969631</v>
      </c>
      <c r="Q62" s="616">
        <v>462</v>
      </c>
    </row>
    <row r="63" spans="1:17" ht="14.4" customHeight="1" x14ac:dyDescent="0.3">
      <c r="A63" s="611" t="s">
        <v>1935</v>
      </c>
      <c r="B63" s="612" t="s">
        <v>1936</v>
      </c>
      <c r="C63" s="612" t="s">
        <v>1646</v>
      </c>
      <c r="D63" s="612" t="s">
        <v>1983</v>
      </c>
      <c r="E63" s="612" t="s">
        <v>1984</v>
      </c>
      <c r="F63" s="615">
        <v>22</v>
      </c>
      <c r="G63" s="615">
        <v>6864</v>
      </c>
      <c r="H63" s="615">
        <v>1</v>
      </c>
      <c r="I63" s="615">
        <v>312</v>
      </c>
      <c r="J63" s="615">
        <v>17</v>
      </c>
      <c r="K63" s="615">
        <v>5304</v>
      </c>
      <c r="L63" s="615">
        <v>0.77272727272727271</v>
      </c>
      <c r="M63" s="615">
        <v>312</v>
      </c>
      <c r="N63" s="615">
        <v>18</v>
      </c>
      <c r="O63" s="615">
        <v>5616</v>
      </c>
      <c r="P63" s="628">
        <v>0.81818181818181823</v>
      </c>
      <c r="Q63" s="616">
        <v>312</v>
      </c>
    </row>
    <row r="64" spans="1:17" ht="14.4" customHeight="1" x14ac:dyDescent="0.3">
      <c r="A64" s="611" t="s">
        <v>1935</v>
      </c>
      <c r="B64" s="612" t="s">
        <v>1936</v>
      </c>
      <c r="C64" s="612" t="s">
        <v>1646</v>
      </c>
      <c r="D64" s="612" t="s">
        <v>1985</v>
      </c>
      <c r="E64" s="612" t="s">
        <v>1986</v>
      </c>
      <c r="F64" s="615">
        <v>1</v>
      </c>
      <c r="G64" s="615">
        <v>851</v>
      </c>
      <c r="H64" s="615">
        <v>1</v>
      </c>
      <c r="I64" s="615">
        <v>851</v>
      </c>
      <c r="J64" s="615"/>
      <c r="K64" s="615"/>
      <c r="L64" s="615"/>
      <c r="M64" s="615"/>
      <c r="N64" s="615"/>
      <c r="O64" s="615"/>
      <c r="P64" s="628"/>
      <c r="Q64" s="616"/>
    </row>
    <row r="65" spans="1:17" ht="14.4" customHeight="1" x14ac:dyDescent="0.3">
      <c r="A65" s="611" t="s">
        <v>1935</v>
      </c>
      <c r="B65" s="612" t="s">
        <v>1936</v>
      </c>
      <c r="C65" s="612" t="s">
        <v>1646</v>
      </c>
      <c r="D65" s="612" t="s">
        <v>1987</v>
      </c>
      <c r="E65" s="612" t="s">
        <v>1988</v>
      </c>
      <c r="F65" s="615">
        <v>905</v>
      </c>
      <c r="G65" s="615">
        <v>167425</v>
      </c>
      <c r="H65" s="615">
        <v>1</v>
      </c>
      <c r="I65" s="615">
        <v>185</v>
      </c>
      <c r="J65" s="615">
        <v>880</v>
      </c>
      <c r="K65" s="615">
        <v>162123</v>
      </c>
      <c r="L65" s="615">
        <v>0.96833208899507239</v>
      </c>
      <c r="M65" s="615">
        <v>184.23068181818181</v>
      </c>
      <c r="N65" s="615">
        <v>836</v>
      </c>
      <c r="O65" s="615">
        <v>155496</v>
      </c>
      <c r="P65" s="628">
        <v>0.92875018665073916</v>
      </c>
      <c r="Q65" s="616">
        <v>186</v>
      </c>
    </row>
    <row r="66" spans="1:17" ht="14.4" customHeight="1" x14ac:dyDescent="0.3">
      <c r="A66" s="611" t="s">
        <v>1935</v>
      </c>
      <c r="B66" s="612" t="s">
        <v>1936</v>
      </c>
      <c r="C66" s="612" t="s">
        <v>1646</v>
      </c>
      <c r="D66" s="612" t="s">
        <v>1989</v>
      </c>
      <c r="E66" s="612" t="s">
        <v>1990</v>
      </c>
      <c r="F66" s="615"/>
      <c r="G66" s="615"/>
      <c r="H66" s="615"/>
      <c r="I66" s="615"/>
      <c r="J66" s="615">
        <v>1</v>
      </c>
      <c r="K66" s="615">
        <v>236</v>
      </c>
      <c r="L66" s="615"/>
      <c r="M66" s="615">
        <v>236</v>
      </c>
      <c r="N66" s="615"/>
      <c r="O66" s="615"/>
      <c r="P66" s="628"/>
      <c r="Q66" s="616"/>
    </row>
    <row r="67" spans="1:17" ht="14.4" customHeight="1" x14ac:dyDescent="0.3">
      <c r="A67" s="611" t="s">
        <v>1935</v>
      </c>
      <c r="B67" s="612" t="s">
        <v>1936</v>
      </c>
      <c r="C67" s="612" t="s">
        <v>1646</v>
      </c>
      <c r="D67" s="612" t="s">
        <v>1991</v>
      </c>
      <c r="E67" s="612" t="s">
        <v>1992</v>
      </c>
      <c r="F67" s="615">
        <v>4</v>
      </c>
      <c r="G67" s="615">
        <v>4840</v>
      </c>
      <c r="H67" s="615">
        <v>1</v>
      </c>
      <c r="I67" s="615">
        <v>1210</v>
      </c>
      <c r="J67" s="615">
        <v>2</v>
      </c>
      <c r="K67" s="615">
        <v>2428</v>
      </c>
      <c r="L67" s="615">
        <v>0.50165289256198342</v>
      </c>
      <c r="M67" s="615">
        <v>1214</v>
      </c>
      <c r="N67" s="615"/>
      <c r="O67" s="615"/>
      <c r="P67" s="628"/>
      <c r="Q67" s="616"/>
    </row>
    <row r="68" spans="1:17" ht="14.4" customHeight="1" x14ac:dyDescent="0.3">
      <c r="A68" s="611" t="s">
        <v>1935</v>
      </c>
      <c r="B68" s="612" t="s">
        <v>1936</v>
      </c>
      <c r="C68" s="612" t="s">
        <v>1646</v>
      </c>
      <c r="D68" s="612" t="s">
        <v>1993</v>
      </c>
      <c r="E68" s="612" t="s">
        <v>1994</v>
      </c>
      <c r="F68" s="615">
        <v>13</v>
      </c>
      <c r="G68" s="615">
        <v>10179</v>
      </c>
      <c r="H68" s="615">
        <v>1</v>
      </c>
      <c r="I68" s="615">
        <v>783</v>
      </c>
      <c r="J68" s="615">
        <v>5</v>
      </c>
      <c r="K68" s="615">
        <v>3923</v>
      </c>
      <c r="L68" s="615">
        <v>0.38540131643579917</v>
      </c>
      <c r="M68" s="615">
        <v>784.6</v>
      </c>
      <c r="N68" s="615">
        <v>26</v>
      </c>
      <c r="O68" s="615">
        <v>20436</v>
      </c>
      <c r="P68" s="628">
        <v>2.0076628352490422</v>
      </c>
      <c r="Q68" s="616">
        <v>786</v>
      </c>
    </row>
    <row r="69" spans="1:17" ht="14.4" customHeight="1" x14ac:dyDescent="0.3">
      <c r="A69" s="611" t="s">
        <v>1935</v>
      </c>
      <c r="B69" s="612" t="s">
        <v>1936</v>
      </c>
      <c r="C69" s="612" t="s">
        <v>1646</v>
      </c>
      <c r="D69" s="612" t="s">
        <v>1995</v>
      </c>
      <c r="E69" s="612" t="s">
        <v>1996</v>
      </c>
      <c r="F69" s="615"/>
      <c r="G69" s="615"/>
      <c r="H69" s="615"/>
      <c r="I69" s="615"/>
      <c r="J69" s="615">
        <v>4</v>
      </c>
      <c r="K69" s="615">
        <v>750</v>
      </c>
      <c r="L69" s="615"/>
      <c r="M69" s="615">
        <v>187.5</v>
      </c>
      <c r="N69" s="615">
        <v>4</v>
      </c>
      <c r="O69" s="615">
        <v>752</v>
      </c>
      <c r="P69" s="628"/>
      <c r="Q69" s="616">
        <v>188</v>
      </c>
    </row>
    <row r="70" spans="1:17" ht="14.4" customHeight="1" x14ac:dyDescent="0.3">
      <c r="A70" s="611" t="s">
        <v>1935</v>
      </c>
      <c r="B70" s="612" t="s">
        <v>1936</v>
      </c>
      <c r="C70" s="612" t="s">
        <v>1646</v>
      </c>
      <c r="D70" s="612" t="s">
        <v>1997</v>
      </c>
      <c r="E70" s="612" t="s">
        <v>1998</v>
      </c>
      <c r="F70" s="615"/>
      <c r="G70" s="615"/>
      <c r="H70" s="615"/>
      <c r="I70" s="615"/>
      <c r="J70" s="615">
        <v>2</v>
      </c>
      <c r="K70" s="615">
        <v>354</v>
      </c>
      <c r="L70" s="615"/>
      <c r="M70" s="615">
        <v>177</v>
      </c>
      <c r="N70" s="615"/>
      <c r="O70" s="615"/>
      <c r="P70" s="628"/>
      <c r="Q70" s="616"/>
    </row>
    <row r="71" spans="1:17" ht="14.4" customHeight="1" x14ac:dyDescent="0.3">
      <c r="A71" s="611" t="s">
        <v>1935</v>
      </c>
      <c r="B71" s="612" t="s">
        <v>1936</v>
      </c>
      <c r="C71" s="612" t="s">
        <v>1646</v>
      </c>
      <c r="D71" s="612" t="s">
        <v>1999</v>
      </c>
      <c r="E71" s="612" t="s">
        <v>2000</v>
      </c>
      <c r="F71" s="615">
        <v>46</v>
      </c>
      <c r="G71" s="615">
        <v>10442</v>
      </c>
      <c r="H71" s="615">
        <v>1</v>
      </c>
      <c r="I71" s="615">
        <v>227</v>
      </c>
      <c r="J71" s="615">
        <v>45</v>
      </c>
      <c r="K71" s="615">
        <v>10230</v>
      </c>
      <c r="L71" s="615">
        <v>0.97969737598161277</v>
      </c>
      <c r="M71" s="615">
        <v>227.33333333333334</v>
      </c>
      <c r="N71" s="615">
        <v>70</v>
      </c>
      <c r="O71" s="615">
        <v>15960</v>
      </c>
      <c r="P71" s="628">
        <v>1.5284428270446275</v>
      </c>
      <c r="Q71" s="616">
        <v>228</v>
      </c>
    </row>
    <row r="72" spans="1:17" ht="14.4" customHeight="1" x14ac:dyDescent="0.3">
      <c r="A72" s="611" t="s">
        <v>1935</v>
      </c>
      <c r="B72" s="612" t="s">
        <v>1936</v>
      </c>
      <c r="C72" s="612" t="s">
        <v>1646</v>
      </c>
      <c r="D72" s="612" t="s">
        <v>2001</v>
      </c>
      <c r="E72" s="612" t="s">
        <v>2002</v>
      </c>
      <c r="F72" s="615"/>
      <c r="G72" s="615"/>
      <c r="H72" s="615"/>
      <c r="I72" s="615"/>
      <c r="J72" s="615">
        <v>1</v>
      </c>
      <c r="K72" s="615">
        <v>461</v>
      </c>
      <c r="L72" s="615"/>
      <c r="M72" s="615">
        <v>461</v>
      </c>
      <c r="N72" s="615"/>
      <c r="O72" s="615"/>
      <c r="P72" s="628"/>
      <c r="Q72" s="616"/>
    </row>
    <row r="73" spans="1:17" ht="14.4" customHeight="1" x14ac:dyDescent="0.3">
      <c r="A73" s="611" t="s">
        <v>1935</v>
      </c>
      <c r="B73" s="612" t="s">
        <v>1936</v>
      </c>
      <c r="C73" s="612" t="s">
        <v>1646</v>
      </c>
      <c r="D73" s="612" t="s">
        <v>2003</v>
      </c>
      <c r="E73" s="612" t="s">
        <v>2004</v>
      </c>
      <c r="F73" s="615">
        <v>4</v>
      </c>
      <c r="G73" s="615">
        <v>2240</v>
      </c>
      <c r="H73" s="615">
        <v>1</v>
      </c>
      <c r="I73" s="615">
        <v>560</v>
      </c>
      <c r="J73" s="615"/>
      <c r="K73" s="615"/>
      <c r="L73" s="615"/>
      <c r="M73" s="615"/>
      <c r="N73" s="615"/>
      <c r="O73" s="615"/>
      <c r="P73" s="628"/>
      <c r="Q73" s="616"/>
    </row>
    <row r="74" spans="1:17" ht="14.4" customHeight="1" x14ac:dyDescent="0.3">
      <c r="A74" s="611" t="s">
        <v>1935</v>
      </c>
      <c r="B74" s="612" t="s">
        <v>1936</v>
      </c>
      <c r="C74" s="612" t="s">
        <v>1646</v>
      </c>
      <c r="D74" s="612" t="s">
        <v>2005</v>
      </c>
      <c r="E74" s="612" t="s">
        <v>2006</v>
      </c>
      <c r="F74" s="615"/>
      <c r="G74" s="615"/>
      <c r="H74" s="615"/>
      <c r="I74" s="615"/>
      <c r="J74" s="615"/>
      <c r="K74" s="615"/>
      <c r="L74" s="615"/>
      <c r="M74" s="615"/>
      <c r="N74" s="615">
        <v>5</v>
      </c>
      <c r="O74" s="615">
        <v>890</v>
      </c>
      <c r="P74" s="628"/>
      <c r="Q74" s="616">
        <v>178</v>
      </c>
    </row>
    <row r="75" spans="1:17" ht="14.4" customHeight="1" x14ac:dyDescent="0.3">
      <c r="A75" s="611" t="s">
        <v>1935</v>
      </c>
      <c r="B75" s="612" t="s">
        <v>1936</v>
      </c>
      <c r="C75" s="612" t="s">
        <v>1646</v>
      </c>
      <c r="D75" s="612" t="s">
        <v>2007</v>
      </c>
      <c r="E75" s="612" t="s">
        <v>2008</v>
      </c>
      <c r="F75" s="615"/>
      <c r="G75" s="615"/>
      <c r="H75" s="615"/>
      <c r="I75" s="615"/>
      <c r="J75" s="615">
        <v>1</v>
      </c>
      <c r="K75" s="615">
        <v>412</v>
      </c>
      <c r="L75" s="615"/>
      <c r="M75" s="615">
        <v>412</v>
      </c>
      <c r="N75" s="615"/>
      <c r="O75" s="615"/>
      <c r="P75" s="628"/>
      <c r="Q75" s="616"/>
    </row>
    <row r="76" spans="1:17" ht="14.4" customHeight="1" x14ac:dyDescent="0.3">
      <c r="A76" s="611" t="s">
        <v>1935</v>
      </c>
      <c r="B76" s="612" t="s">
        <v>1936</v>
      </c>
      <c r="C76" s="612" t="s">
        <v>1646</v>
      </c>
      <c r="D76" s="612" t="s">
        <v>2009</v>
      </c>
      <c r="E76" s="612" t="s">
        <v>2010</v>
      </c>
      <c r="F76" s="615"/>
      <c r="G76" s="615"/>
      <c r="H76" s="615"/>
      <c r="I76" s="615"/>
      <c r="J76" s="615">
        <v>1</v>
      </c>
      <c r="K76" s="615">
        <v>394</v>
      </c>
      <c r="L76" s="615"/>
      <c r="M76" s="615">
        <v>394</v>
      </c>
      <c r="N76" s="615"/>
      <c r="O76" s="615"/>
      <c r="P76" s="628"/>
      <c r="Q76" s="616"/>
    </row>
    <row r="77" spans="1:17" ht="14.4" customHeight="1" x14ac:dyDescent="0.3">
      <c r="A77" s="611" t="s">
        <v>1935</v>
      </c>
      <c r="B77" s="612" t="s">
        <v>1936</v>
      </c>
      <c r="C77" s="612" t="s">
        <v>1646</v>
      </c>
      <c r="D77" s="612" t="s">
        <v>2011</v>
      </c>
      <c r="E77" s="612" t="s">
        <v>2012</v>
      </c>
      <c r="F77" s="615"/>
      <c r="G77" s="615"/>
      <c r="H77" s="615"/>
      <c r="I77" s="615"/>
      <c r="J77" s="615"/>
      <c r="K77" s="615"/>
      <c r="L77" s="615"/>
      <c r="M77" s="615"/>
      <c r="N77" s="615">
        <v>2</v>
      </c>
      <c r="O77" s="615">
        <v>620</v>
      </c>
      <c r="P77" s="628"/>
      <c r="Q77" s="616">
        <v>310</v>
      </c>
    </row>
    <row r="78" spans="1:17" ht="14.4" customHeight="1" x14ac:dyDescent="0.3">
      <c r="A78" s="611" t="s">
        <v>1935</v>
      </c>
      <c r="B78" s="612" t="s">
        <v>1936</v>
      </c>
      <c r="C78" s="612" t="s">
        <v>1646</v>
      </c>
      <c r="D78" s="612" t="s">
        <v>2013</v>
      </c>
      <c r="E78" s="612" t="s">
        <v>2014</v>
      </c>
      <c r="F78" s="615">
        <v>2</v>
      </c>
      <c r="G78" s="615">
        <v>176</v>
      </c>
      <c r="H78" s="615">
        <v>1</v>
      </c>
      <c r="I78" s="615">
        <v>88</v>
      </c>
      <c r="J78" s="615">
        <v>1</v>
      </c>
      <c r="K78" s="615">
        <v>89</v>
      </c>
      <c r="L78" s="615">
        <v>0.50568181818181823</v>
      </c>
      <c r="M78" s="615">
        <v>89</v>
      </c>
      <c r="N78" s="615">
        <v>1</v>
      </c>
      <c r="O78" s="615">
        <v>89</v>
      </c>
      <c r="P78" s="628">
        <v>0.50568181818181823</v>
      </c>
      <c r="Q78" s="616">
        <v>89</v>
      </c>
    </row>
    <row r="79" spans="1:17" ht="14.4" customHeight="1" x14ac:dyDescent="0.3">
      <c r="A79" s="611" t="s">
        <v>1935</v>
      </c>
      <c r="B79" s="612" t="s">
        <v>1936</v>
      </c>
      <c r="C79" s="612" t="s">
        <v>1646</v>
      </c>
      <c r="D79" s="612" t="s">
        <v>2015</v>
      </c>
      <c r="E79" s="612" t="s">
        <v>2016</v>
      </c>
      <c r="F79" s="615">
        <v>2482</v>
      </c>
      <c r="G79" s="615">
        <v>71978</v>
      </c>
      <c r="H79" s="615">
        <v>1</v>
      </c>
      <c r="I79" s="615">
        <v>29</v>
      </c>
      <c r="J79" s="615">
        <v>1382</v>
      </c>
      <c r="K79" s="615">
        <v>40334</v>
      </c>
      <c r="L79" s="615">
        <v>0.5603656672872267</v>
      </c>
      <c r="M79" s="615">
        <v>29.185238784370476</v>
      </c>
      <c r="N79" s="615">
        <v>1209</v>
      </c>
      <c r="O79" s="615">
        <v>36270</v>
      </c>
      <c r="P79" s="628">
        <v>0.50390397065770098</v>
      </c>
      <c r="Q79" s="616">
        <v>30</v>
      </c>
    </row>
    <row r="80" spans="1:17" ht="14.4" customHeight="1" x14ac:dyDescent="0.3">
      <c r="A80" s="611" t="s">
        <v>1935</v>
      </c>
      <c r="B80" s="612" t="s">
        <v>1936</v>
      </c>
      <c r="C80" s="612" t="s">
        <v>1646</v>
      </c>
      <c r="D80" s="612" t="s">
        <v>2017</v>
      </c>
      <c r="E80" s="612" t="s">
        <v>2018</v>
      </c>
      <c r="F80" s="615">
        <v>27</v>
      </c>
      <c r="G80" s="615">
        <v>324</v>
      </c>
      <c r="H80" s="615">
        <v>1</v>
      </c>
      <c r="I80" s="615">
        <v>12</v>
      </c>
      <c r="J80" s="615">
        <v>19</v>
      </c>
      <c r="K80" s="615">
        <v>228</v>
      </c>
      <c r="L80" s="615">
        <v>0.70370370370370372</v>
      </c>
      <c r="M80" s="615">
        <v>12</v>
      </c>
      <c r="N80" s="615">
        <v>10</v>
      </c>
      <c r="O80" s="615">
        <v>120</v>
      </c>
      <c r="P80" s="628">
        <v>0.37037037037037035</v>
      </c>
      <c r="Q80" s="616">
        <v>12</v>
      </c>
    </row>
    <row r="81" spans="1:17" ht="14.4" customHeight="1" x14ac:dyDescent="0.3">
      <c r="A81" s="611" t="s">
        <v>1935</v>
      </c>
      <c r="B81" s="612" t="s">
        <v>1936</v>
      </c>
      <c r="C81" s="612" t="s">
        <v>1646</v>
      </c>
      <c r="D81" s="612" t="s">
        <v>2019</v>
      </c>
      <c r="E81" s="612" t="s">
        <v>2020</v>
      </c>
      <c r="F81" s="615">
        <v>2</v>
      </c>
      <c r="G81" s="615">
        <v>362</v>
      </c>
      <c r="H81" s="615">
        <v>1</v>
      </c>
      <c r="I81" s="615">
        <v>181</v>
      </c>
      <c r="J81" s="615">
        <v>5</v>
      </c>
      <c r="K81" s="615">
        <v>905</v>
      </c>
      <c r="L81" s="615">
        <v>2.5</v>
      </c>
      <c r="M81" s="615">
        <v>181</v>
      </c>
      <c r="N81" s="615"/>
      <c r="O81" s="615"/>
      <c r="P81" s="628"/>
      <c r="Q81" s="616"/>
    </row>
    <row r="82" spans="1:17" ht="14.4" customHeight="1" x14ac:dyDescent="0.3">
      <c r="A82" s="611" t="s">
        <v>1935</v>
      </c>
      <c r="B82" s="612" t="s">
        <v>1936</v>
      </c>
      <c r="C82" s="612" t="s">
        <v>1646</v>
      </c>
      <c r="D82" s="612" t="s">
        <v>2021</v>
      </c>
      <c r="E82" s="612" t="s">
        <v>2022</v>
      </c>
      <c r="F82" s="615">
        <v>2452</v>
      </c>
      <c r="G82" s="615">
        <v>174092</v>
      </c>
      <c r="H82" s="615">
        <v>1</v>
      </c>
      <c r="I82" s="615">
        <v>71</v>
      </c>
      <c r="J82" s="615">
        <v>1100</v>
      </c>
      <c r="K82" s="615">
        <v>76978</v>
      </c>
      <c r="L82" s="615">
        <v>0.44216850860464579</v>
      </c>
      <c r="M82" s="615">
        <v>69.98</v>
      </c>
      <c r="N82" s="615">
        <v>14</v>
      </c>
      <c r="O82" s="615">
        <v>1008</v>
      </c>
      <c r="P82" s="628">
        <v>5.7900420467339106E-3</v>
      </c>
      <c r="Q82" s="616">
        <v>72</v>
      </c>
    </row>
    <row r="83" spans="1:17" ht="14.4" customHeight="1" x14ac:dyDescent="0.3">
      <c r="A83" s="611" t="s">
        <v>1935</v>
      </c>
      <c r="B83" s="612" t="s">
        <v>1936</v>
      </c>
      <c r="C83" s="612" t="s">
        <v>1646</v>
      </c>
      <c r="D83" s="612" t="s">
        <v>2023</v>
      </c>
      <c r="E83" s="612" t="s">
        <v>2024</v>
      </c>
      <c r="F83" s="615">
        <v>1</v>
      </c>
      <c r="G83" s="615">
        <v>182</v>
      </c>
      <c r="H83" s="615">
        <v>1</v>
      </c>
      <c r="I83" s="615">
        <v>182</v>
      </c>
      <c r="J83" s="615"/>
      <c r="K83" s="615"/>
      <c r="L83" s="615"/>
      <c r="M83" s="615"/>
      <c r="N83" s="615"/>
      <c r="O83" s="615"/>
      <c r="P83" s="628"/>
      <c r="Q83" s="616"/>
    </row>
    <row r="84" spans="1:17" ht="14.4" customHeight="1" x14ac:dyDescent="0.3">
      <c r="A84" s="611" t="s">
        <v>1935</v>
      </c>
      <c r="B84" s="612" t="s">
        <v>1936</v>
      </c>
      <c r="C84" s="612" t="s">
        <v>1646</v>
      </c>
      <c r="D84" s="612" t="s">
        <v>1873</v>
      </c>
      <c r="E84" s="612" t="s">
        <v>1874</v>
      </c>
      <c r="F84" s="615"/>
      <c r="G84" s="615"/>
      <c r="H84" s="615"/>
      <c r="I84" s="615"/>
      <c r="J84" s="615">
        <v>13</v>
      </c>
      <c r="K84" s="615">
        <v>13855</v>
      </c>
      <c r="L84" s="615"/>
      <c r="M84" s="615">
        <v>1065.7692307692307</v>
      </c>
      <c r="N84" s="615">
        <v>17</v>
      </c>
      <c r="O84" s="615">
        <v>21556</v>
      </c>
      <c r="P84" s="628"/>
      <c r="Q84" s="616">
        <v>1268</v>
      </c>
    </row>
    <row r="85" spans="1:17" ht="14.4" customHeight="1" x14ac:dyDescent="0.3">
      <c r="A85" s="611" t="s">
        <v>1935</v>
      </c>
      <c r="B85" s="612" t="s">
        <v>1936</v>
      </c>
      <c r="C85" s="612" t="s">
        <v>1646</v>
      </c>
      <c r="D85" s="612" t="s">
        <v>2025</v>
      </c>
      <c r="E85" s="612" t="s">
        <v>2026</v>
      </c>
      <c r="F85" s="615">
        <v>680</v>
      </c>
      <c r="G85" s="615">
        <v>99960</v>
      </c>
      <c r="H85" s="615">
        <v>1</v>
      </c>
      <c r="I85" s="615">
        <v>147</v>
      </c>
      <c r="J85" s="615">
        <v>685</v>
      </c>
      <c r="K85" s="615">
        <v>99239</v>
      </c>
      <c r="L85" s="615">
        <v>0.9927871148459384</v>
      </c>
      <c r="M85" s="615">
        <v>144.87445255474452</v>
      </c>
      <c r="N85" s="615">
        <v>740</v>
      </c>
      <c r="O85" s="615">
        <v>109520</v>
      </c>
      <c r="P85" s="628">
        <v>1.0956382553021209</v>
      </c>
      <c r="Q85" s="616">
        <v>148</v>
      </c>
    </row>
    <row r="86" spans="1:17" ht="14.4" customHeight="1" x14ac:dyDescent="0.3">
      <c r="A86" s="611" t="s">
        <v>1935</v>
      </c>
      <c r="B86" s="612" t="s">
        <v>1936</v>
      </c>
      <c r="C86" s="612" t="s">
        <v>1646</v>
      </c>
      <c r="D86" s="612" t="s">
        <v>2027</v>
      </c>
      <c r="E86" s="612" t="s">
        <v>2028</v>
      </c>
      <c r="F86" s="615">
        <v>2488</v>
      </c>
      <c r="G86" s="615">
        <v>72152</v>
      </c>
      <c r="H86" s="615">
        <v>1</v>
      </c>
      <c r="I86" s="615">
        <v>29</v>
      </c>
      <c r="J86" s="615">
        <v>1390</v>
      </c>
      <c r="K86" s="615">
        <v>40567</v>
      </c>
      <c r="L86" s="615">
        <v>0.56224359685109215</v>
      </c>
      <c r="M86" s="615">
        <v>29.184892086330937</v>
      </c>
      <c r="N86" s="615">
        <v>1222</v>
      </c>
      <c r="O86" s="615">
        <v>36660</v>
      </c>
      <c r="P86" s="628">
        <v>0.50809402372768597</v>
      </c>
      <c r="Q86" s="616">
        <v>30</v>
      </c>
    </row>
    <row r="87" spans="1:17" ht="14.4" customHeight="1" x14ac:dyDescent="0.3">
      <c r="A87" s="611" t="s">
        <v>1935</v>
      </c>
      <c r="B87" s="612" t="s">
        <v>1936</v>
      </c>
      <c r="C87" s="612" t="s">
        <v>1646</v>
      </c>
      <c r="D87" s="612" t="s">
        <v>2029</v>
      </c>
      <c r="E87" s="612" t="s">
        <v>2030</v>
      </c>
      <c r="F87" s="615">
        <v>1</v>
      </c>
      <c r="G87" s="615">
        <v>31</v>
      </c>
      <c r="H87" s="615">
        <v>1</v>
      </c>
      <c r="I87" s="615">
        <v>31</v>
      </c>
      <c r="J87" s="615">
        <v>4</v>
      </c>
      <c r="K87" s="615">
        <v>124</v>
      </c>
      <c r="L87" s="615">
        <v>4</v>
      </c>
      <c r="M87" s="615">
        <v>31</v>
      </c>
      <c r="N87" s="615">
        <v>3</v>
      </c>
      <c r="O87" s="615">
        <v>93</v>
      </c>
      <c r="P87" s="628">
        <v>3</v>
      </c>
      <c r="Q87" s="616">
        <v>31</v>
      </c>
    </row>
    <row r="88" spans="1:17" ht="14.4" customHeight="1" x14ac:dyDescent="0.3">
      <c r="A88" s="611" t="s">
        <v>1935</v>
      </c>
      <c r="B88" s="612" t="s">
        <v>1936</v>
      </c>
      <c r="C88" s="612" t="s">
        <v>1646</v>
      </c>
      <c r="D88" s="612" t="s">
        <v>2031</v>
      </c>
      <c r="E88" s="612" t="s">
        <v>2032</v>
      </c>
      <c r="F88" s="615">
        <v>42</v>
      </c>
      <c r="G88" s="615">
        <v>1134</v>
      </c>
      <c r="H88" s="615">
        <v>1</v>
      </c>
      <c r="I88" s="615">
        <v>27</v>
      </c>
      <c r="J88" s="615">
        <v>50</v>
      </c>
      <c r="K88" s="615">
        <v>1350</v>
      </c>
      <c r="L88" s="615">
        <v>1.1904761904761905</v>
      </c>
      <c r="M88" s="615">
        <v>27</v>
      </c>
      <c r="N88" s="615">
        <v>46</v>
      </c>
      <c r="O88" s="615">
        <v>1242</v>
      </c>
      <c r="P88" s="628">
        <v>1.0952380952380953</v>
      </c>
      <c r="Q88" s="616">
        <v>27</v>
      </c>
    </row>
    <row r="89" spans="1:17" ht="14.4" customHeight="1" x14ac:dyDescent="0.3">
      <c r="A89" s="611" t="s">
        <v>1935</v>
      </c>
      <c r="B89" s="612" t="s">
        <v>1936</v>
      </c>
      <c r="C89" s="612" t="s">
        <v>1646</v>
      </c>
      <c r="D89" s="612" t="s">
        <v>2033</v>
      </c>
      <c r="E89" s="612" t="s">
        <v>2034</v>
      </c>
      <c r="F89" s="615"/>
      <c r="G89" s="615"/>
      <c r="H89" s="615"/>
      <c r="I89" s="615"/>
      <c r="J89" s="615"/>
      <c r="K89" s="615"/>
      <c r="L89" s="615"/>
      <c r="M89" s="615"/>
      <c r="N89" s="615">
        <v>3</v>
      </c>
      <c r="O89" s="615">
        <v>486</v>
      </c>
      <c r="P89" s="628"/>
      <c r="Q89" s="616">
        <v>162</v>
      </c>
    </row>
    <row r="90" spans="1:17" ht="14.4" customHeight="1" x14ac:dyDescent="0.3">
      <c r="A90" s="611" t="s">
        <v>1935</v>
      </c>
      <c r="B90" s="612" t="s">
        <v>1936</v>
      </c>
      <c r="C90" s="612" t="s">
        <v>1646</v>
      </c>
      <c r="D90" s="612" t="s">
        <v>2035</v>
      </c>
      <c r="E90" s="612" t="s">
        <v>2036</v>
      </c>
      <c r="F90" s="615">
        <v>17</v>
      </c>
      <c r="G90" s="615">
        <v>374</v>
      </c>
      <c r="H90" s="615">
        <v>1</v>
      </c>
      <c r="I90" s="615">
        <v>22</v>
      </c>
      <c r="J90" s="615">
        <v>13</v>
      </c>
      <c r="K90" s="615">
        <v>286</v>
      </c>
      <c r="L90" s="615">
        <v>0.76470588235294112</v>
      </c>
      <c r="M90" s="615">
        <v>22</v>
      </c>
      <c r="N90" s="615">
        <v>18</v>
      </c>
      <c r="O90" s="615">
        <v>396</v>
      </c>
      <c r="P90" s="628">
        <v>1.0588235294117647</v>
      </c>
      <c r="Q90" s="616">
        <v>22</v>
      </c>
    </row>
    <row r="91" spans="1:17" ht="14.4" customHeight="1" x14ac:dyDescent="0.3">
      <c r="A91" s="611" t="s">
        <v>1935</v>
      </c>
      <c r="B91" s="612" t="s">
        <v>1936</v>
      </c>
      <c r="C91" s="612" t="s">
        <v>1646</v>
      </c>
      <c r="D91" s="612" t="s">
        <v>2037</v>
      </c>
      <c r="E91" s="612" t="s">
        <v>2038</v>
      </c>
      <c r="F91" s="615"/>
      <c r="G91" s="615"/>
      <c r="H91" s="615"/>
      <c r="I91" s="615"/>
      <c r="J91" s="615"/>
      <c r="K91" s="615"/>
      <c r="L91" s="615"/>
      <c r="M91" s="615"/>
      <c r="N91" s="615">
        <v>1</v>
      </c>
      <c r="O91" s="615">
        <v>862</v>
      </c>
      <c r="P91" s="628"/>
      <c r="Q91" s="616">
        <v>862</v>
      </c>
    </row>
    <row r="92" spans="1:17" ht="14.4" customHeight="1" x14ac:dyDescent="0.3">
      <c r="A92" s="611" t="s">
        <v>1935</v>
      </c>
      <c r="B92" s="612" t="s">
        <v>1936</v>
      </c>
      <c r="C92" s="612" t="s">
        <v>1646</v>
      </c>
      <c r="D92" s="612" t="s">
        <v>2039</v>
      </c>
      <c r="E92" s="612" t="s">
        <v>2040</v>
      </c>
      <c r="F92" s="615">
        <v>34</v>
      </c>
      <c r="G92" s="615">
        <v>850</v>
      </c>
      <c r="H92" s="615">
        <v>1</v>
      </c>
      <c r="I92" s="615">
        <v>25</v>
      </c>
      <c r="J92" s="615">
        <v>32</v>
      </c>
      <c r="K92" s="615">
        <v>800</v>
      </c>
      <c r="L92" s="615">
        <v>0.94117647058823528</v>
      </c>
      <c r="M92" s="615">
        <v>25</v>
      </c>
      <c r="N92" s="615">
        <v>44</v>
      </c>
      <c r="O92" s="615">
        <v>1100</v>
      </c>
      <c r="P92" s="628">
        <v>1.2941176470588236</v>
      </c>
      <c r="Q92" s="616">
        <v>25</v>
      </c>
    </row>
    <row r="93" spans="1:17" ht="14.4" customHeight="1" x14ac:dyDescent="0.3">
      <c r="A93" s="611" t="s">
        <v>1935</v>
      </c>
      <c r="B93" s="612" t="s">
        <v>1936</v>
      </c>
      <c r="C93" s="612" t="s">
        <v>1646</v>
      </c>
      <c r="D93" s="612" t="s">
        <v>2041</v>
      </c>
      <c r="E93" s="612" t="s">
        <v>2042</v>
      </c>
      <c r="F93" s="615">
        <v>19</v>
      </c>
      <c r="G93" s="615">
        <v>627</v>
      </c>
      <c r="H93" s="615">
        <v>1</v>
      </c>
      <c r="I93" s="615">
        <v>33</v>
      </c>
      <c r="J93" s="615">
        <v>24</v>
      </c>
      <c r="K93" s="615">
        <v>792</v>
      </c>
      <c r="L93" s="615">
        <v>1.263157894736842</v>
      </c>
      <c r="M93" s="615">
        <v>33</v>
      </c>
      <c r="N93" s="615">
        <v>15</v>
      </c>
      <c r="O93" s="615">
        <v>495</v>
      </c>
      <c r="P93" s="628">
        <v>0.78947368421052633</v>
      </c>
      <c r="Q93" s="616">
        <v>33</v>
      </c>
    </row>
    <row r="94" spans="1:17" ht="14.4" customHeight="1" x14ac:dyDescent="0.3">
      <c r="A94" s="611" t="s">
        <v>1935</v>
      </c>
      <c r="B94" s="612" t="s">
        <v>1936</v>
      </c>
      <c r="C94" s="612" t="s">
        <v>1646</v>
      </c>
      <c r="D94" s="612" t="s">
        <v>2043</v>
      </c>
      <c r="E94" s="612" t="s">
        <v>2044</v>
      </c>
      <c r="F94" s="615">
        <v>16</v>
      </c>
      <c r="G94" s="615">
        <v>480</v>
      </c>
      <c r="H94" s="615">
        <v>1</v>
      </c>
      <c r="I94" s="615">
        <v>30</v>
      </c>
      <c r="J94" s="615">
        <v>12</v>
      </c>
      <c r="K94" s="615">
        <v>360</v>
      </c>
      <c r="L94" s="615">
        <v>0.75</v>
      </c>
      <c r="M94" s="615">
        <v>30</v>
      </c>
      <c r="N94" s="615">
        <v>20</v>
      </c>
      <c r="O94" s="615">
        <v>600</v>
      </c>
      <c r="P94" s="628">
        <v>1.25</v>
      </c>
      <c r="Q94" s="616">
        <v>30</v>
      </c>
    </row>
    <row r="95" spans="1:17" ht="14.4" customHeight="1" x14ac:dyDescent="0.3">
      <c r="A95" s="611" t="s">
        <v>1935</v>
      </c>
      <c r="B95" s="612" t="s">
        <v>1936</v>
      </c>
      <c r="C95" s="612" t="s">
        <v>1646</v>
      </c>
      <c r="D95" s="612" t="s">
        <v>2045</v>
      </c>
      <c r="E95" s="612" t="s">
        <v>2046</v>
      </c>
      <c r="F95" s="615">
        <v>23</v>
      </c>
      <c r="G95" s="615">
        <v>598</v>
      </c>
      <c r="H95" s="615">
        <v>1</v>
      </c>
      <c r="I95" s="615">
        <v>26</v>
      </c>
      <c r="J95" s="615">
        <v>21</v>
      </c>
      <c r="K95" s="615">
        <v>546</v>
      </c>
      <c r="L95" s="615">
        <v>0.91304347826086951</v>
      </c>
      <c r="M95" s="615">
        <v>26</v>
      </c>
      <c r="N95" s="615">
        <v>21</v>
      </c>
      <c r="O95" s="615">
        <v>546</v>
      </c>
      <c r="P95" s="628">
        <v>0.91304347826086951</v>
      </c>
      <c r="Q95" s="616">
        <v>26</v>
      </c>
    </row>
    <row r="96" spans="1:17" ht="14.4" customHeight="1" x14ac:dyDescent="0.3">
      <c r="A96" s="611" t="s">
        <v>1935</v>
      </c>
      <c r="B96" s="612" t="s">
        <v>1936</v>
      </c>
      <c r="C96" s="612" t="s">
        <v>1646</v>
      </c>
      <c r="D96" s="612" t="s">
        <v>2047</v>
      </c>
      <c r="E96" s="612" t="s">
        <v>2048</v>
      </c>
      <c r="F96" s="615"/>
      <c r="G96" s="615"/>
      <c r="H96" s="615"/>
      <c r="I96" s="615"/>
      <c r="J96" s="615"/>
      <c r="K96" s="615"/>
      <c r="L96" s="615"/>
      <c r="M96" s="615"/>
      <c r="N96" s="615">
        <v>1</v>
      </c>
      <c r="O96" s="615">
        <v>84</v>
      </c>
      <c r="P96" s="628"/>
      <c r="Q96" s="616">
        <v>84</v>
      </c>
    </row>
    <row r="97" spans="1:17" ht="14.4" customHeight="1" x14ac:dyDescent="0.3">
      <c r="A97" s="611" t="s">
        <v>1935</v>
      </c>
      <c r="B97" s="612" t="s">
        <v>1936</v>
      </c>
      <c r="C97" s="612" t="s">
        <v>1646</v>
      </c>
      <c r="D97" s="612" t="s">
        <v>2049</v>
      </c>
      <c r="E97" s="612" t="s">
        <v>2050</v>
      </c>
      <c r="F97" s="615">
        <v>2</v>
      </c>
      <c r="G97" s="615">
        <v>348</v>
      </c>
      <c r="H97" s="615">
        <v>1</v>
      </c>
      <c r="I97" s="615">
        <v>174</v>
      </c>
      <c r="J97" s="615">
        <v>5</v>
      </c>
      <c r="K97" s="615">
        <v>870</v>
      </c>
      <c r="L97" s="615">
        <v>2.5</v>
      </c>
      <c r="M97" s="615">
        <v>174</v>
      </c>
      <c r="N97" s="615"/>
      <c r="O97" s="615"/>
      <c r="P97" s="628"/>
      <c r="Q97" s="616"/>
    </row>
    <row r="98" spans="1:17" ht="14.4" customHeight="1" x14ac:dyDescent="0.3">
      <c r="A98" s="611" t="s">
        <v>1935</v>
      </c>
      <c r="B98" s="612" t="s">
        <v>1936</v>
      </c>
      <c r="C98" s="612" t="s">
        <v>1646</v>
      </c>
      <c r="D98" s="612" t="s">
        <v>2051</v>
      </c>
      <c r="E98" s="612" t="s">
        <v>2052</v>
      </c>
      <c r="F98" s="615">
        <v>132</v>
      </c>
      <c r="G98" s="615">
        <v>1980</v>
      </c>
      <c r="H98" s="615">
        <v>1</v>
      </c>
      <c r="I98" s="615">
        <v>15</v>
      </c>
      <c r="J98" s="615">
        <v>118</v>
      </c>
      <c r="K98" s="615">
        <v>1770</v>
      </c>
      <c r="L98" s="615">
        <v>0.89393939393939392</v>
      </c>
      <c r="M98" s="615">
        <v>15</v>
      </c>
      <c r="N98" s="615">
        <v>132</v>
      </c>
      <c r="O98" s="615">
        <v>1980</v>
      </c>
      <c r="P98" s="628">
        <v>1</v>
      </c>
      <c r="Q98" s="616">
        <v>15</v>
      </c>
    </row>
    <row r="99" spans="1:17" ht="14.4" customHeight="1" x14ac:dyDescent="0.3">
      <c r="A99" s="611" t="s">
        <v>1935</v>
      </c>
      <c r="B99" s="612" t="s">
        <v>1936</v>
      </c>
      <c r="C99" s="612" t="s">
        <v>1646</v>
      </c>
      <c r="D99" s="612" t="s">
        <v>2053</v>
      </c>
      <c r="E99" s="612" t="s">
        <v>2054</v>
      </c>
      <c r="F99" s="615">
        <v>51</v>
      </c>
      <c r="G99" s="615">
        <v>1173</v>
      </c>
      <c r="H99" s="615">
        <v>1</v>
      </c>
      <c r="I99" s="615">
        <v>23</v>
      </c>
      <c r="J99" s="615">
        <v>44</v>
      </c>
      <c r="K99" s="615">
        <v>1012</v>
      </c>
      <c r="L99" s="615">
        <v>0.86274509803921573</v>
      </c>
      <c r="M99" s="615">
        <v>23</v>
      </c>
      <c r="N99" s="615">
        <v>63</v>
      </c>
      <c r="O99" s="615">
        <v>1449</v>
      </c>
      <c r="P99" s="628">
        <v>1.2352941176470589</v>
      </c>
      <c r="Q99" s="616">
        <v>23</v>
      </c>
    </row>
    <row r="100" spans="1:17" ht="14.4" customHeight="1" x14ac:dyDescent="0.3">
      <c r="A100" s="611" t="s">
        <v>1935</v>
      </c>
      <c r="B100" s="612" t="s">
        <v>1936</v>
      </c>
      <c r="C100" s="612" t="s">
        <v>1646</v>
      </c>
      <c r="D100" s="612" t="s">
        <v>2055</v>
      </c>
      <c r="E100" s="612" t="s">
        <v>2056</v>
      </c>
      <c r="F100" s="615">
        <v>5</v>
      </c>
      <c r="G100" s="615">
        <v>185</v>
      </c>
      <c r="H100" s="615">
        <v>1</v>
      </c>
      <c r="I100" s="615">
        <v>37</v>
      </c>
      <c r="J100" s="615"/>
      <c r="K100" s="615"/>
      <c r="L100" s="615"/>
      <c r="M100" s="615"/>
      <c r="N100" s="615"/>
      <c r="O100" s="615"/>
      <c r="P100" s="628"/>
      <c r="Q100" s="616"/>
    </row>
    <row r="101" spans="1:17" ht="14.4" customHeight="1" x14ac:dyDescent="0.3">
      <c r="A101" s="611" t="s">
        <v>1935</v>
      </c>
      <c r="B101" s="612" t="s">
        <v>1936</v>
      </c>
      <c r="C101" s="612" t="s">
        <v>1646</v>
      </c>
      <c r="D101" s="612" t="s">
        <v>2057</v>
      </c>
      <c r="E101" s="612" t="s">
        <v>2058</v>
      </c>
      <c r="F101" s="615">
        <v>2</v>
      </c>
      <c r="G101" s="615">
        <v>46</v>
      </c>
      <c r="H101" s="615">
        <v>1</v>
      </c>
      <c r="I101" s="615">
        <v>23</v>
      </c>
      <c r="J101" s="615">
        <v>550</v>
      </c>
      <c r="K101" s="615">
        <v>12558</v>
      </c>
      <c r="L101" s="615">
        <v>273</v>
      </c>
      <c r="M101" s="615">
        <v>22.832727272727272</v>
      </c>
      <c r="N101" s="615">
        <v>757</v>
      </c>
      <c r="O101" s="615">
        <v>17411</v>
      </c>
      <c r="P101" s="628">
        <v>378.5</v>
      </c>
      <c r="Q101" s="616">
        <v>23</v>
      </c>
    </row>
    <row r="102" spans="1:17" ht="14.4" customHeight="1" x14ac:dyDescent="0.3">
      <c r="A102" s="611" t="s">
        <v>1935</v>
      </c>
      <c r="B102" s="612" t="s">
        <v>1936</v>
      </c>
      <c r="C102" s="612" t="s">
        <v>1646</v>
      </c>
      <c r="D102" s="612" t="s">
        <v>2059</v>
      </c>
      <c r="E102" s="612" t="s">
        <v>2060</v>
      </c>
      <c r="F102" s="615">
        <v>8</v>
      </c>
      <c r="G102" s="615">
        <v>1352</v>
      </c>
      <c r="H102" s="615">
        <v>1</v>
      </c>
      <c r="I102" s="615">
        <v>169</v>
      </c>
      <c r="J102" s="615">
        <v>1</v>
      </c>
      <c r="K102" s="615">
        <v>169</v>
      </c>
      <c r="L102" s="615">
        <v>0.125</v>
      </c>
      <c r="M102" s="615">
        <v>169</v>
      </c>
      <c r="N102" s="615">
        <v>4</v>
      </c>
      <c r="O102" s="615">
        <v>680</v>
      </c>
      <c r="P102" s="628">
        <v>0.50295857988165682</v>
      </c>
      <c r="Q102" s="616">
        <v>170</v>
      </c>
    </row>
    <row r="103" spans="1:17" ht="14.4" customHeight="1" x14ac:dyDescent="0.3">
      <c r="A103" s="611" t="s">
        <v>1935</v>
      </c>
      <c r="B103" s="612" t="s">
        <v>1936</v>
      </c>
      <c r="C103" s="612" t="s">
        <v>1646</v>
      </c>
      <c r="D103" s="612" t="s">
        <v>2061</v>
      </c>
      <c r="E103" s="612" t="s">
        <v>2062</v>
      </c>
      <c r="F103" s="615">
        <v>3</v>
      </c>
      <c r="G103" s="615">
        <v>831</v>
      </c>
      <c r="H103" s="615">
        <v>1</v>
      </c>
      <c r="I103" s="615">
        <v>277</v>
      </c>
      <c r="J103" s="615">
        <v>1</v>
      </c>
      <c r="K103" s="615">
        <v>277</v>
      </c>
      <c r="L103" s="615">
        <v>0.33333333333333331</v>
      </c>
      <c r="M103" s="615">
        <v>277</v>
      </c>
      <c r="N103" s="615"/>
      <c r="O103" s="615"/>
      <c r="P103" s="628"/>
      <c r="Q103" s="616"/>
    </row>
    <row r="104" spans="1:17" ht="14.4" customHeight="1" x14ac:dyDescent="0.3">
      <c r="A104" s="611" t="s">
        <v>1935</v>
      </c>
      <c r="B104" s="612" t="s">
        <v>1936</v>
      </c>
      <c r="C104" s="612" t="s">
        <v>1646</v>
      </c>
      <c r="D104" s="612" t="s">
        <v>2063</v>
      </c>
      <c r="E104" s="612" t="s">
        <v>2064</v>
      </c>
      <c r="F104" s="615">
        <v>21</v>
      </c>
      <c r="G104" s="615">
        <v>609</v>
      </c>
      <c r="H104" s="615">
        <v>1</v>
      </c>
      <c r="I104" s="615">
        <v>29</v>
      </c>
      <c r="J104" s="615">
        <v>20</v>
      </c>
      <c r="K104" s="615">
        <v>580</v>
      </c>
      <c r="L104" s="615">
        <v>0.95238095238095233</v>
      </c>
      <c r="M104" s="615">
        <v>29</v>
      </c>
      <c r="N104" s="615">
        <v>21</v>
      </c>
      <c r="O104" s="615">
        <v>609</v>
      </c>
      <c r="P104" s="628">
        <v>1</v>
      </c>
      <c r="Q104" s="616">
        <v>29</v>
      </c>
    </row>
    <row r="105" spans="1:17" ht="14.4" customHeight="1" x14ac:dyDescent="0.3">
      <c r="A105" s="611" t="s">
        <v>1935</v>
      </c>
      <c r="B105" s="612" t="s">
        <v>1936</v>
      </c>
      <c r="C105" s="612" t="s">
        <v>1646</v>
      </c>
      <c r="D105" s="612" t="s">
        <v>2065</v>
      </c>
      <c r="E105" s="612" t="s">
        <v>2066</v>
      </c>
      <c r="F105" s="615"/>
      <c r="G105" s="615"/>
      <c r="H105" s="615"/>
      <c r="I105" s="615"/>
      <c r="J105" s="615"/>
      <c r="K105" s="615"/>
      <c r="L105" s="615"/>
      <c r="M105" s="615"/>
      <c r="N105" s="615">
        <v>1</v>
      </c>
      <c r="O105" s="615">
        <v>177</v>
      </c>
      <c r="P105" s="628"/>
      <c r="Q105" s="616">
        <v>177</v>
      </c>
    </row>
    <row r="106" spans="1:17" ht="14.4" customHeight="1" x14ac:dyDescent="0.3">
      <c r="A106" s="611" t="s">
        <v>1935</v>
      </c>
      <c r="B106" s="612" t="s">
        <v>1936</v>
      </c>
      <c r="C106" s="612" t="s">
        <v>1646</v>
      </c>
      <c r="D106" s="612" t="s">
        <v>2067</v>
      </c>
      <c r="E106" s="612" t="s">
        <v>2068</v>
      </c>
      <c r="F106" s="615"/>
      <c r="G106" s="615"/>
      <c r="H106" s="615"/>
      <c r="I106" s="615"/>
      <c r="J106" s="615">
        <v>2</v>
      </c>
      <c r="K106" s="615">
        <v>394</v>
      </c>
      <c r="L106" s="615"/>
      <c r="M106" s="615">
        <v>197</v>
      </c>
      <c r="N106" s="615">
        <v>2</v>
      </c>
      <c r="O106" s="615">
        <v>396</v>
      </c>
      <c r="P106" s="628"/>
      <c r="Q106" s="616">
        <v>198</v>
      </c>
    </row>
    <row r="107" spans="1:17" ht="14.4" customHeight="1" x14ac:dyDescent="0.3">
      <c r="A107" s="611" t="s">
        <v>1935</v>
      </c>
      <c r="B107" s="612" t="s">
        <v>1936</v>
      </c>
      <c r="C107" s="612" t="s">
        <v>1646</v>
      </c>
      <c r="D107" s="612" t="s">
        <v>2069</v>
      </c>
      <c r="E107" s="612" t="s">
        <v>2070</v>
      </c>
      <c r="F107" s="615">
        <v>18</v>
      </c>
      <c r="G107" s="615">
        <v>270</v>
      </c>
      <c r="H107" s="615">
        <v>1</v>
      </c>
      <c r="I107" s="615">
        <v>15</v>
      </c>
      <c r="J107" s="615">
        <v>21</v>
      </c>
      <c r="K107" s="615">
        <v>315</v>
      </c>
      <c r="L107" s="615">
        <v>1.1666666666666667</v>
      </c>
      <c r="M107" s="615">
        <v>15</v>
      </c>
      <c r="N107" s="615">
        <v>12</v>
      </c>
      <c r="O107" s="615">
        <v>180</v>
      </c>
      <c r="P107" s="628">
        <v>0.66666666666666663</v>
      </c>
      <c r="Q107" s="616">
        <v>15</v>
      </c>
    </row>
    <row r="108" spans="1:17" ht="14.4" customHeight="1" x14ac:dyDescent="0.3">
      <c r="A108" s="611" t="s">
        <v>1935</v>
      </c>
      <c r="B108" s="612" t="s">
        <v>1936</v>
      </c>
      <c r="C108" s="612" t="s">
        <v>1646</v>
      </c>
      <c r="D108" s="612" t="s">
        <v>2071</v>
      </c>
      <c r="E108" s="612" t="s">
        <v>2072</v>
      </c>
      <c r="F108" s="615">
        <v>105</v>
      </c>
      <c r="G108" s="615">
        <v>1995</v>
      </c>
      <c r="H108" s="615">
        <v>1</v>
      </c>
      <c r="I108" s="615">
        <v>19</v>
      </c>
      <c r="J108" s="615">
        <v>78</v>
      </c>
      <c r="K108" s="615">
        <v>1482</v>
      </c>
      <c r="L108" s="615">
        <v>0.74285714285714288</v>
      </c>
      <c r="M108" s="615">
        <v>19</v>
      </c>
      <c r="N108" s="615">
        <v>99</v>
      </c>
      <c r="O108" s="615">
        <v>1881</v>
      </c>
      <c r="P108" s="628">
        <v>0.94285714285714284</v>
      </c>
      <c r="Q108" s="616">
        <v>19</v>
      </c>
    </row>
    <row r="109" spans="1:17" ht="14.4" customHeight="1" x14ac:dyDescent="0.3">
      <c r="A109" s="611" t="s">
        <v>1935</v>
      </c>
      <c r="B109" s="612" t="s">
        <v>1936</v>
      </c>
      <c r="C109" s="612" t="s">
        <v>1646</v>
      </c>
      <c r="D109" s="612" t="s">
        <v>2073</v>
      </c>
      <c r="E109" s="612" t="s">
        <v>2074</v>
      </c>
      <c r="F109" s="615">
        <v>93</v>
      </c>
      <c r="G109" s="615">
        <v>1860</v>
      </c>
      <c r="H109" s="615">
        <v>1</v>
      </c>
      <c r="I109" s="615">
        <v>20</v>
      </c>
      <c r="J109" s="615">
        <v>77</v>
      </c>
      <c r="K109" s="615">
        <v>1540</v>
      </c>
      <c r="L109" s="615">
        <v>0.82795698924731187</v>
      </c>
      <c r="M109" s="615">
        <v>20</v>
      </c>
      <c r="N109" s="615">
        <v>108</v>
      </c>
      <c r="O109" s="615">
        <v>2160</v>
      </c>
      <c r="P109" s="628">
        <v>1.1612903225806452</v>
      </c>
      <c r="Q109" s="616">
        <v>20</v>
      </c>
    </row>
    <row r="110" spans="1:17" ht="14.4" customHeight="1" x14ac:dyDescent="0.3">
      <c r="A110" s="611" t="s">
        <v>1935</v>
      </c>
      <c r="B110" s="612" t="s">
        <v>1936</v>
      </c>
      <c r="C110" s="612" t="s">
        <v>1646</v>
      </c>
      <c r="D110" s="612" t="s">
        <v>2075</v>
      </c>
      <c r="E110" s="612" t="s">
        <v>2076</v>
      </c>
      <c r="F110" s="615">
        <v>1</v>
      </c>
      <c r="G110" s="615">
        <v>184</v>
      </c>
      <c r="H110" s="615">
        <v>1</v>
      </c>
      <c r="I110" s="615">
        <v>184</v>
      </c>
      <c r="J110" s="615">
        <v>1</v>
      </c>
      <c r="K110" s="615">
        <v>185</v>
      </c>
      <c r="L110" s="615">
        <v>1.0054347826086956</v>
      </c>
      <c r="M110" s="615">
        <v>185</v>
      </c>
      <c r="N110" s="615"/>
      <c r="O110" s="615"/>
      <c r="P110" s="628"/>
      <c r="Q110" s="616"/>
    </row>
    <row r="111" spans="1:17" ht="14.4" customHeight="1" x14ac:dyDescent="0.3">
      <c r="A111" s="611" t="s">
        <v>1935</v>
      </c>
      <c r="B111" s="612" t="s">
        <v>1936</v>
      </c>
      <c r="C111" s="612" t="s">
        <v>1646</v>
      </c>
      <c r="D111" s="612" t="s">
        <v>2077</v>
      </c>
      <c r="E111" s="612" t="s">
        <v>2078</v>
      </c>
      <c r="F111" s="615">
        <v>1</v>
      </c>
      <c r="G111" s="615">
        <v>266</v>
      </c>
      <c r="H111" s="615">
        <v>1</v>
      </c>
      <c r="I111" s="615">
        <v>266</v>
      </c>
      <c r="J111" s="615"/>
      <c r="K111" s="615"/>
      <c r="L111" s="615"/>
      <c r="M111" s="615"/>
      <c r="N111" s="615"/>
      <c r="O111" s="615"/>
      <c r="P111" s="628"/>
      <c r="Q111" s="616"/>
    </row>
    <row r="112" spans="1:17" ht="14.4" customHeight="1" x14ac:dyDescent="0.3">
      <c r="A112" s="611" t="s">
        <v>1935</v>
      </c>
      <c r="B112" s="612" t="s">
        <v>1936</v>
      </c>
      <c r="C112" s="612" t="s">
        <v>1646</v>
      </c>
      <c r="D112" s="612" t="s">
        <v>2079</v>
      </c>
      <c r="E112" s="612" t="s">
        <v>2080</v>
      </c>
      <c r="F112" s="615"/>
      <c r="G112" s="615"/>
      <c r="H112" s="615"/>
      <c r="I112" s="615"/>
      <c r="J112" s="615"/>
      <c r="K112" s="615"/>
      <c r="L112" s="615"/>
      <c r="M112" s="615"/>
      <c r="N112" s="615">
        <v>3</v>
      </c>
      <c r="O112" s="615">
        <v>486</v>
      </c>
      <c r="P112" s="628"/>
      <c r="Q112" s="616">
        <v>162</v>
      </c>
    </row>
    <row r="113" spans="1:17" ht="14.4" customHeight="1" x14ac:dyDescent="0.3">
      <c r="A113" s="611" t="s">
        <v>1935</v>
      </c>
      <c r="B113" s="612" t="s">
        <v>1936</v>
      </c>
      <c r="C113" s="612" t="s">
        <v>1646</v>
      </c>
      <c r="D113" s="612" t="s">
        <v>2081</v>
      </c>
      <c r="E113" s="612" t="s">
        <v>2082</v>
      </c>
      <c r="F113" s="615">
        <v>8</v>
      </c>
      <c r="G113" s="615">
        <v>5152</v>
      </c>
      <c r="H113" s="615">
        <v>1</v>
      </c>
      <c r="I113" s="615">
        <v>644</v>
      </c>
      <c r="J113" s="615">
        <v>3</v>
      </c>
      <c r="K113" s="615">
        <v>1938</v>
      </c>
      <c r="L113" s="615">
        <v>0.37616459627329191</v>
      </c>
      <c r="M113" s="615">
        <v>646</v>
      </c>
      <c r="N113" s="615">
        <v>4</v>
      </c>
      <c r="O113" s="615">
        <v>2588</v>
      </c>
      <c r="P113" s="628">
        <v>0.50232919254658381</v>
      </c>
      <c r="Q113" s="616">
        <v>647</v>
      </c>
    </row>
    <row r="114" spans="1:17" ht="14.4" customHeight="1" x14ac:dyDescent="0.3">
      <c r="A114" s="611" t="s">
        <v>1935</v>
      </c>
      <c r="B114" s="612" t="s">
        <v>1936</v>
      </c>
      <c r="C114" s="612" t="s">
        <v>1646</v>
      </c>
      <c r="D114" s="612" t="s">
        <v>2083</v>
      </c>
      <c r="E114" s="612" t="s">
        <v>2084</v>
      </c>
      <c r="F114" s="615"/>
      <c r="G114" s="615"/>
      <c r="H114" s="615"/>
      <c r="I114" s="615"/>
      <c r="J114" s="615">
        <v>2</v>
      </c>
      <c r="K114" s="615">
        <v>526</v>
      </c>
      <c r="L114" s="615"/>
      <c r="M114" s="615">
        <v>263</v>
      </c>
      <c r="N114" s="615"/>
      <c r="O114" s="615"/>
      <c r="P114" s="628"/>
      <c r="Q114" s="616"/>
    </row>
    <row r="115" spans="1:17" ht="14.4" customHeight="1" x14ac:dyDescent="0.3">
      <c r="A115" s="611" t="s">
        <v>1935</v>
      </c>
      <c r="B115" s="612" t="s">
        <v>1936</v>
      </c>
      <c r="C115" s="612" t="s">
        <v>1646</v>
      </c>
      <c r="D115" s="612" t="s">
        <v>2085</v>
      </c>
      <c r="E115" s="612" t="s">
        <v>2086</v>
      </c>
      <c r="F115" s="615">
        <v>22</v>
      </c>
      <c r="G115" s="615">
        <v>1716</v>
      </c>
      <c r="H115" s="615">
        <v>1</v>
      </c>
      <c r="I115" s="615">
        <v>78</v>
      </c>
      <c r="J115" s="615">
        <v>18</v>
      </c>
      <c r="K115" s="615">
        <v>1404</v>
      </c>
      <c r="L115" s="615">
        <v>0.81818181818181823</v>
      </c>
      <c r="M115" s="615">
        <v>78</v>
      </c>
      <c r="N115" s="615">
        <v>24</v>
      </c>
      <c r="O115" s="615">
        <v>1872</v>
      </c>
      <c r="P115" s="628">
        <v>1.0909090909090908</v>
      </c>
      <c r="Q115" s="616">
        <v>78</v>
      </c>
    </row>
    <row r="116" spans="1:17" ht="14.4" customHeight="1" x14ac:dyDescent="0.3">
      <c r="A116" s="611" t="s">
        <v>1935</v>
      </c>
      <c r="B116" s="612" t="s">
        <v>1936</v>
      </c>
      <c r="C116" s="612" t="s">
        <v>1646</v>
      </c>
      <c r="D116" s="612" t="s">
        <v>2087</v>
      </c>
      <c r="E116" s="612" t="s">
        <v>2088</v>
      </c>
      <c r="F116" s="615">
        <v>2</v>
      </c>
      <c r="G116" s="615">
        <v>42</v>
      </c>
      <c r="H116" s="615">
        <v>1</v>
      </c>
      <c r="I116" s="615">
        <v>21</v>
      </c>
      <c r="J116" s="615">
        <v>9</v>
      </c>
      <c r="K116" s="615">
        <v>189</v>
      </c>
      <c r="L116" s="615">
        <v>4.5</v>
      </c>
      <c r="M116" s="615">
        <v>21</v>
      </c>
      <c r="N116" s="615">
        <v>4</v>
      </c>
      <c r="O116" s="615">
        <v>84</v>
      </c>
      <c r="P116" s="628">
        <v>2</v>
      </c>
      <c r="Q116" s="616">
        <v>21</v>
      </c>
    </row>
    <row r="117" spans="1:17" ht="14.4" customHeight="1" x14ac:dyDescent="0.3">
      <c r="A117" s="611" t="s">
        <v>1935</v>
      </c>
      <c r="B117" s="612" t="s">
        <v>1936</v>
      </c>
      <c r="C117" s="612" t="s">
        <v>1646</v>
      </c>
      <c r="D117" s="612" t="s">
        <v>2089</v>
      </c>
      <c r="E117" s="612" t="s">
        <v>2090</v>
      </c>
      <c r="F117" s="615">
        <v>8</v>
      </c>
      <c r="G117" s="615">
        <v>8704</v>
      </c>
      <c r="H117" s="615">
        <v>1</v>
      </c>
      <c r="I117" s="615">
        <v>1088</v>
      </c>
      <c r="J117" s="615">
        <v>6</v>
      </c>
      <c r="K117" s="615">
        <v>6534</v>
      </c>
      <c r="L117" s="615">
        <v>0.75068933823529416</v>
      </c>
      <c r="M117" s="615">
        <v>1089</v>
      </c>
      <c r="N117" s="615">
        <v>2</v>
      </c>
      <c r="O117" s="615">
        <v>2178</v>
      </c>
      <c r="P117" s="628">
        <v>0.25022977941176472</v>
      </c>
      <c r="Q117" s="616">
        <v>1089</v>
      </c>
    </row>
    <row r="118" spans="1:17" ht="14.4" customHeight="1" x14ac:dyDescent="0.3">
      <c r="A118" s="611" t="s">
        <v>1935</v>
      </c>
      <c r="B118" s="612" t="s">
        <v>1936</v>
      </c>
      <c r="C118" s="612" t="s">
        <v>1646</v>
      </c>
      <c r="D118" s="612" t="s">
        <v>2091</v>
      </c>
      <c r="E118" s="612" t="s">
        <v>2092</v>
      </c>
      <c r="F118" s="615">
        <v>1</v>
      </c>
      <c r="G118" s="615">
        <v>22</v>
      </c>
      <c r="H118" s="615">
        <v>1</v>
      </c>
      <c r="I118" s="615">
        <v>22</v>
      </c>
      <c r="J118" s="615">
        <v>4</v>
      </c>
      <c r="K118" s="615">
        <v>88</v>
      </c>
      <c r="L118" s="615">
        <v>4</v>
      </c>
      <c r="M118" s="615">
        <v>22</v>
      </c>
      <c r="N118" s="615">
        <v>4</v>
      </c>
      <c r="O118" s="615">
        <v>88</v>
      </c>
      <c r="P118" s="628">
        <v>4</v>
      </c>
      <c r="Q118" s="616">
        <v>22</v>
      </c>
    </row>
    <row r="119" spans="1:17" ht="14.4" customHeight="1" x14ac:dyDescent="0.3">
      <c r="A119" s="611" t="s">
        <v>1935</v>
      </c>
      <c r="B119" s="612" t="s">
        <v>1936</v>
      </c>
      <c r="C119" s="612" t="s">
        <v>1646</v>
      </c>
      <c r="D119" s="612" t="s">
        <v>2093</v>
      </c>
      <c r="E119" s="612" t="s">
        <v>2094</v>
      </c>
      <c r="F119" s="615">
        <v>4</v>
      </c>
      <c r="G119" s="615">
        <v>2272</v>
      </c>
      <c r="H119" s="615">
        <v>1</v>
      </c>
      <c r="I119" s="615">
        <v>568</v>
      </c>
      <c r="J119" s="615">
        <v>5</v>
      </c>
      <c r="K119" s="615">
        <v>2845</v>
      </c>
      <c r="L119" s="615">
        <v>1.252200704225352</v>
      </c>
      <c r="M119" s="615">
        <v>569</v>
      </c>
      <c r="N119" s="615">
        <v>1</v>
      </c>
      <c r="O119" s="615">
        <v>569</v>
      </c>
      <c r="P119" s="628">
        <v>0.25044014084507044</v>
      </c>
      <c r="Q119" s="616">
        <v>569</v>
      </c>
    </row>
    <row r="120" spans="1:17" ht="14.4" customHeight="1" x14ac:dyDescent="0.3">
      <c r="A120" s="611" t="s">
        <v>1935</v>
      </c>
      <c r="B120" s="612" t="s">
        <v>1936</v>
      </c>
      <c r="C120" s="612" t="s">
        <v>1646</v>
      </c>
      <c r="D120" s="612" t="s">
        <v>2095</v>
      </c>
      <c r="E120" s="612" t="s">
        <v>2096</v>
      </c>
      <c r="F120" s="615"/>
      <c r="G120" s="615"/>
      <c r="H120" s="615"/>
      <c r="I120" s="615"/>
      <c r="J120" s="615"/>
      <c r="K120" s="615"/>
      <c r="L120" s="615"/>
      <c r="M120" s="615"/>
      <c r="N120" s="615">
        <v>1</v>
      </c>
      <c r="O120" s="615">
        <v>171</v>
      </c>
      <c r="P120" s="628"/>
      <c r="Q120" s="616">
        <v>171</v>
      </c>
    </row>
    <row r="121" spans="1:17" ht="14.4" customHeight="1" x14ac:dyDescent="0.3">
      <c r="A121" s="611" t="s">
        <v>1935</v>
      </c>
      <c r="B121" s="612" t="s">
        <v>1936</v>
      </c>
      <c r="C121" s="612" t="s">
        <v>1646</v>
      </c>
      <c r="D121" s="612" t="s">
        <v>2097</v>
      </c>
      <c r="E121" s="612" t="s">
        <v>2098</v>
      </c>
      <c r="F121" s="615">
        <v>1</v>
      </c>
      <c r="G121" s="615">
        <v>564</v>
      </c>
      <c r="H121" s="615">
        <v>1</v>
      </c>
      <c r="I121" s="615">
        <v>564</v>
      </c>
      <c r="J121" s="615">
        <v>16</v>
      </c>
      <c r="K121" s="615">
        <v>6834</v>
      </c>
      <c r="L121" s="615">
        <v>12.117021276595745</v>
      </c>
      <c r="M121" s="615">
        <v>427.125</v>
      </c>
      <c r="N121" s="615">
        <v>26</v>
      </c>
      <c r="O121" s="615">
        <v>14872</v>
      </c>
      <c r="P121" s="628">
        <v>26.368794326241133</v>
      </c>
      <c r="Q121" s="616">
        <v>572</v>
      </c>
    </row>
    <row r="122" spans="1:17" ht="14.4" customHeight="1" x14ac:dyDescent="0.3">
      <c r="A122" s="611" t="s">
        <v>1935</v>
      </c>
      <c r="B122" s="612" t="s">
        <v>1936</v>
      </c>
      <c r="C122" s="612" t="s">
        <v>1646</v>
      </c>
      <c r="D122" s="612" t="s">
        <v>1884</v>
      </c>
      <c r="E122" s="612" t="s">
        <v>1885</v>
      </c>
      <c r="F122" s="615">
        <v>1</v>
      </c>
      <c r="G122" s="615">
        <v>1002</v>
      </c>
      <c r="H122" s="615">
        <v>1</v>
      </c>
      <c r="I122" s="615">
        <v>1002</v>
      </c>
      <c r="J122" s="615">
        <v>16</v>
      </c>
      <c r="K122" s="615">
        <v>12068</v>
      </c>
      <c r="L122" s="615">
        <v>12.043912175648703</v>
      </c>
      <c r="M122" s="615">
        <v>754.25</v>
      </c>
      <c r="N122" s="615">
        <v>26</v>
      </c>
      <c r="O122" s="615">
        <v>26208</v>
      </c>
      <c r="P122" s="628">
        <v>26.155688622754489</v>
      </c>
      <c r="Q122" s="616">
        <v>1008</v>
      </c>
    </row>
    <row r="123" spans="1:17" ht="14.4" customHeight="1" x14ac:dyDescent="0.3">
      <c r="A123" s="611" t="s">
        <v>1935</v>
      </c>
      <c r="B123" s="612" t="s">
        <v>1936</v>
      </c>
      <c r="C123" s="612" t="s">
        <v>1646</v>
      </c>
      <c r="D123" s="612" t="s">
        <v>2099</v>
      </c>
      <c r="E123" s="612" t="s">
        <v>2100</v>
      </c>
      <c r="F123" s="615"/>
      <c r="G123" s="615"/>
      <c r="H123" s="615"/>
      <c r="I123" s="615"/>
      <c r="J123" s="615">
        <v>3</v>
      </c>
      <c r="K123" s="615">
        <v>4951</v>
      </c>
      <c r="L123" s="615"/>
      <c r="M123" s="615">
        <v>1650.3333333333333</v>
      </c>
      <c r="N123" s="615"/>
      <c r="O123" s="615"/>
      <c r="P123" s="628"/>
      <c r="Q123" s="616"/>
    </row>
    <row r="124" spans="1:17" ht="14.4" customHeight="1" x14ac:dyDescent="0.3">
      <c r="A124" s="611" t="s">
        <v>1935</v>
      </c>
      <c r="B124" s="612" t="s">
        <v>1936</v>
      </c>
      <c r="C124" s="612" t="s">
        <v>1646</v>
      </c>
      <c r="D124" s="612" t="s">
        <v>2101</v>
      </c>
      <c r="E124" s="612" t="s">
        <v>2102</v>
      </c>
      <c r="F124" s="615"/>
      <c r="G124" s="615"/>
      <c r="H124" s="615"/>
      <c r="I124" s="615"/>
      <c r="J124" s="615"/>
      <c r="K124" s="615"/>
      <c r="L124" s="615"/>
      <c r="M124" s="615"/>
      <c r="N124" s="615">
        <v>1</v>
      </c>
      <c r="O124" s="615">
        <v>264</v>
      </c>
      <c r="P124" s="628"/>
      <c r="Q124" s="616">
        <v>264</v>
      </c>
    </row>
    <row r="125" spans="1:17" ht="14.4" customHeight="1" x14ac:dyDescent="0.3">
      <c r="A125" s="611" t="s">
        <v>1935</v>
      </c>
      <c r="B125" s="612" t="s">
        <v>1936</v>
      </c>
      <c r="C125" s="612" t="s">
        <v>1646</v>
      </c>
      <c r="D125" s="612" t="s">
        <v>2103</v>
      </c>
      <c r="E125" s="612" t="s">
        <v>2104</v>
      </c>
      <c r="F125" s="615">
        <v>2</v>
      </c>
      <c r="G125" s="615">
        <v>620</v>
      </c>
      <c r="H125" s="615">
        <v>1</v>
      </c>
      <c r="I125" s="615">
        <v>310</v>
      </c>
      <c r="J125" s="615"/>
      <c r="K125" s="615"/>
      <c r="L125" s="615"/>
      <c r="M125" s="615"/>
      <c r="N125" s="615"/>
      <c r="O125" s="615"/>
      <c r="P125" s="628"/>
      <c r="Q125" s="616"/>
    </row>
    <row r="126" spans="1:17" ht="14.4" customHeight="1" x14ac:dyDescent="0.3">
      <c r="A126" s="611" t="s">
        <v>1935</v>
      </c>
      <c r="B126" s="612" t="s">
        <v>1936</v>
      </c>
      <c r="C126" s="612" t="s">
        <v>1646</v>
      </c>
      <c r="D126" s="612" t="s">
        <v>2105</v>
      </c>
      <c r="E126" s="612" t="s">
        <v>2106</v>
      </c>
      <c r="F126" s="615">
        <v>7</v>
      </c>
      <c r="G126" s="615">
        <v>161</v>
      </c>
      <c r="H126" s="615">
        <v>1</v>
      </c>
      <c r="I126" s="615">
        <v>23</v>
      </c>
      <c r="J126" s="615">
        <v>7</v>
      </c>
      <c r="K126" s="615">
        <v>161</v>
      </c>
      <c r="L126" s="615">
        <v>1</v>
      </c>
      <c r="M126" s="615">
        <v>23</v>
      </c>
      <c r="N126" s="615">
        <v>4</v>
      </c>
      <c r="O126" s="615">
        <v>92</v>
      </c>
      <c r="P126" s="628">
        <v>0.5714285714285714</v>
      </c>
      <c r="Q126" s="616">
        <v>23</v>
      </c>
    </row>
    <row r="127" spans="1:17" ht="14.4" customHeight="1" x14ac:dyDescent="0.3">
      <c r="A127" s="611" t="s">
        <v>1935</v>
      </c>
      <c r="B127" s="612" t="s">
        <v>1936</v>
      </c>
      <c r="C127" s="612" t="s">
        <v>1646</v>
      </c>
      <c r="D127" s="612" t="s">
        <v>2107</v>
      </c>
      <c r="E127" s="612" t="s">
        <v>2108</v>
      </c>
      <c r="F127" s="615"/>
      <c r="G127" s="615"/>
      <c r="H127" s="615"/>
      <c r="I127" s="615"/>
      <c r="J127" s="615"/>
      <c r="K127" s="615"/>
      <c r="L127" s="615"/>
      <c r="M127" s="615"/>
      <c r="N127" s="615">
        <v>1</v>
      </c>
      <c r="O127" s="615">
        <v>17</v>
      </c>
      <c r="P127" s="628"/>
      <c r="Q127" s="616">
        <v>17</v>
      </c>
    </row>
    <row r="128" spans="1:17" ht="14.4" customHeight="1" x14ac:dyDescent="0.3">
      <c r="A128" s="611" t="s">
        <v>1935</v>
      </c>
      <c r="B128" s="612" t="s">
        <v>1936</v>
      </c>
      <c r="C128" s="612" t="s">
        <v>1646</v>
      </c>
      <c r="D128" s="612" t="s">
        <v>2109</v>
      </c>
      <c r="E128" s="612" t="s">
        <v>2110</v>
      </c>
      <c r="F128" s="615">
        <v>1</v>
      </c>
      <c r="G128" s="615">
        <v>291</v>
      </c>
      <c r="H128" s="615">
        <v>1</v>
      </c>
      <c r="I128" s="615">
        <v>291</v>
      </c>
      <c r="J128" s="615"/>
      <c r="K128" s="615"/>
      <c r="L128" s="615"/>
      <c r="M128" s="615"/>
      <c r="N128" s="615"/>
      <c r="O128" s="615"/>
      <c r="P128" s="628"/>
      <c r="Q128" s="616"/>
    </row>
    <row r="129" spans="1:17" ht="14.4" customHeight="1" x14ac:dyDescent="0.3">
      <c r="A129" s="611" t="s">
        <v>1935</v>
      </c>
      <c r="B129" s="612" t="s">
        <v>1936</v>
      </c>
      <c r="C129" s="612" t="s">
        <v>1646</v>
      </c>
      <c r="D129" s="612" t="s">
        <v>2111</v>
      </c>
      <c r="E129" s="612" t="s">
        <v>2112</v>
      </c>
      <c r="F129" s="615">
        <v>1</v>
      </c>
      <c r="G129" s="615">
        <v>366</v>
      </c>
      <c r="H129" s="615">
        <v>1</v>
      </c>
      <c r="I129" s="615">
        <v>366</v>
      </c>
      <c r="J129" s="615"/>
      <c r="K129" s="615"/>
      <c r="L129" s="615"/>
      <c r="M129" s="615"/>
      <c r="N129" s="615">
        <v>1</v>
      </c>
      <c r="O129" s="615">
        <v>371</v>
      </c>
      <c r="P129" s="628">
        <v>1.0136612021857923</v>
      </c>
      <c r="Q129" s="616">
        <v>371</v>
      </c>
    </row>
    <row r="130" spans="1:17" ht="14.4" customHeight="1" x14ac:dyDescent="0.3">
      <c r="A130" s="611" t="s">
        <v>1935</v>
      </c>
      <c r="B130" s="612" t="s">
        <v>1936</v>
      </c>
      <c r="C130" s="612" t="s">
        <v>1646</v>
      </c>
      <c r="D130" s="612" t="s">
        <v>2113</v>
      </c>
      <c r="E130" s="612" t="s">
        <v>2114</v>
      </c>
      <c r="F130" s="615">
        <v>19</v>
      </c>
      <c r="G130" s="615">
        <v>855</v>
      </c>
      <c r="H130" s="615">
        <v>1</v>
      </c>
      <c r="I130" s="615">
        <v>45</v>
      </c>
      <c r="J130" s="615">
        <v>19</v>
      </c>
      <c r="K130" s="615">
        <v>855</v>
      </c>
      <c r="L130" s="615">
        <v>1</v>
      </c>
      <c r="M130" s="615">
        <v>45</v>
      </c>
      <c r="N130" s="615">
        <v>15</v>
      </c>
      <c r="O130" s="615">
        <v>675</v>
      </c>
      <c r="P130" s="628">
        <v>0.78947368421052633</v>
      </c>
      <c r="Q130" s="616">
        <v>45</v>
      </c>
    </row>
    <row r="131" spans="1:17" ht="14.4" customHeight="1" x14ac:dyDescent="0.3">
      <c r="A131" s="611" t="s">
        <v>1935</v>
      </c>
      <c r="B131" s="612" t="s">
        <v>1936</v>
      </c>
      <c r="C131" s="612" t="s">
        <v>1646</v>
      </c>
      <c r="D131" s="612" t="s">
        <v>2115</v>
      </c>
      <c r="E131" s="612" t="s">
        <v>1988</v>
      </c>
      <c r="F131" s="615">
        <v>7</v>
      </c>
      <c r="G131" s="615">
        <v>1295</v>
      </c>
      <c r="H131" s="615">
        <v>1</v>
      </c>
      <c r="I131" s="615">
        <v>185</v>
      </c>
      <c r="J131" s="615">
        <v>3</v>
      </c>
      <c r="K131" s="615">
        <v>558</v>
      </c>
      <c r="L131" s="615">
        <v>0.4308880308880309</v>
      </c>
      <c r="M131" s="615">
        <v>186</v>
      </c>
      <c r="N131" s="615">
        <v>2</v>
      </c>
      <c r="O131" s="615">
        <v>372</v>
      </c>
      <c r="P131" s="628">
        <v>0.28725868725868725</v>
      </c>
      <c r="Q131" s="616">
        <v>186</v>
      </c>
    </row>
    <row r="132" spans="1:17" ht="14.4" customHeight="1" x14ac:dyDescent="0.3">
      <c r="A132" s="611" t="s">
        <v>1935</v>
      </c>
      <c r="B132" s="612" t="s">
        <v>1936</v>
      </c>
      <c r="C132" s="612" t="s">
        <v>1646</v>
      </c>
      <c r="D132" s="612" t="s">
        <v>2116</v>
      </c>
      <c r="E132" s="612" t="s">
        <v>2117</v>
      </c>
      <c r="F132" s="615"/>
      <c r="G132" s="615"/>
      <c r="H132" s="615"/>
      <c r="I132" s="615"/>
      <c r="J132" s="615">
        <v>3</v>
      </c>
      <c r="K132" s="615">
        <v>435</v>
      </c>
      <c r="L132" s="615"/>
      <c r="M132" s="615">
        <v>145</v>
      </c>
      <c r="N132" s="615"/>
      <c r="O132" s="615"/>
      <c r="P132" s="628"/>
      <c r="Q132" s="616"/>
    </row>
    <row r="133" spans="1:17" ht="14.4" customHeight="1" x14ac:dyDescent="0.3">
      <c r="A133" s="611" t="s">
        <v>1935</v>
      </c>
      <c r="B133" s="612" t="s">
        <v>1936</v>
      </c>
      <c r="C133" s="612" t="s">
        <v>1646</v>
      </c>
      <c r="D133" s="612" t="s">
        <v>2118</v>
      </c>
      <c r="E133" s="612" t="s">
        <v>2119</v>
      </c>
      <c r="F133" s="615"/>
      <c r="G133" s="615"/>
      <c r="H133" s="615"/>
      <c r="I133" s="615"/>
      <c r="J133" s="615">
        <v>104</v>
      </c>
      <c r="K133" s="615">
        <v>4600</v>
      </c>
      <c r="L133" s="615"/>
      <c r="M133" s="615">
        <v>44.230769230769234</v>
      </c>
      <c r="N133" s="615">
        <v>14</v>
      </c>
      <c r="O133" s="615">
        <v>644</v>
      </c>
      <c r="P133" s="628"/>
      <c r="Q133" s="616">
        <v>46</v>
      </c>
    </row>
    <row r="134" spans="1:17" ht="14.4" customHeight="1" x14ac:dyDescent="0.3">
      <c r="A134" s="611" t="s">
        <v>1935</v>
      </c>
      <c r="B134" s="612" t="s">
        <v>1936</v>
      </c>
      <c r="C134" s="612" t="s">
        <v>1646</v>
      </c>
      <c r="D134" s="612" t="s">
        <v>2120</v>
      </c>
      <c r="E134" s="612" t="s">
        <v>2121</v>
      </c>
      <c r="F134" s="615">
        <v>1</v>
      </c>
      <c r="G134" s="615">
        <v>288</v>
      </c>
      <c r="H134" s="615">
        <v>1</v>
      </c>
      <c r="I134" s="615">
        <v>288</v>
      </c>
      <c r="J134" s="615">
        <v>2</v>
      </c>
      <c r="K134" s="615">
        <v>578</v>
      </c>
      <c r="L134" s="615">
        <v>2.0069444444444446</v>
      </c>
      <c r="M134" s="615">
        <v>289</v>
      </c>
      <c r="N134" s="615"/>
      <c r="O134" s="615"/>
      <c r="P134" s="628"/>
      <c r="Q134" s="616"/>
    </row>
    <row r="135" spans="1:17" ht="14.4" customHeight="1" x14ac:dyDescent="0.3">
      <c r="A135" s="611" t="s">
        <v>1935</v>
      </c>
      <c r="B135" s="612" t="s">
        <v>1936</v>
      </c>
      <c r="C135" s="612" t="s">
        <v>1646</v>
      </c>
      <c r="D135" s="612" t="s">
        <v>2122</v>
      </c>
      <c r="E135" s="612" t="s">
        <v>2123</v>
      </c>
      <c r="F135" s="615"/>
      <c r="G135" s="615"/>
      <c r="H135" s="615"/>
      <c r="I135" s="615"/>
      <c r="J135" s="615">
        <v>3</v>
      </c>
      <c r="K135" s="615">
        <v>90</v>
      </c>
      <c r="L135" s="615"/>
      <c r="M135" s="615">
        <v>30</v>
      </c>
      <c r="N135" s="615">
        <v>1</v>
      </c>
      <c r="O135" s="615">
        <v>31</v>
      </c>
      <c r="P135" s="628"/>
      <c r="Q135" s="616">
        <v>31</v>
      </c>
    </row>
    <row r="136" spans="1:17" ht="14.4" customHeight="1" x14ac:dyDescent="0.3">
      <c r="A136" s="611" t="s">
        <v>1935</v>
      </c>
      <c r="B136" s="612" t="s">
        <v>1936</v>
      </c>
      <c r="C136" s="612" t="s">
        <v>1646</v>
      </c>
      <c r="D136" s="612" t="s">
        <v>2124</v>
      </c>
      <c r="E136" s="612" t="s">
        <v>2125</v>
      </c>
      <c r="F136" s="615">
        <v>1</v>
      </c>
      <c r="G136" s="615">
        <v>555</v>
      </c>
      <c r="H136" s="615">
        <v>1</v>
      </c>
      <c r="I136" s="615">
        <v>555</v>
      </c>
      <c r="J136" s="615">
        <v>3</v>
      </c>
      <c r="K136" s="615">
        <v>1671</v>
      </c>
      <c r="L136" s="615">
        <v>3.0108108108108107</v>
      </c>
      <c r="M136" s="615">
        <v>557</v>
      </c>
      <c r="N136" s="615"/>
      <c r="O136" s="615"/>
      <c r="P136" s="628"/>
      <c r="Q136" s="616"/>
    </row>
    <row r="137" spans="1:17" ht="14.4" customHeight="1" x14ac:dyDescent="0.3">
      <c r="A137" s="611" t="s">
        <v>1935</v>
      </c>
      <c r="B137" s="612" t="s">
        <v>1936</v>
      </c>
      <c r="C137" s="612" t="s">
        <v>1646</v>
      </c>
      <c r="D137" s="612" t="s">
        <v>2126</v>
      </c>
      <c r="E137" s="612" t="s">
        <v>2127</v>
      </c>
      <c r="F137" s="615">
        <v>1</v>
      </c>
      <c r="G137" s="615">
        <v>182</v>
      </c>
      <c r="H137" s="615">
        <v>1</v>
      </c>
      <c r="I137" s="615">
        <v>182</v>
      </c>
      <c r="J137" s="615">
        <v>2</v>
      </c>
      <c r="K137" s="615">
        <v>365</v>
      </c>
      <c r="L137" s="615">
        <v>2.0054945054945055</v>
      </c>
      <c r="M137" s="615">
        <v>182.5</v>
      </c>
      <c r="N137" s="615">
        <v>1</v>
      </c>
      <c r="O137" s="615">
        <v>183</v>
      </c>
      <c r="P137" s="628">
        <v>1.0054945054945055</v>
      </c>
      <c r="Q137" s="616">
        <v>183</v>
      </c>
    </row>
    <row r="138" spans="1:17" ht="14.4" customHeight="1" x14ac:dyDescent="0.3">
      <c r="A138" s="611" t="s">
        <v>1935</v>
      </c>
      <c r="B138" s="612" t="s">
        <v>1936</v>
      </c>
      <c r="C138" s="612" t="s">
        <v>1646</v>
      </c>
      <c r="D138" s="612" t="s">
        <v>2128</v>
      </c>
      <c r="E138" s="612" t="s">
        <v>2129</v>
      </c>
      <c r="F138" s="615"/>
      <c r="G138" s="615"/>
      <c r="H138" s="615"/>
      <c r="I138" s="615"/>
      <c r="J138" s="615">
        <v>3</v>
      </c>
      <c r="K138" s="615">
        <v>873</v>
      </c>
      <c r="L138" s="615"/>
      <c r="M138" s="615">
        <v>291</v>
      </c>
      <c r="N138" s="615">
        <v>1</v>
      </c>
      <c r="O138" s="615">
        <v>292</v>
      </c>
      <c r="P138" s="628"/>
      <c r="Q138" s="616">
        <v>292</v>
      </c>
    </row>
    <row r="139" spans="1:17" ht="14.4" customHeight="1" x14ac:dyDescent="0.3">
      <c r="A139" s="611" t="s">
        <v>1935</v>
      </c>
      <c r="B139" s="612" t="s">
        <v>1936</v>
      </c>
      <c r="C139" s="612" t="s">
        <v>1646</v>
      </c>
      <c r="D139" s="612" t="s">
        <v>2130</v>
      </c>
      <c r="E139" s="612" t="s">
        <v>2131</v>
      </c>
      <c r="F139" s="615"/>
      <c r="G139" s="615"/>
      <c r="H139" s="615"/>
      <c r="I139" s="615"/>
      <c r="J139" s="615"/>
      <c r="K139" s="615"/>
      <c r="L139" s="615"/>
      <c r="M139" s="615"/>
      <c r="N139" s="615">
        <v>1</v>
      </c>
      <c r="O139" s="615">
        <v>354</v>
      </c>
      <c r="P139" s="628"/>
      <c r="Q139" s="616">
        <v>354</v>
      </c>
    </row>
    <row r="140" spans="1:17" ht="14.4" customHeight="1" x14ac:dyDescent="0.3">
      <c r="A140" s="611" t="s">
        <v>1935</v>
      </c>
      <c r="B140" s="612" t="s">
        <v>1936</v>
      </c>
      <c r="C140" s="612" t="s">
        <v>1646</v>
      </c>
      <c r="D140" s="612" t="s">
        <v>2132</v>
      </c>
      <c r="E140" s="612" t="s">
        <v>2133</v>
      </c>
      <c r="F140" s="615"/>
      <c r="G140" s="615"/>
      <c r="H140" s="615"/>
      <c r="I140" s="615"/>
      <c r="J140" s="615"/>
      <c r="K140" s="615"/>
      <c r="L140" s="615"/>
      <c r="M140" s="615"/>
      <c r="N140" s="615">
        <v>2</v>
      </c>
      <c r="O140" s="615">
        <v>812</v>
      </c>
      <c r="P140" s="628"/>
      <c r="Q140" s="616">
        <v>406</v>
      </c>
    </row>
    <row r="141" spans="1:17" ht="14.4" customHeight="1" x14ac:dyDescent="0.3">
      <c r="A141" s="611" t="s">
        <v>1935</v>
      </c>
      <c r="B141" s="612" t="s">
        <v>1936</v>
      </c>
      <c r="C141" s="612" t="s">
        <v>1646</v>
      </c>
      <c r="D141" s="612" t="s">
        <v>2134</v>
      </c>
      <c r="E141" s="612" t="s">
        <v>2135</v>
      </c>
      <c r="F141" s="615"/>
      <c r="G141" s="615"/>
      <c r="H141" s="615"/>
      <c r="I141" s="615"/>
      <c r="J141" s="615"/>
      <c r="K141" s="615"/>
      <c r="L141" s="615"/>
      <c r="M141" s="615"/>
      <c r="N141" s="615">
        <v>1</v>
      </c>
      <c r="O141" s="615">
        <v>189</v>
      </c>
      <c r="P141" s="628"/>
      <c r="Q141" s="616">
        <v>189</v>
      </c>
    </row>
    <row r="142" spans="1:17" ht="14.4" customHeight="1" x14ac:dyDescent="0.3">
      <c r="A142" s="611" t="s">
        <v>1935</v>
      </c>
      <c r="B142" s="612" t="s">
        <v>1936</v>
      </c>
      <c r="C142" s="612" t="s">
        <v>1646</v>
      </c>
      <c r="D142" s="612" t="s">
        <v>2136</v>
      </c>
      <c r="E142" s="612" t="s">
        <v>2137</v>
      </c>
      <c r="F142" s="615"/>
      <c r="G142" s="615"/>
      <c r="H142" s="615"/>
      <c r="I142" s="615"/>
      <c r="J142" s="615"/>
      <c r="K142" s="615"/>
      <c r="L142" s="615"/>
      <c r="M142" s="615"/>
      <c r="N142" s="615">
        <v>2</v>
      </c>
      <c r="O142" s="615">
        <v>582</v>
      </c>
      <c r="P142" s="628"/>
      <c r="Q142" s="616">
        <v>291</v>
      </c>
    </row>
    <row r="143" spans="1:17" ht="14.4" customHeight="1" x14ac:dyDescent="0.3">
      <c r="A143" s="611" t="s">
        <v>1935</v>
      </c>
      <c r="B143" s="612" t="s">
        <v>2138</v>
      </c>
      <c r="C143" s="612" t="s">
        <v>1646</v>
      </c>
      <c r="D143" s="612" t="s">
        <v>2139</v>
      </c>
      <c r="E143" s="612" t="s">
        <v>2140</v>
      </c>
      <c r="F143" s="615">
        <v>200</v>
      </c>
      <c r="G143" s="615">
        <v>207000</v>
      </c>
      <c r="H143" s="615">
        <v>1</v>
      </c>
      <c r="I143" s="615">
        <v>1035</v>
      </c>
      <c r="J143" s="615">
        <v>204</v>
      </c>
      <c r="K143" s="615">
        <v>207174</v>
      </c>
      <c r="L143" s="615">
        <v>1.000840579710145</v>
      </c>
      <c r="M143" s="615">
        <v>1015.5588235294117</v>
      </c>
      <c r="N143" s="615">
        <v>210</v>
      </c>
      <c r="O143" s="615">
        <v>217770</v>
      </c>
      <c r="P143" s="628">
        <v>1.0520289855072464</v>
      </c>
      <c r="Q143" s="616">
        <v>1037</v>
      </c>
    </row>
    <row r="144" spans="1:17" ht="14.4" customHeight="1" x14ac:dyDescent="0.3">
      <c r="A144" s="611" t="s">
        <v>1935</v>
      </c>
      <c r="B144" s="612" t="s">
        <v>2138</v>
      </c>
      <c r="C144" s="612" t="s">
        <v>1646</v>
      </c>
      <c r="D144" s="612" t="s">
        <v>1873</v>
      </c>
      <c r="E144" s="612" t="s">
        <v>1874</v>
      </c>
      <c r="F144" s="615">
        <v>1</v>
      </c>
      <c r="G144" s="615">
        <v>1245</v>
      </c>
      <c r="H144" s="615">
        <v>1</v>
      </c>
      <c r="I144" s="615">
        <v>1245</v>
      </c>
      <c r="J144" s="615"/>
      <c r="K144" s="615"/>
      <c r="L144" s="615"/>
      <c r="M144" s="615"/>
      <c r="N144" s="615"/>
      <c r="O144" s="615"/>
      <c r="P144" s="628"/>
      <c r="Q144" s="616"/>
    </row>
    <row r="145" spans="1:17" ht="14.4" customHeight="1" x14ac:dyDescent="0.3">
      <c r="A145" s="611" t="s">
        <v>2141</v>
      </c>
      <c r="B145" s="612" t="s">
        <v>2142</v>
      </c>
      <c r="C145" s="612" t="s">
        <v>1616</v>
      </c>
      <c r="D145" s="612" t="s">
        <v>2143</v>
      </c>
      <c r="E145" s="612" t="s">
        <v>2144</v>
      </c>
      <c r="F145" s="615"/>
      <c r="G145" s="615"/>
      <c r="H145" s="615"/>
      <c r="I145" s="615"/>
      <c r="J145" s="615"/>
      <c r="K145" s="615"/>
      <c r="L145" s="615"/>
      <c r="M145" s="615"/>
      <c r="N145" s="615">
        <v>0.09</v>
      </c>
      <c r="O145" s="615">
        <v>444.93</v>
      </c>
      <c r="P145" s="628"/>
      <c r="Q145" s="616">
        <v>4943.666666666667</v>
      </c>
    </row>
    <row r="146" spans="1:17" ht="14.4" customHeight="1" x14ac:dyDescent="0.3">
      <c r="A146" s="611" t="s">
        <v>2141</v>
      </c>
      <c r="B146" s="612" t="s">
        <v>2142</v>
      </c>
      <c r="C146" s="612" t="s">
        <v>1616</v>
      </c>
      <c r="D146" s="612" t="s">
        <v>2145</v>
      </c>
      <c r="E146" s="612" t="s">
        <v>2144</v>
      </c>
      <c r="F146" s="615"/>
      <c r="G146" s="615"/>
      <c r="H146" s="615"/>
      <c r="I146" s="615"/>
      <c r="J146" s="615">
        <v>0.05</v>
      </c>
      <c r="K146" s="615">
        <v>516.86</v>
      </c>
      <c r="L146" s="615"/>
      <c r="M146" s="615">
        <v>10337.199999999999</v>
      </c>
      <c r="N146" s="615"/>
      <c r="O146" s="615"/>
      <c r="P146" s="628"/>
      <c r="Q146" s="616"/>
    </row>
    <row r="147" spans="1:17" ht="14.4" customHeight="1" x14ac:dyDescent="0.3">
      <c r="A147" s="611" t="s">
        <v>2141</v>
      </c>
      <c r="B147" s="612" t="s">
        <v>2142</v>
      </c>
      <c r="C147" s="612" t="s">
        <v>1616</v>
      </c>
      <c r="D147" s="612" t="s">
        <v>2146</v>
      </c>
      <c r="E147" s="612" t="s">
        <v>2147</v>
      </c>
      <c r="F147" s="615"/>
      <c r="G147" s="615"/>
      <c r="H147" s="615"/>
      <c r="I147" s="615"/>
      <c r="J147" s="615">
        <v>0.04</v>
      </c>
      <c r="K147" s="615">
        <v>212.43</v>
      </c>
      <c r="L147" s="615"/>
      <c r="M147" s="615">
        <v>5310.75</v>
      </c>
      <c r="N147" s="615"/>
      <c r="O147" s="615"/>
      <c r="P147" s="628"/>
      <c r="Q147" s="616"/>
    </row>
    <row r="148" spans="1:17" ht="14.4" customHeight="1" x14ac:dyDescent="0.3">
      <c r="A148" s="611" t="s">
        <v>2141</v>
      </c>
      <c r="B148" s="612" t="s">
        <v>2142</v>
      </c>
      <c r="C148" s="612" t="s">
        <v>1616</v>
      </c>
      <c r="D148" s="612" t="s">
        <v>2148</v>
      </c>
      <c r="E148" s="612" t="s">
        <v>2144</v>
      </c>
      <c r="F148" s="615"/>
      <c r="G148" s="615"/>
      <c r="H148" s="615"/>
      <c r="I148" s="615"/>
      <c r="J148" s="615">
        <v>0.05</v>
      </c>
      <c r="K148" s="615">
        <v>325.32</v>
      </c>
      <c r="L148" s="615"/>
      <c r="M148" s="615">
        <v>6506.4</v>
      </c>
      <c r="N148" s="615">
        <v>0.02</v>
      </c>
      <c r="O148" s="615">
        <v>98.87</v>
      </c>
      <c r="P148" s="628"/>
      <c r="Q148" s="616">
        <v>4943.5</v>
      </c>
    </row>
    <row r="149" spans="1:17" ht="14.4" customHeight="1" x14ac:dyDescent="0.3">
      <c r="A149" s="611" t="s">
        <v>2141</v>
      </c>
      <c r="B149" s="612" t="s">
        <v>2142</v>
      </c>
      <c r="C149" s="612" t="s">
        <v>1616</v>
      </c>
      <c r="D149" s="612" t="s">
        <v>2149</v>
      </c>
      <c r="E149" s="612"/>
      <c r="F149" s="615"/>
      <c r="G149" s="615"/>
      <c r="H149" s="615"/>
      <c r="I149" s="615"/>
      <c r="J149" s="615">
        <v>0.02</v>
      </c>
      <c r="K149" s="615">
        <v>172.84</v>
      </c>
      <c r="L149" s="615"/>
      <c r="M149" s="615">
        <v>8642</v>
      </c>
      <c r="N149" s="615"/>
      <c r="O149" s="615"/>
      <c r="P149" s="628"/>
      <c r="Q149" s="616"/>
    </row>
    <row r="150" spans="1:17" ht="14.4" customHeight="1" x14ac:dyDescent="0.3">
      <c r="A150" s="611" t="s">
        <v>2141</v>
      </c>
      <c r="B150" s="612" t="s">
        <v>2142</v>
      </c>
      <c r="C150" s="612" t="s">
        <v>1616</v>
      </c>
      <c r="D150" s="612" t="s">
        <v>2150</v>
      </c>
      <c r="E150" s="612" t="s">
        <v>2151</v>
      </c>
      <c r="F150" s="615"/>
      <c r="G150" s="615"/>
      <c r="H150" s="615"/>
      <c r="I150" s="615"/>
      <c r="J150" s="615"/>
      <c r="K150" s="615"/>
      <c r="L150" s="615"/>
      <c r="M150" s="615"/>
      <c r="N150" s="615">
        <v>0.02</v>
      </c>
      <c r="O150" s="615">
        <v>88.54</v>
      </c>
      <c r="P150" s="628"/>
      <c r="Q150" s="616">
        <v>4427</v>
      </c>
    </row>
    <row r="151" spans="1:17" ht="14.4" customHeight="1" x14ac:dyDescent="0.3">
      <c r="A151" s="611" t="s">
        <v>2141</v>
      </c>
      <c r="B151" s="612" t="s">
        <v>2142</v>
      </c>
      <c r="C151" s="612" t="s">
        <v>1616</v>
      </c>
      <c r="D151" s="612" t="s">
        <v>2152</v>
      </c>
      <c r="E151" s="612" t="s">
        <v>2151</v>
      </c>
      <c r="F151" s="615">
        <v>0.01</v>
      </c>
      <c r="G151" s="615">
        <v>109.21</v>
      </c>
      <c r="H151" s="615">
        <v>1</v>
      </c>
      <c r="I151" s="615">
        <v>10921</v>
      </c>
      <c r="J151" s="615">
        <v>0.02</v>
      </c>
      <c r="K151" s="615">
        <v>218.43</v>
      </c>
      <c r="L151" s="615">
        <v>2.0000915667063457</v>
      </c>
      <c r="M151" s="615">
        <v>10921.5</v>
      </c>
      <c r="N151" s="615">
        <v>0.08</v>
      </c>
      <c r="O151" s="615">
        <v>708.32</v>
      </c>
      <c r="P151" s="628">
        <v>6.4858529438696095</v>
      </c>
      <c r="Q151" s="616">
        <v>8854</v>
      </c>
    </row>
    <row r="152" spans="1:17" ht="14.4" customHeight="1" x14ac:dyDescent="0.3">
      <c r="A152" s="611" t="s">
        <v>2141</v>
      </c>
      <c r="B152" s="612" t="s">
        <v>2142</v>
      </c>
      <c r="C152" s="612" t="s">
        <v>1616</v>
      </c>
      <c r="D152" s="612" t="s">
        <v>2153</v>
      </c>
      <c r="E152" s="612" t="s">
        <v>2154</v>
      </c>
      <c r="F152" s="615">
        <v>0.15000000000000002</v>
      </c>
      <c r="G152" s="615">
        <v>293.41000000000003</v>
      </c>
      <c r="H152" s="615">
        <v>1</v>
      </c>
      <c r="I152" s="615">
        <v>1956.0666666666666</v>
      </c>
      <c r="J152" s="615"/>
      <c r="K152" s="615"/>
      <c r="L152" s="615"/>
      <c r="M152" s="615"/>
      <c r="N152" s="615">
        <v>0.30000000000000004</v>
      </c>
      <c r="O152" s="615">
        <v>584.79</v>
      </c>
      <c r="P152" s="628">
        <v>1.9930813537370911</v>
      </c>
      <c r="Q152" s="616">
        <v>1949.2999999999995</v>
      </c>
    </row>
    <row r="153" spans="1:17" ht="14.4" customHeight="1" x14ac:dyDescent="0.3">
      <c r="A153" s="611" t="s">
        <v>2141</v>
      </c>
      <c r="B153" s="612" t="s">
        <v>2142</v>
      </c>
      <c r="C153" s="612" t="s">
        <v>1616</v>
      </c>
      <c r="D153" s="612" t="s">
        <v>2155</v>
      </c>
      <c r="E153" s="612" t="s">
        <v>2151</v>
      </c>
      <c r="F153" s="615"/>
      <c r="G153" s="615"/>
      <c r="H153" s="615"/>
      <c r="I153" s="615"/>
      <c r="J153" s="615"/>
      <c r="K153" s="615"/>
      <c r="L153" s="615"/>
      <c r="M153" s="615"/>
      <c r="N153" s="615">
        <v>0.25</v>
      </c>
      <c r="O153" s="615">
        <v>442.70000000000005</v>
      </c>
      <c r="P153" s="628"/>
      <c r="Q153" s="616">
        <v>1770.8000000000002</v>
      </c>
    </row>
    <row r="154" spans="1:17" ht="14.4" customHeight="1" x14ac:dyDescent="0.3">
      <c r="A154" s="611" t="s">
        <v>2141</v>
      </c>
      <c r="B154" s="612" t="s">
        <v>2142</v>
      </c>
      <c r="C154" s="612" t="s">
        <v>1616</v>
      </c>
      <c r="D154" s="612" t="s">
        <v>2156</v>
      </c>
      <c r="E154" s="612" t="s">
        <v>2151</v>
      </c>
      <c r="F154" s="615"/>
      <c r="G154" s="615"/>
      <c r="H154" s="615"/>
      <c r="I154" s="615"/>
      <c r="J154" s="615"/>
      <c r="K154" s="615"/>
      <c r="L154" s="615"/>
      <c r="M154" s="615"/>
      <c r="N154" s="615">
        <v>0</v>
      </c>
      <c r="O154" s="615">
        <v>35.409999999999997</v>
      </c>
      <c r="P154" s="628"/>
      <c r="Q154" s="616"/>
    </row>
    <row r="155" spans="1:17" ht="14.4" customHeight="1" x14ac:dyDescent="0.3">
      <c r="A155" s="611" t="s">
        <v>2141</v>
      </c>
      <c r="B155" s="612" t="s">
        <v>2142</v>
      </c>
      <c r="C155" s="612" t="s">
        <v>1706</v>
      </c>
      <c r="D155" s="612" t="s">
        <v>2157</v>
      </c>
      <c r="E155" s="612" t="s">
        <v>2158</v>
      </c>
      <c r="F155" s="615"/>
      <c r="G155" s="615"/>
      <c r="H155" s="615"/>
      <c r="I155" s="615"/>
      <c r="J155" s="615">
        <v>2</v>
      </c>
      <c r="K155" s="615">
        <v>3414.62</v>
      </c>
      <c r="L155" s="615"/>
      <c r="M155" s="615">
        <v>1707.31</v>
      </c>
      <c r="N155" s="615"/>
      <c r="O155" s="615"/>
      <c r="P155" s="628"/>
      <c r="Q155" s="616"/>
    </row>
    <row r="156" spans="1:17" ht="14.4" customHeight="1" x14ac:dyDescent="0.3">
      <c r="A156" s="611" t="s">
        <v>2141</v>
      </c>
      <c r="B156" s="612" t="s">
        <v>2142</v>
      </c>
      <c r="C156" s="612" t="s">
        <v>1706</v>
      </c>
      <c r="D156" s="612" t="s">
        <v>2159</v>
      </c>
      <c r="E156" s="612" t="s">
        <v>2160</v>
      </c>
      <c r="F156" s="615"/>
      <c r="G156" s="615"/>
      <c r="H156" s="615"/>
      <c r="I156" s="615"/>
      <c r="J156" s="615">
        <v>4</v>
      </c>
      <c r="K156" s="615">
        <v>27563.119999999999</v>
      </c>
      <c r="L156" s="615"/>
      <c r="M156" s="615">
        <v>6890.78</v>
      </c>
      <c r="N156" s="615"/>
      <c r="O156" s="615"/>
      <c r="P156" s="628"/>
      <c r="Q156" s="616"/>
    </row>
    <row r="157" spans="1:17" ht="14.4" customHeight="1" x14ac:dyDescent="0.3">
      <c r="A157" s="611" t="s">
        <v>2141</v>
      </c>
      <c r="B157" s="612" t="s">
        <v>2142</v>
      </c>
      <c r="C157" s="612" t="s">
        <v>1706</v>
      </c>
      <c r="D157" s="612" t="s">
        <v>2161</v>
      </c>
      <c r="E157" s="612" t="s">
        <v>2162</v>
      </c>
      <c r="F157" s="615"/>
      <c r="G157" s="615"/>
      <c r="H157" s="615"/>
      <c r="I157" s="615"/>
      <c r="J157" s="615">
        <v>2</v>
      </c>
      <c r="K157" s="615">
        <v>2005.6</v>
      </c>
      <c r="L157" s="615"/>
      <c r="M157" s="615">
        <v>1002.8</v>
      </c>
      <c r="N157" s="615"/>
      <c r="O157" s="615"/>
      <c r="P157" s="628"/>
      <c r="Q157" s="616"/>
    </row>
    <row r="158" spans="1:17" ht="14.4" customHeight="1" x14ac:dyDescent="0.3">
      <c r="A158" s="611" t="s">
        <v>2141</v>
      </c>
      <c r="B158" s="612" t="s">
        <v>2142</v>
      </c>
      <c r="C158" s="612" t="s">
        <v>1706</v>
      </c>
      <c r="D158" s="612" t="s">
        <v>2163</v>
      </c>
      <c r="E158" s="612" t="s">
        <v>2164</v>
      </c>
      <c r="F158" s="615"/>
      <c r="G158" s="615"/>
      <c r="H158" s="615"/>
      <c r="I158" s="615"/>
      <c r="J158" s="615">
        <v>2</v>
      </c>
      <c r="K158" s="615">
        <v>2611.64</v>
      </c>
      <c r="L158" s="615"/>
      <c r="M158" s="615">
        <v>1305.82</v>
      </c>
      <c r="N158" s="615"/>
      <c r="O158" s="615"/>
      <c r="P158" s="628"/>
      <c r="Q158" s="616"/>
    </row>
    <row r="159" spans="1:17" ht="14.4" customHeight="1" x14ac:dyDescent="0.3">
      <c r="A159" s="611" t="s">
        <v>2141</v>
      </c>
      <c r="B159" s="612" t="s">
        <v>2142</v>
      </c>
      <c r="C159" s="612" t="s">
        <v>1646</v>
      </c>
      <c r="D159" s="612" t="s">
        <v>2165</v>
      </c>
      <c r="E159" s="612" t="s">
        <v>2166</v>
      </c>
      <c r="F159" s="615"/>
      <c r="G159" s="615"/>
      <c r="H159" s="615"/>
      <c r="I159" s="615"/>
      <c r="J159" s="615">
        <v>1</v>
      </c>
      <c r="K159" s="615">
        <v>151</v>
      </c>
      <c r="L159" s="615"/>
      <c r="M159" s="615">
        <v>151</v>
      </c>
      <c r="N159" s="615"/>
      <c r="O159" s="615"/>
      <c r="P159" s="628"/>
      <c r="Q159" s="616"/>
    </row>
    <row r="160" spans="1:17" ht="14.4" customHeight="1" x14ac:dyDescent="0.3">
      <c r="A160" s="611" t="s">
        <v>2141</v>
      </c>
      <c r="B160" s="612" t="s">
        <v>2142</v>
      </c>
      <c r="C160" s="612" t="s">
        <v>1646</v>
      </c>
      <c r="D160" s="612" t="s">
        <v>2167</v>
      </c>
      <c r="E160" s="612" t="s">
        <v>2168</v>
      </c>
      <c r="F160" s="615"/>
      <c r="G160" s="615"/>
      <c r="H160" s="615"/>
      <c r="I160" s="615"/>
      <c r="J160" s="615">
        <v>2</v>
      </c>
      <c r="K160" s="615">
        <v>366</v>
      </c>
      <c r="L160" s="615"/>
      <c r="M160" s="615">
        <v>183</v>
      </c>
      <c r="N160" s="615"/>
      <c r="O160" s="615"/>
      <c r="P160" s="628"/>
      <c r="Q160" s="616"/>
    </row>
    <row r="161" spans="1:17" ht="14.4" customHeight="1" x14ac:dyDescent="0.3">
      <c r="A161" s="611" t="s">
        <v>2141</v>
      </c>
      <c r="B161" s="612" t="s">
        <v>2142</v>
      </c>
      <c r="C161" s="612" t="s">
        <v>1646</v>
      </c>
      <c r="D161" s="612" t="s">
        <v>2169</v>
      </c>
      <c r="E161" s="612" t="s">
        <v>2170</v>
      </c>
      <c r="F161" s="615"/>
      <c r="G161" s="615"/>
      <c r="H161" s="615"/>
      <c r="I161" s="615"/>
      <c r="J161" s="615">
        <v>1</v>
      </c>
      <c r="K161" s="615">
        <v>125</v>
      </c>
      <c r="L161" s="615"/>
      <c r="M161" s="615">
        <v>125</v>
      </c>
      <c r="N161" s="615"/>
      <c r="O161" s="615"/>
      <c r="P161" s="628"/>
      <c r="Q161" s="616"/>
    </row>
    <row r="162" spans="1:17" ht="14.4" customHeight="1" x14ac:dyDescent="0.3">
      <c r="A162" s="611" t="s">
        <v>2141</v>
      </c>
      <c r="B162" s="612" t="s">
        <v>2142</v>
      </c>
      <c r="C162" s="612" t="s">
        <v>1646</v>
      </c>
      <c r="D162" s="612" t="s">
        <v>2171</v>
      </c>
      <c r="E162" s="612" t="s">
        <v>2172</v>
      </c>
      <c r="F162" s="615">
        <v>22</v>
      </c>
      <c r="G162" s="615">
        <v>4774</v>
      </c>
      <c r="H162" s="615">
        <v>1</v>
      </c>
      <c r="I162" s="615">
        <v>217</v>
      </c>
      <c r="J162" s="615">
        <v>46</v>
      </c>
      <c r="K162" s="615">
        <v>9569</v>
      </c>
      <c r="L162" s="615">
        <v>2.0043988269794721</v>
      </c>
      <c r="M162" s="615">
        <v>208.02173913043478</v>
      </c>
      <c r="N162" s="615">
        <v>11</v>
      </c>
      <c r="O162" s="615">
        <v>2409</v>
      </c>
      <c r="P162" s="628">
        <v>0.50460829493087556</v>
      </c>
      <c r="Q162" s="616">
        <v>219</v>
      </c>
    </row>
    <row r="163" spans="1:17" ht="14.4" customHeight="1" x14ac:dyDescent="0.3">
      <c r="A163" s="611" t="s">
        <v>2141</v>
      </c>
      <c r="B163" s="612" t="s">
        <v>2142</v>
      </c>
      <c r="C163" s="612" t="s">
        <v>1646</v>
      </c>
      <c r="D163" s="612" t="s">
        <v>2173</v>
      </c>
      <c r="E163" s="612" t="s">
        <v>2174</v>
      </c>
      <c r="F163" s="615">
        <v>10</v>
      </c>
      <c r="G163" s="615">
        <v>2190</v>
      </c>
      <c r="H163" s="615">
        <v>1</v>
      </c>
      <c r="I163" s="615">
        <v>219</v>
      </c>
      <c r="J163" s="615">
        <v>10</v>
      </c>
      <c r="K163" s="615">
        <v>2195</v>
      </c>
      <c r="L163" s="615">
        <v>1.0022831050228311</v>
      </c>
      <c r="M163" s="615">
        <v>219.5</v>
      </c>
      <c r="N163" s="615">
        <v>19</v>
      </c>
      <c r="O163" s="615">
        <v>4199</v>
      </c>
      <c r="P163" s="628">
        <v>1.9173515981735161</v>
      </c>
      <c r="Q163" s="616">
        <v>221</v>
      </c>
    </row>
    <row r="164" spans="1:17" ht="14.4" customHeight="1" x14ac:dyDescent="0.3">
      <c r="A164" s="611" t="s">
        <v>2141</v>
      </c>
      <c r="B164" s="612" t="s">
        <v>2142</v>
      </c>
      <c r="C164" s="612" t="s">
        <v>1646</v>
      </c>
      <c r="D164" s="612" t="s">
        <v>2175</v>
      </c>
      <c r="E164" s="612" t="s">
        <v>2176</v>
      </c>
      <c r="F164" s="615"/>
      <c r="G164" s="615"/>
      <c r="H164" s="615"/>
      <c r="I164" s="615"/>
      <c r="J164" s="615">
        <v>1</v>
      </c>
      <c r="K164" s="615">
        <v>609</v>
      </c>
      <c r="L164" s="615"/>
      <c r="M164" s="615">
        <v>609</v>
      </c>
      <c r="N164" s="615"/>
      <c r="O164" s="615"/>
      <c r="P164" s="628"/>
      <c r="Q164" s="616"/>
    </row>
    <row r="165" spans="1:17" ht="14.4" customHeight="1" x14ac:dyDescent="0.3">
      <c r="A165" s="611" t="s">
        <v>2141</v>
      </c>
      <c r="B165" s="612" t="s">
        <v>2142</v>
      </c>
      <c r="C165" s="612" t="s">
        <v>1646</v>
      </c>
      <c r="D165" s="612" t="s">
        <v>2177</v>
      </c>
      <c r="E165" s="612" t="s">
        <v>2178</v>
      </c>
      <c r="F165" s="615">
        <v>1</v>
      </c>
      <c r="G165" s="615">
        <v>449</v>
      </c>
      <c r="H165" s="615">
        <v>1</v>
      </c>
      <c r="I165" s="615">
        <v>449</v>
      </c>
      <c r="J165" s="615"/>
      <c r="K165" s="615"/>
      <c r="L165" s="615"/>
      <c r="M165" s="615"/>
      <c r="N165" s="615"/>
      <c r="O165" s="615"/>
      <c r="P165" s="628"/>
      <c r="Q165" s="616"/>
    </row>
    <row r="166" spans="1:17" ht="14.4" customHeight="1" x14ac:dyDescent="0.3">
      <c r="A166" s="611" t="s">
        <v>2141</v>
      </c>
      <c r="B166" s="612" t="s">
        <v>2142</v>
      </c>
      <c r="C166" s="612" t="s">
        <v>1646</v>
      </c>
      <c r="D166" s="612" t="s">
        <v>2179</v>
      </c>
      <c r="E166" s="612" t="s">
        <v>2180</v>
      </c>
      <c r="F166" s="615"/>
      <c r="G166" s="615"/>
      <c r="H166" s="615"/>
      <c r="I166" s="615"/>
      <c r="J166" s="615">
        <v>2</v>
      </c>
      <c r="K166" s="615">
        <v>3046</v>
      </c>
      <c r="L166" s="615"/>
      <c r="M166" s="615">
        <v>1523</v>
      </c>
      <c r="N166" s="615"/>
      <c r="O166" s="615"/>
      <c r="P166" s="628"/>
      <c r="Q166" s="616"/>
    </row>
    <row r="167" spans="1:17" ht="14.4" customHeight="1" x14ac:dyDescent="0.3">
      <c r="A167" s="611" t="s">
        <v>2141</v>
      </c>
      <c r="B167" s="612" t="s">
        <v>2142</v>
      </c>
      <c r="C167" s="612" t="s">
        <v>1646</v>
      </c>
      <c r="D167" s="612" t="s">
        <v>2181</v>
      </c>
      <c r="E167" s="612" t="s">
        <v>2182</v>
      </c>
      <c r="F167" s="615">
        <v>15</v>
      </c>
      <c r="G167" s="615">
        <v>76020</v>
      </c>
      <c r="H167" s="615">
        <v>1</v>
      </c>
      <c r="I167" s="615">
        <v>5068</v>
      </c>
      <c r="J167" s="615">
        <v>9</v>
      </c>
      <c r="K167" s="615">
        <v>45648</v>
      </c>
      <c r="L167" s="615">
        <v>0.60047355958958171</v>
      </c>
      <c r="M167" s="615">
        <v>5072</v>
      </c>
      <c r="N167" s="615">
        <v>4</v>
      </c>
      <c r="O167" s="615">
        <v>20304</v>
      </c>
      <c r="P167" s="628">
        <v>0.2670876085240726</v>
      </c>
      <c r="Q167" s="616">
        <v>5076</v>
      </c>
    </row>
    <row r="168" spans="1:17" ht="14.4" customHeight="1" x14ac:dyDescent="0.3">
      <c r="A168" s="611" t="s">
        <v>2141</v>
      </c>
      <c r="B168" s="612" t="s">
        <v>2142</v>
      </c>
      <c r="C168" s="612" t="s">
        <v>1646</v>
      </c>
      <c r="D168" s="612" t="s">
        <v>2183</v>
      </c>
      <c r="E168" s="612" t="s">
        <v>2184</v>
      </c>
      <c r="F168" s="615">
        <v>1</v>
      </c>
      <c r="G168" s="615">
        <v>5508</v>
      </c>
      <c r="H168" s="615">
        <v>1</v>
      </c>
      <c r="I168" s="615">
        <v>5508</v>
      </c>
      <c r="J168" s="615"/>
      <c r="K168" s="615"/>
      <c r="L168" s="615"/>
      <c r="M168" s="615"/>
      <c r="N168" s="615"/>
      <c r="O168" s="615"/>
      <c r="P168" s="628"/>
      <c r="Q168" s="616"/>
    </row>
    <row r="169" spans="1:17" ht="14.4" customHeight="1" x14ac:dyDescent="0.3">
      <c r="A169" s="611" t="s">
        <v>2141</v>
      </c>
      <c r="B169" s="612" t="s">
        <v>2142</v>
      </c>
      <c r="C169" s="612" t="s">
        <v>1646</v>
      </c>
      <c r="D169" s="612" t="s">
        <v>2185</v>
      </c>
      <c r="E169" s="612" t="s">
        <v>2186</v>
      </c>
      <c r="F169" s="615">
        <v>224</v>
      </c>
      <c r="G169" s="615">
        <v>38752</v>
      </c>
      <c r="H169" s="615">
        <v>1</v>
      </c>
      <c r="I169" s="615">
        <v>173</v>
      </c>
      <c r="J169" s="615">
        <v>164</v>
      </c>
      <c r="K169" s="615">
        <v>28081</v>
      </c>
      <c r="L169" s="615">
        <v>0.72463356729975226</v>
      </c>
      <c r="M169" s="615">
        <v>171.22560975609755</v>
      </c>
      <c r="N169" s="615">
        <v>194</v>
      </c>
      <c r="O169" s="615">
        <v>33950</v>
      </c>
      <c r="P169" s="628">
        <v>0.87608381502890176</v>
      </c>
      <c r="Q169" s="616">
        <v>175</v>
      </c>
    </row>
    <row r="170" spans="1:17" ht="14.4" customHeight="1" x14ac:dyDescent="0.3">
      <c r="A170" s="611" t="s">
        <v>2141</v>
      </c>
      <c r="B170" s="612" t="s">
        <v>2142</v>
      </c>
      <c r="C170" s="612" t="s">
        <v>1646</v>
      </c>
      <c r="D170" s="612" t="s">
        <v>2187</v>
      </c>
      <c r="E170" s="612" t="s">
        <v>2188</v>
      </c>
      <c r="F170" s="615">
        <v>1</v>
      </c>
      <c r="G170" s="615">
        <v>1996</v>
      </c>
      <c r="H170" s="615">
        <v>1</v>
      </c>
      <c r="I170" s="615">
        <v>1996</v>
      </c>
      <c r="J170" s="615"/>
      <c r="K170" s="615"/>
      <c r="L170" s="615"/>
      <c r="M170" s="615"/>
      <c r="N170" s="615">
        <v>1</v>
      </c>
      <c r="O170" s="615">
        <v>2001</v>
      </c>
      <c r="P170" s="628">
        <v>1.0025050100200401</v>
      </c>
      <c r="Q170" s="616">
        <v>2001</v>
      </c>
    </row>
    <row r="171" spans="1:17" ht="14.4" customHeight="1" x14ac:dyDescent="0.3">
      <c r="A171" s="611" t="s">
        <v>2141</v>
      </c>
      <c r="B171" s="612" t="s">
        <v>2142</v>
      </c>
      <c r="C171" s="612" t="s">
        <v>1646</v>
      </c>
      <c r="D171" s="612" t="s">
        <v>2189</v>
      </c>
      <c r="E171" s="612" t="s">
        <v>2190</v>
      </c>
      <c r="F171" s="615">
        <v>12</v>
      </c>
      <c r="G171" s="615">
        <v>32304</v>
      </c>
      <c r="H171" s="615">
        <v>1</v>
      </c>
      <c r="I171" s="615">
        <v>2692</v>
      </c>
      <c r="J171" s="615">
        <v>5</v>
      </c>
      <c r="K171" s="615">
        <v>13472</v>
      </c>
      <c r="L171" s="615">
        <v>0.41703813769192671</v>
      </c>
      <c r="M171" s="615">
        <v>2694.4</v>
      </c>
      <c r="N171" s="615">
        <v>3</v>
      </c>
      <c r="O171" s="615">
        <v>8088</v>
      </c>
      <c r="P171" s="628">
        <v>0.25037147102526003</v>
      </c>
      <c r="Q171" s="616">
        <v>2696</v>
      </c>
    </row>
    <row r="172" spans="1:17" ht="14.4" customHeight="1" x14ac:dyDescent="0.3">
      <c r="A172" s="611" t="s">
        <v>2141</v>
      </c>
      <c r="B172" s="612" t="s">
        <v>2142</v>
      </c>
      <c r="C172" s="612" t="s">
        <v>1646</v>
      </c>
      <c r="D172" s="612" t="s">
        <v>2191</v>
      </c>
      <c r="E172" s="612" t="s">
        <v>2192</v>
      </c>
      <c r="F172" s="615">
        <v>1</v>
      </c>
      <c r="G172" s="615">
        <v>5180</v>
      </c>
      <c r="H172" s="615">
        <v>1</v>
      </c>
      <c r="I172" s="615">
        <v>5180</v>
      </c>
      <c r="J172" s="615"/>
      <c r="K172" s="615"/>
      <c r="L172" s="615"/>
      <c r="M172" s="615"/>
      <c r="N172" s="615"/>
      <c r="O172" s="615"/>
      <c r="P172" s="628"/>
      <c r="Q172" s="616"/>
    </row>
    <row r="173" spans="1:17" ht="14.4" customHeight="1" x14ac:dyDescent="0.3">
      <c r="A173" s="611" t="s">
        <v>2141</v>
      </c>
      <c r="B173" s="612" t="s">
        <v>2142</v>
      </c>
      <c r="C173" s="612" t="s">
        <v>1646</v>
      </c>
      <c r="D173" s="612" t="s">
        <v>2193</v>
      </c>
      <c r="E173" s="612" t="s">
        <v>2194</v>
      </c>
      <c r="F173" s="615">
        <v>1</v>
      </c>
      <c r="G173" s="615">
        <v>658</v>
      </c>
      <c r="H173" s="615">
        <v>1</v>
      </c>
      <c r="I173" s="615">
        <v>658</v>
      </c>
      <c r="J173" s="615">
        <v>4</v>
      </c>
      <c r="K173" s="615">
        <v>2635</v>
      </c>
      <c r="L173" s="615">
        <v>4.004559270516717</v>
      </c>
      <c r="M173" s="615">
        <v>658.75</v>
      </c>
      <c r="N173" s="615">
        <v>8</v>
      </c>
      <c r="O173" s="615">
        <v>5296</v>
      </c>
      <c r="P173" s="628">
        <v>8.0486322188449844</v>
      </c>
      <c r="Q173" s="616">
        <v>662</v>
      </c>
    </row>
    <row r="174" spans="1:17" ht="14.4" customHeight="1" x14ac:dyDescent="0.3">
      <c r="A174" s="611" t="s">
        <v>2141</v>
      </c>
      <c r="B174" s="612" t="s">
        <v>2142</v>
      </c>
      <c r="C174" s="612" t="s">
        <v>1646</v>
      </c>
      <c r="D174" s="612" t="s">
        <v>2195</v>
      </c>
      <c r="E174" s="612" t="s">
        <v>2196</v>
      </c>
      <c r="F174" s="615">
        <v>1</v>
      </c>
      <c r="G174" s="615">
        <v>555</v>
      </c>
      <c r="H174" s="615">
        <v>1</v>
      </c>
      <c r="I174" s="615">
        <v>555</v>
      </c>
      <c r="J174" s="615"/>
      <c r="K174" s="615"/>
      <c r="L174" s="615"/>
      <c r="M174" s="615"/>
      <c r="N174" s="615"/>
      <c r="O174" s="615"/>
      <c r="P174" s="628"/>
      <c r="Q174" s="616"/>
    </row>
    <row r="175" spans="1:17" ht="14.4" customHeight="1" x14ac:dyDescent="0.3">
      <c r="A175" s="611" t="s">
        <v>2141</v>
      </c>
      <c r="B175" s="612" t="s">
        <v>2142</v>
      </c>
      <c r="C175" s="612" t="s">
        <v>1646</v>
      </c>
      <c r="D175" s="612" t="s">
        <v>2197</v>
      </c>
      <c r="E175" s="612" t="s">
        <v>2198</v>
      </c>
      <c r="F175" s="615">
        <v>1</v>
      </c>
      <c r="G175" s="615">
        <v>150</v>
      </c>
      <c r="H175" s="615">
        <v>1</v>
      </c>
      <c r="I175" s="615">
        <v>150</v>
      </c>
      <c r="J175" s="615">
        <v>1</v>
      </c>
      <c r="K175" s="615">
        <v>151</v>
      </c>
      <c r="L175" s="615">
        <v>1.0066666666666666</v>
      </c>
      <c r="M175" s="615">
        <v>151</v>
      </c>
      <c r="N175" s="615"/>
      <c r="O175" s="615"/>
      <c r="P175" s="628"/>
      <c r="Q175" s="616"/>
    </row>
    <row r="176" spans="1:17" ht="14.4" customHeight="1" x14ac:dyDescent="0.3">
      <c r="A176" s="611" t="s">
        <v>2141</v>
      </c>
      <c r="B176" s="612" t="s">
        <v>2142</v>
      </c>
      <c r="C176" s="612" t="s">
        <v>1646</v>
      </c>
      <c r="D176" s="612" t="s">
        <v>2199</v>
      </c>
      <c r="E176" s="612" t="s">
        <v>2200</v>
      </c>
      <c r="F176" s="615"/>
      <c r="G176" s="615"/>
      <c r="H176" s="615"/>
      <c r="I176" s="615"/>
      <c r="J176" s="615">
        <v>2</v>
      </c>
      <c r="K176" s="615">
        <v>386</v>
      </c>
      <c r="L176" s="615"/>
      <c r="M176" s="615">
        <v>193</v>
      </c>
      <c r="N176" s="615"/>
      <c r="O176" s="615"/>
      <c r="P176" s="628"/>
      <c r="Q176" s="616"/>
    </row>
    <row r="177" spans="1:17" ht="14.4" customHeight="1" x14ac:dyDescent="0.3">
      <c r="A177" s="611" t="s">
        <v>2141</v>
      </c>
      <c r="B177" s="612" t="s">
        <v>2142</v>
      </c>
      <c r="C177" s="612" t="s">
        <v>1646</v>
      </c>
      <c r="D177" s="612" t="s">
        <v>2201</v>
      </c>
      <c r="E177" s="612" t="s">
        <v>2202</v>
      </c>
      <c r="F177" s="615"/>
      <c r="G177" s="615"/>
      <c r="H177" s="615"/>
      <c r="I177" s="615"/>
      <c r="J177" s="615"/>
      <c r="K177" s="615"/>
      <c r="L177" s="615"/>
      <c r="M177" s="615"/>
      <c r="N177" s="615">
        <v>1</v>
      </c>
      <c r="O177" s="615">
        <v>200</v>
      </c>
      <c r="P177" s="628"/>
      <c r="Q177" s="616">
        <v>200</v>
      </c>
    </row>
    <row r="178" spans="1:17" ht="14.4" customHeight="1" x14ac:dyDescent="0.3">
      <c r="A178" s="611" t="s">
        <v>2141</v>
      </c>
      <c r="B178" s="612" t="s">
        <v>2142</v>
      </c>
      <c r="C178" s="612" t="s">
        <v>1646</v>
      </c>
      <c r="D178" s="612" t="s">
        <v>2203</v>
      </c>
      <c r="E178" s="612" t="s">
        <v>2204</v>
      </c>
      <c r="F178" s="615"/>
      <c r="G178" s="615"/>
      <c r="H178" s="615"/>
      <c r="I178" s="615"/>
      <c r="J178" s="615">
        <v>4</v>
      </c>
      <c r="K178" s="615">
        <v>1664</v>
      </c>
      <c r="L178" s="615"/>
      <c r="M178" s="615">
        <v>416</v>
      </c>
      <c r="N178" s="615"/>
      <c r="O178" s="615"/>
      <c r="P178" s="628"/>
      <c r="Q178" s="616"/>
    </row>
    <row r="179" spans="1:17" ht="14.4" customHeight="1" x14ac:dyDescent="0.3">
      <c r="A179" s="611" t="s">
        <v>2141</v>
      </c>
      <c r="B179" s="612" t="s">
        <v>2142</v>
      </c>
      <c r="C179" s="612" t="s">
        <v>1646</v>
      </c>
      <c r="D179" s="612" t="s">
        <v>2205</v>
      </c>
      <c r="E179" s="612" t="s">
        <v>2206</v>
      </c>
      <c r="F179" s="615">
        <v>1</v>
      </c>
      <c r="G179" s="615">
        <v>158</v>
      </c>
      <c r="H179" s="615">
        <v>1</v>
      </c>
      <c r="I179" s="615">
        <v>158</v>
      </c>
      <c r="J179" s="615">
        <v>2</v>
      </c>
      <c r="K179" s="615">
        <v>318</v>
      </c>
      <c r="L179" s="615">
        <v>2.0126582278481013</v>
      </c>
      <c r="M179" s="615">
        <v>159</v>
      </c>
      <c r="N179" s="615"/>
      <c r="O179" s="615"/>
      <c r="P179" s="628"/>
      <c r="Q179" s="616"/>
    </row>
    <row r="180" spans="1:17" ht="14.4" customHeight="1" x14ac:dyDescent="0.3">
      <c r="A180" s="611" t="s">
        <v>2141</v>
      </c>
      <c r="B180" s="612" t="s">
        <v>2142</v>
      </c>
      <c r="C180" s="612" t="s">
        <v>1646</v>
      </c>
      <c r="D180" s="612" t="s">
        <v>2207</v>
      </c>
      <c r="E180" s="612" t="s">
        <v>2208</v>
      </c>
      <c r="F180" s="615"/>
      <c r="G180" s="615"/>
      <c r="H180" s="615"/>
      <c r="I180" s="615"/>
      <c r="J180" s="615"/>
      <c r="K180" s="615"/>
      <c r="L180" s="615"/>
      <c r="M180" s="615"/>
      <c r="N180" s="615">
        <v>1</v>
      </c>
      <c r="O180" s="615">
        <v>2123</v>
      </c>
      <c r="P180" s="628"/>
      <c r="Q180" s="616">
        <v>2123</v>
      </c>
    </row>
    <row r="181" spans="1:17" ht="14.4" customHeight="1" x14ac:dyDescent="0.3">
      <c r="A181" s="611" t="s">
        <v>2141</v>
      </c>
      <c r="B181" s="612" t="s">
        <v>2142</v>
      </c>
      <c r="C181" s="612" t="s">
        <v>1646</v>
      </c>
      <c r="D181" s="612" t="s">
        <v>2209</v>
      </c>
      <c r="E181" s="612" t="s">
        <v>2210</v>
      </c>
      <c r="F181" s="615">
        <v>1</v>
      </c>
      <c r="G181" s="615">
        <v>912</v>
      </c>
      <c r="H181" s="615">
        <v>1</v>
      </c>
      <c r="I181" s="615">
        <v>912</v>
      </c>
      <c r="J181" s="615"/>
      <c r="K181" s="615"/>
      <c r="L181" s="615"/>
      <c r="M181" s="615"/>
      <c r="N181" s="615">
        <v>4</v>
      </c>
      <c r="O181" s="615">
        <v>3668</v>
      </c>
      <c r="P181" s="628">
        <v>4.0219298245614032</v>
      </c>
      <c r="Q181" s="616">
        <v>917</v>
      </c>
    </row>
    <row r="182" spans="1:17" ht="14.4" customHeight="1" x14ac:dyDescent="0.3">
      <c r="A182" s="611" t="s">
        <v>2211</v>
      </c>
      <c r="B182" s="612" t="s">
        <v>2212</v>
      </c>
      <c r="C182" s="612" t="s">
        <v>1646</v>
      </c>
      <c r="D182" s="612" t="s">
        <v>2213</v>
      </c>
      <c r="E182" s="612" t="s">
        <v>2214</v>
      </c>
      <c r="F182" s="615">
        <v>11</v>
      </c>
      <c r="G182" s="615">
        <v>2233</v>
      </c>
      <c r="H182" s="615">
        <v>1</v>
      </c>
      <c r="I182" s="615">
        <v>203</v>
      </c>
      <c r="J182" s="615">
        <v>10</v>
      </c>
      <c r="K182" s="615">
        <v>2040</v>
      </c>
      <c r="L182" s="615">
        <v>0.91356918943125842</v>
      </c>
      <c r="M182" s="615">
        <v>204</v>
      </c>
      <c r="N182" s="615">
        <v>14</v>
      </c>
      <c r="O182" s="615">
        <v>2884</v>
      </c>
      <c r="P182" s="628">
        <v>1.2915360501567399</v>
      </c>
      <c r="Q182" s="616">
        <v>206</v>
      </c>
    </row>
    <row r="183" spans="1:17" ht="14.4" customHeight="1" x14ac:dyDescent="0.3">
      <c r="A183" s="611" t="s">
        <v>2211</v>
      </c>
      <c r="B183" s="612" t="s">
        <v>2212</v>
      </c>
      <c r="C183" s="612" t="s">
        <v>1646</v>
      </c>
      <c r="D183" s="612" t="s">
        <v>2215</v>
      </c>
      <c r="E183" s="612" t="s">
        <v>2214</v>
      </c>
      <c r="F183" s="615"/>
      <c r="G183" s="615"/>
      <c r="H183" s="615"/>
      <c r="I183" s="615"/>
      <c r="J183" s="615">
        <v>3</v>
      </c>
      <c r="K183" s="615">
        <v>255</v>
      </c>
      <c r="L183" s="615"/>
      <c r="M183" s="615">
        <v>85</v>
      </c>
      <c r="N183" s="615"/>
      <c r="O183" s="615"/>
      <c r="P183" s="628"/>
      <c r="Q183" s="616"/>
    </row>
    <row r="184" spans="1:17" ht="14.4" customHeight="1" x14ac:dyDescent="0.3">
      <c r="A184" s="611" t="s">
        <v>2211</v>
      </c>
      <c r="B184" s="612" t="s">
        <v>2212</v>
      </c>
      <c r="C184" s="612" t="s">
        <v>1646</v>
      </c>
      <c r="D184" s="612" t="s">
        <v>2216</v>
      </c>
      <c r="E184" s="612" t="s">
        <v>2217</v>
      </c>
      <c r="F184" s="615">
        <v>14</v>
      </c>
      <c r="G184" s="615">
        <v>4088</v>
      </c>
      <c r="H184" s="615">
        <v>1</v>
      </c>
      <c r="I184" s="615">
        <v>292</v>
      </c>
      <c r="J184" s="615">
        <v>14</v>
      </c>
      <c r="K184" s="615">
        <v>4102</v>
      </c>
      <c r="L184" s="615">
        <v>1.0034246575342465</v>
      </c>
      <c r="M184" s="615">
        <v>293</v>
      </c>
      <c r="N184" s="615">
        <v>6</v>
      </c>
      <c r="O184" s="615">
        <v>1770</v>
      </c>
      <c r="P184" s="628">
        <v>0.43297455968688847</v>
      </c>
      <c r="Q184" s="616">
        <v>295</v>
      </c>
    </row>
    <row r="185" spans="1:17" ht="14.4" customHeight="1" x14ac:dyDescent="0.3">
      <c r="A185" s="611" t="s">
        <v>2211</v>
      </c>
      <c r="B185" s="612" t="s">
        <v>2212</v>
      </c>
      <c r="C185" s="612" t="s">
        <v>1646</v>
      </c>
      <c r="D185" s="612" t="s">
        <v>2218</v>
      </c>
      <c r="E185" s="612" t="s">
        <v>2219</v>
      </c>
      <c r="F185" s="615">
        <v>15</v>
      </c>
      <c r="G185" s="615">
        <v>1395</v>
      </c>
      <c r="H185" s="615">
        <v>1</v>
      </c>
      <c r="I185" s="615">
        <v>93</v>
      </c>
      <c r="J185" s="615">
        <v>3</v>
      </c>
      <c r="K185" s="615">
        <v>282</v>
      </c>
      <c r="L185" s="615">
        <v>0.2021505376344086</v>
      </c>
      <c r="M185" s="615">
        <v>94</v>
      </c>
      <c r="N185" s="615">
        <v>1</v>
      </c>
      <c r="O185" s="615">
        <v>95</v>
      </c>
      <c r="P185" s="628">
        <v>6.8100358422939072E-2</v>
      </c>
      <c r="Q185" s="616">
        <v>95</v>
      </c>
    </row>
    <row r="186" spans="1:17" ht="14.4" customHeight="1" x14ac:dyDescent="0.3">
      <c r="A186" s="611" t="s">
        <v>2211</v>
      </c>
      <c r="B186" s="612" t="s">
        <v>2212</v>
      </c>
      <c r="C186" s="612" t="s">
        <v>1646</v>
      </c>
      <c r="D186" s="612" t="s">
        <v>2220</v>
      </c>
      <c r="E186" s="612" t="s">
        <v>2221</v>
      </c>
      <c r="F186" s="615">
        <v>2</v>
      </c>
      <c r="G186" s="615">
        <v>440</v>
      </c>
      <c r="H186" s="615">
        <v>1</v>
      </c>
      <c r="I186" s="615">
        <v>220</v>
      </c>
      <c r="J186" s="615">
        <v>2</v>
      </c>
      <c r="K186" s="615">
        <v>443</v>
      </c>
      <c r="L186" s="615">
        <v>1.0068181818181818</v>
      </c>
      <c r="M186" s="615">
        <v>221.5</v>
      </c>
      <c r="N186" s="615">
        <v>1</v>
      </c>
      <c r="O186" s="615">
        <v>224</v>
      </c>
      <c r="P186" s="628">
        <v>0.50909090909090904</v>
      </c>
      <c r="Q186" s="616">
        <v>224</v>
      </c>
    </row>
    <row r="187" spans="1:17" ht="14.4" customHeight="1" x14ac:dyDescent="0.3">
      <c r="A187" s="611" t="s">
        <v>2211</v>
      </c>
      <c r="B187" s="612" t="s">
        <v>2212</v>
      </c>
      <c r="C187" s="612" t="s">
        <v>1646</v>
      </c>
      <c r="D187" s="612" t="s">
        <v>2222</v>
      </c>
      <c r="E187" s="612" t="s">
        <v>2223</v>
      </c>
      <c r="F187" s="615">
        <v>17</v>
      </c>
      <c r="G187" s="615">
        <v>2278</v>
      </c>
      <c r="H187" s="615">
        <v>1</v>
      </c>
      <c r="I187" s="615">
        <v>134</v>
      </c>
      <c r="J187" s="615">
        <v>7</v>
      </c>
      <c r="K187" s="615">
        <v>941</v>
      </c>
      <c r="L187" s="615">
        <v>0.41308165057067603</v>
      </c>
      <c r="M187" s="615">
        <v>134.42857142857142</v>
      </c>
      <c r="N187" s="615">
        <v>7</v>
      </c>
      <c r="O187" s="615">
        <v>945</v>
      </c>
      <c r="P187" s="628">
        <v>0.41483757682177347</v>
      </c>
      <c r="Q187" s="616">
        <v>135</v>
      </c>
    </row>
    <row r="188" spans="1:17" ht="14.4" customHeight="1" x14ac:dyDescent="0.3">
      <c r="A188" s="611" t="s">
        <v>2211</v>
      </c>
      <c r="B188" s="612" t="s">
        <v>2212</v>
      </c>
      <c r="C188" s="612" t="s">
        <v>1646</v>
      </c>
      <c r="D188" s="612" t="s">
        <v>2224</v>
      </c>
      <c r="E188" s="612" t="s">
        <v>2225</v>
      </c>
      <c r="F188" s="615">
        <v>9</v>
      </c>
      <c r="G188" s="615">
        <v>2520</v>
      </c>
      <c r="H188" s="615">
        <v>1</v>
      </c>
      <c r="I188" s="615">
        <v>280</v>
      </c>
      <c r="J188" s="615">
        <v>3</v>
      </c>
      <c r="K188" s="615">
        <v>846</v>
      </c>
      <c r="L188" s="615">
        <v>0.33571428571428569</v>
      </c>
      <c r="M188" s="615">
        <v>282</v>
      </c>
      <c r="N188" s="615">
        <v>4</v>
      </c>
      <c r="O188" s="615">
        <v>1140</v>
      </c>
      <c r="P188" s="628">
        <v>0.45238095238095238</v>
      </c>
      <c r="Q188" s="616">
        <v>285</v>
      </c>
    </row>
    <row r="189" spans="1:17" ht="14.4" customHeight="1" x14ac:dyDescent="0.3">
      <c r="A189" s="611" t="s">
        <v>2211</v>
      </c>
      <c r="B189" s="612" t="s">
        <v>2212</v>
      </c>
      <c r="C189" s="612" t="s">
        <v>1646</v>
      </c>
      <c r="D189" s="612" t="s">
        <v>2226</v>
      </c>
      <c r="E189" s="612" t="s">
        <v>2227</v>
      </c>
      <c r="F189" s="615">
        <v>13</v>
      </c>
      <c r="G189" s="615">
        <v>2067</v>
      </c>
      <c r="H189" s="615">
        <v>1</v>
      </c>
      <c r="I189" s="615">
        <v>159</v>
      </c>
      <c r="J189" s="615">
        <v>8</v>
      </c>
      <c r="K189" s="615">
        <v>1274</v>
      </c>
      <c r="L189" s="615">
        <v>0.61635220125786161</v>
      </c>
      <c r="M189" s="615">
        <v>159.25</v>
      </c>
      <c r="N189" s="615">
        <v>6</v>
      </c>
      <c r="O189" s="615">
        <v>966</v>
      </c>
      <c r="P189" s="628">
        <v>0.46734397677793904</v>
      </c>
      <c r="Q189" s="616">
        <v>161</v>
      </c>
    </row>
    <row r="190" spans="1:17" ht="14.4" customHeight="1" x14ac:dyDescent="0.3">
      <c r="A190" s="611" t="s">
        <v>2211</v>
      </c>
      <c r="B190" s="612" t="s">
        <v>2212</v>
      </c>
      <c r="C190" s="612" t="s">
        <v>1646</v>
      </c>
      <c r="D190" s="612" t="s">
        <v>2228</v>
      </c>
      <c r="E190" s="612" t="s">
        <v>2229</v>
      </c>
      <c r="F190" s="615"/>
      <c r="G190" s="615"/>
      <c r="H190" s="615"/>
      <c r="I190" s="615"/>
      <c r="J190" s="615">
        <v>1</v>
      </c>
      <c r="K190" s="615">
        <v>382</v>
      </c>
      <c r="L190" s="615"/>
      <c r="M190" s="615">
        <v>382</v>
      </c>
      <c r="N190" s="615"/>
      <c r="O190" s="615"/>
      <c r="P190" s="628"/>
      <c r="Q190" s="616"/>
    </row>
    <row r="191" spans="1:17" ht="14.4" customHeight="1" x14ac:dyDescent="0.3">
      <c r="A191" s="611" t="s">
        <v>2211</v>
      </c>
      <c r="B191" s="612" t="s">
        <v>2212</v>
      </c>
      <c r="C191" s="612" t="s">
        <v>1646</v>
      </c>
      <c r="D191" s="612" t="s">
        <v>2230</v>
      </c>
      <c r="E191" s="612" t="s">
        <v>2231</v>
      </c>
      <c r="F191" s="615"/>
      <c r="G191" s="615"/>
      <c r="H191" s="615"/>
      <c r="I191" s="615"/>
      <c r="J191" s="615">
        <v>1</v>
      </c>
      <c r="K191" s="615">
        <v>141</v>
      </c>
      <c r="L191" s="615"/>
      <c r="M191" s="615">
        <v>141</v>
      </c>
      <c r="N191" s="615"/>
      <c r="O191" s="615"/>
      <c r="P191" s="628"/>
      <c r="Q191" s="616"/>
    </row>
    <row r="192" spans="1:17" ht="14.4" customHeight="1" x14ac:dyDescent="0.3">
      <c r="A192" s="611" t="s">
        <v>2211</v>
      </c>
      <c r="B192" s="612" t="s">
        <v>2212</v>
      </c>
      <c r="C192" s="612" t="s">
        <v>1646</v>
      </c>
      <c r="D192" s="612" t="s">
        <v>2232</v>
      </c>
      <c r="E192" s="612" t="s">
        <v>2231</v>
      </c>
      <c r="F192" s="615">
        <v>17</v>
      </c>
      <c r="G192" s="615">
        <v>1326</v>
      </c>
      <c r="H192" s="615">
        <v>1</v>
      </c>
      <c r="I192" s="615">
        <v>78</v>
      </c>
      <c r="J192" s="615">
        <v>7</v>
      </c>
      <c r="K192" s="615">
        <v>546</v>
      </c>
      <c r="L192" s="615">
        <v>0.41176470588235292</v>
      </c>
      <c r="M192" s="615">
        <v>78</v>
      </c>
      <c r="N192" s="615">
        <v>7</v>
      </c>
      <c r="O192" s="615">
        <v>546</v>
      </c>
      <c r="P192" s="628">
        <v>0.41176470588235292</v>
      </c>
      <c r="Q192" s="616">
        <v>78</v>
      </c>
    </row>
    <row r="193" spans="1:17" ht="14.4" customHeight="1" x14ac:dyDescent="0.3">
      <c r="A193" s="611" t="s">
        <v>2211</v>
      </c>
      <c r="B193" s="612" t="s">
        <v>2212</v>
      </c>
      <c r="C193" s="612" t="s">
        <v>1646</v>
      </c>
      <c r="D193" s="612" t="s">
        <v>2233</v>
      </c>
      <c r="E193" s="612" t="s">
        <v>2234</v>
      </c>
      <c r="F193" s="615"/>
      <c r="G193" s="615"/>
      <c r="H193" s="615"/>
      <c r="I193" s="615"/>
      <c r="J193" s="615">
        <v>1</v>
      </c>
      <c r="K193" s="615">
        <v>303</v>
      </c>
      <c r="L193" s="615"/>
      <c r="M193" s="615">
        <v>303</v>
      </c>
      <c r="N193" s="615"/>
      <c r="O193" s="615"/>
      <c r="P193" s="628"/>
      <c r="Q193" s="616"/>
    </row>
    <row r="194" spans="1:17" ht="14.4" customHeight="1" x14ac:dyDescent="0.3">
      <c r="A194" s="611" t="s">
        <v>2211</v>
      </c>
      <c r="B194" s="612" t="s">
        <v>2212</v>
      </c>
      <c r="C194" s="612" t="s">
        <v>1646</v>
      </c>
      <c r="D194" s="612" t="s">
        <v>2235</v>
      </c>
      <c r="E194" s="612" t="s">
        <v>2236</v>
      </c>
      <c r="F194" s="615">
        <v>841</v>
      </c>
      <c r="G194" s="615">
        <v>408726</v>
      </c>
      <c r="H194" s="615">
        <v>1</v>
      </c>
      <c r="I194" s="615">
        <v>486</v>
      </c>
      <c r="J194" s="615">
        <v>894</v>
      </c>
      <c r="K194" s="615">
        <v>430986</v>
      </c>
      <c r="L194" s="615">
        <v>1.0544619133600506</v>
      </c>
      <c r="M194" s="615">
        <v>482.08724832214767</v>
      </c>
      <c r="N194" s="615">
        <v>892</v>
      </c>
      <c r="O194" s="615">
        <v>434404</v>
      </c>
      <c r="P194" s="628">
        <v>1.062824483884069</v>
      </c>
      <c r="Q194" s="616">
        <v>487</v>
      </c>
    </row>
    <row r="195" spans="1:17" ht="14.4" customHeight="1" x14ac:dyDescent="0.3">
      <c r="A195" s="611" t="s">
        <v>2211</v>
      </c>
      <c r="B195" s="612" t="s">
        <v>2212</v>
      </c>
      <c r="C195" s="612" t="s">
        <v>1646</v>
      </c>
      <c r="D195" s="612" t="s">
        <v>2237</v>
      </c>
      <c r="E195" s="612" t="s">
        <v>2238</v>
      </c>
      <c r="F195" s="615">
        <v>16</v>
      </c>
      <c r="G195" s="615">
        <v>2560</v>
      </c>
      <c r="H195" s="615">
        <v>1</v>
      </c>
      <c r="I195" s="615">
        <v>160</v>
      </c>
      <c r="J195" s="615">
        <v>10</v>
      </c>
      <c r="K195" s="615">
        <v>1605</v>
      </c>
      <c r="L195" s="615">
        <v>0.626953125</v>
      </c>
      <c r="M195" s="615">
        <v>160.5</v>
      </c>
      <c r="N195" s="615">
        <v>13</v>
      </c>
      <c r="O195" s="615">
        <v>2093</v>
      </c>
      <c r="P195" s="628">
        <v>0.81757812500000004</v>
      </c>
      <c r="Q195" s="616">
        <v>161</v>
      </c>
    </row>
    <row r="196" spans="1:17" ht="14.4" customHeight="1" x14ac:dyDescent="0.3">
      <c r="A196" s="611" t="s">
        <v>2211</v>
      </c>
      <c r="B196" s="612" t="s">
        <v>2212</v>
      </c>
      <c r="C196" s="612" t="s">
        <v>1646</v>
      </c>
      <c r="D196" s="612" t="s">
        <v>2239</v>
      </c>
      <c r="E196" s="612" t="s">
        <v>2214</v>
      </c>
      <c r="F196" s="615">
        <v>48</v>
      </c>
      <c r="G196" s="615">
        <v>3360</v>
      </c>
      <c r="H196" s="615">
        <v>1</v>
      </c>
      <c r="I196" s="615">
        <v>70</v>
      </c>
      <c r="J196" s="615">
        <v>43</v>
      </c>
      <c r="K196" s="615">
        <v>2888</v>
      </c>
      <c r="L196" s="615">
        <v>0.85952380952380958</v>
      </c>
      <c r="M196" s="615">
        <v>67.162790697674424</v>
      </c>
      <c r="N196" s="615">
        <v>54</v>
      </c>
      <c r="O196" s="615">
        <v>3834</v>
      </c>
      <c r="P196" s="628">
        <v>1.1410714285714285</v>
      </c>
      <c r="Q196" s="616">
        <v>71</v>
      </c>
    </row>
    <row r="197" spans="1:17" ht="14.4" customHeight="1" x14ac:dyDescent="0.3">
      <c r="A197" s="611" t="s">
        <v>2211</v>
      </c>
      <c r="B197" s="612" t="s">
        <v>2212</v>
      </c>
      <c r="C197" s="612" t="s">
        <v>1646</v>
      </c>
      <c r="D197" s="612" t="s">
        <v>2240</v>
      </c>
      <c r="E197" s="612" t="s">
        <v>2241</v>
      </c>
      <c r="F197" s="615">
        <v>4</v>
      </c>
      <c r="G197" s="615">
        <v>4756</v>
      </c>
      <c r="H197" s="615">
        <v>1</v>
      </c>
      <c r="I197" s="615">
        <v>1189</v>
      </c>
      <c r="J197" s="615">
        <v>3</v>
      </c>
      <c r="K197" s="615">
        <v>3571</v>
      </c>
      <c r="L197" s="615">
        <v>0.75084104289318754</v>
      </c>
      <c r="M197" s="615">
        <v>1190.3333333333333</v>
      </c>
      <c r="N197" s="615"/>
      <c r="O197" s="615"/>
      <c r="P197" s="628"/>
      <c r="Q197" s="616"/>
    </row>
    <row r="198" spans="1:17" ht="14.4" customHeight="1" x14ac:dyDescent="0.3">
      <c r="A198" s="611" t="s">
        <v>2211</v>
      </c>
      <c r="B198" s="612" t="s">
        <v>2212</v>
      </c>
      <c r="C198" s="612" t="s">
        <v>1646</v>
      </c>
      <c r="D198" s="612" t="s">
        <v>2242</v>
      </c>
      <c r="E198" s="612" t="s">
        <v>2243</v>
      </c>
      <c r="F198" s="615">
        <v>157</v>
      </c>
      <c r="G198" s="615">
        <v>16956</v>
      </c>
      <c r="H198" s="615">
        <v>1</v>
      </c>
      <c r="I198" s="615">
        <v>108</v>
      </c>
      <c r="J198" s="615">
        <v>178</v>
      </c>
      <c r="K198" s="615">
        <v>19084</v>
      </c>
      <c r="L198" s="615">
        <v>1.1255012974758198</v>
      </c>
      <c r="M198" s="615">
        <v>107.21348314606742</v>
      </c>
      <c r="N198" s="615">
        <v>187</v>
      </c>
      <c r="O198" s="615">
        <v>20570</v>
      </c>
      <c r="P198" s="628">
        <v>1.2131398914838405</v>
      </c>
      <c r="Q198" s="616">
        <v>110</v>
      </c>
    </row>
    <row r="199" spans="1:17" ht="14.4" customHeight="1" x14ac:dyDescent="0.3">
      <c r="A199" s="611" t="s">
        <v>2211</v>
      </c>
      <c r="B199" s="612" t="s">
        <v>2212</v>
      </c>
      <c r="C199" s="612" t="s">
        <v>1646</v>
      </c>
      <c r="D199" s="612" t="s">
        <v>2244</v>
      </c>
      <c r="E199" s="612" t="s">
        <v>2245</v>
      </c>
      <c r="F199" s="615"/>
      <c r="G199" s="615"/>
      <c r="H199" s="615"/>
      <c r="I199" s="615"/>
      <c r="J199" s="615">
        <v>1</v>
      </c>
      <c r="K199" s="615">
        <v>322</v>
      </c>
      <c r="L199" s="615"/>
      <c r="M199" s="615">
        <v>322</v>
      </c>
      <c r="N199" s="615"/>
      <c r="O199" s="615"/>
      <c r="P199" s="628"/>
      <c r="Q199" s="616"/>
    </row>
    <row r="200" spans="1:17" ht="14.4" customHeight="1" x14ac:dyDescent="0.3">
      <c r="A200" s="611" t="s">
        <v>2211</v>
      </c>
      <c r="B200" s="612" t="s">
        <v>2212</v>
      </c>
      <c r="C200" s="612" t="s">
        <v>1646</v>
      </c>
      <c r="D200" s="612" t="s">
        <v>2246</v>
      </c>
      <c r="E200" s="612" t="s">
        <v>2247</v>
      </c>
      <c r="F200" s="615">
        <v>407</v>
      </c>
      <c r="G200" s="615">
        <v>58608</v>
      </c>
      <c r="H200" s="615">
        <v>1</v>
      </c>
      <c r="I200" s="615">
        <v>144</v>
      </c>
      <c r="J200" s="615">
        <v>419</v>
      </c>
      <c r="K200" s="615">
        <v>59937</v>
      </c>
      <c r="L200" s="615">
        <v>1.0226760851760852</v>
      </c>
      <c r="M200" s="615">
        <v>143.04773269689738</v>
      </c>
      <c r="N200" s="615">
        <v>419</v>
      </c>
      <c r="O200" s="615">
        <v>61174</v>
      </c>
      <c r="P200" s="628">
        <v>1.0437824187824187</v>
      </c>
      <c r="Q200" s="616">
        <v>146</v>
      </c>
    </row>
    <row r="201" spans="1:17" ht="14.4" customHeight="1" x14ac:dyDescent="0.3">
      <c r="A201" s="611" t="s">
        <v>2211</v>
      </c>
      <c r="B201" s="612" t="s">
        <v>2212</v>
      </c>
      <c r="C201" s="612" t="s">
        <v>1646</v>
      </c>
      <c r="D201" s="612" t="s">
        <v>2248</v>
      </c>
      <c r="E201" s="612" t="s">
        <v>2249</v>
      </c>
      <c r="F201" s="615">
        <v>1</v>
      </c>
      <c r="G201" s="615">
        <v>1020</v>
      </c>
      <c r="H201" s="615">
        <v>1</v>
      </c>
      <c r="I201" s="615">
        <v>1020</v>
      </c>
      <c r="J201" s="615"/>
      <c r="K201" s="615"/>
      <c r="L201" s="615"/>
      <c r="M201" s="615"/>
      <c r="N201" s="615"/>
      <c r="O201" s="615"/>
      <c r="P201" s="628"/>
      <c r="Q201" s="616"/>
    </row>
    <row r="202" spans="1:17" ht="14.4" customHeight="1" x14ac:dyDescent="0.3">
      <c r="A202" s="611" t="s">
        <v>2211</v>
      </c>
      <c r="B202" s="612" t="s">
        <v>2212</v>
      </c>
      <c r="C202" s="612" t="s">
        <v>1646</v>
      </c>
      <c r="D202" s="612" t="s">
        <v>2250</v>
      </c>
      <c r="E202" s="612" t="s">
        <v>2251</v>
      </c>
      <c r="F202" s="615">
        <v>2</v>
      </c>
      <c r="G202" s="615">
        <v>582</v>
      </c>
      <c r="H202" s="615">
        <v>1</v>
      </c>
      <c r="I202" s="615">
        <v>291</v>
      </c>
      <c r="J202" s="615"/>
      <c r="K202" s="615"/>
      <c r="L202" s="615"/>
      <c r="M202" s="615"/>
      <c r="N202" s="615">
        <v>2</v>
      </c>
      <c r="O202" s="615">
        <v>588</v>
      </c>
      <c r="P202" s="628">
        <v>1.0103092783505154</v>
      </c>
      <c r="Q202" s="616">
        <v>294</v>
      </c>
    </row>
    <row r="203" spans="1:17" ht="14.4" customHeight="1" x14ac:dyDescent="0.3">
      <c r="A203" s="611" t="s">
        <v>2252</v>
      </c>
      <c r="B203" s="612" t="s">
        <v>2253</v>
      </c>
      <c r="C203" s="612" t="s">
        <v>1646</v>
      </c>
      <c r="D203" s="612" t="s">
        <v>2254</v>
      </c>
      <c r="E203" s="612" t="s">
        <v>2255</v>
      </c>
      <c r="F203" s="615">
        <v>8</v>
      </c>
      <c r="G203" s="615">
        <v>424</v>
      </c>
      <c r="H203" s="615">
        <v>1</v>
      </c>
      <c r="I203" s="615">
        <v>53</v>
      </c>
      <c r="J203" s="615">
        <v>6</v>
      </c>
      <c r="K203" s="615">
        <v>318</v>
      </c>
      <c r="L203" s="615">
        <v>0.75</v>
      </c>
      <c r="M203" s="615">
        <v>53</v>
      </c>
      <c r="N203" s="615"/>
      <c r="O203" s="615"/>
      <c r="P203" s="628"/>
      <c r="Q203" s="616"/>
    </row>
    <row r="204" spans="1:17" ht="14.4" customHeight="1" x14ac:dyDescent="0.3">
      <c r="A204" s="611" t="s">
        <v>2252</v>
      </c>
      <c r="B204" s="612" t="s">
        <v>2253</v>
      </c>
      <c r="C204" s="612" t="s">
        <v>1646</v>
      </c>
      <c r="D204" s="612" t="s">
        <v>2256</v>
      </c>
      <c r="E204" s="612" t="s">
        <v>2257</v>
      </c>
      <c r="F204" s="615"/>
      <c r="G204" s="615"/>
      <c r="H204" s="615"/>
      <c r="I204" s="615"/>
      <c r="J204" s="615">
        <v>2</v>
      </c>
      <c r="K204" s="615">
        <v>242</v>
      </c>
      <c r="L204" s="615"/>
      <c r="M204" s="615">
        <v>121</v>
      </c>
      <c r="N204" s="615">
        <v>20</v>
      </c>
      <c r="O204" s="615">
        <v>2460</v>
      </c>
      <c r="P204" s="628"/>
      <c r="Q204" s="616">
        <v>123</v>
      </c>
    </row>
    <row r="205" spans="1:17" ht="14.4" customHeight="1" x14ac:dyDescent="0.3">
      <c r="A205" s="611" t="s">
        <v>2252</v>
      </c>
      <c r="B205" s="612" t="s">
        <v>2253</v>
      </c>
      <c r="C205" s="612" t="s">
        <v>1646</v>
      </c>
      <c r="D205" s="612" t="s">
        <v>2258</v>
      </c>
      <c r="E205" s="612" t="s">
        <v>2259</v>
      </c>
      <c r="F205" s="615"/>
      <c r="G205" s="615"/>
      <c r="H205" s="615"/>
      <c r="I205" s="615"/>
      <c r="J205" s="615"/>
      <c r="K205" s="615"/>
      <c r="L205" s="615"/>
      <c r="M205" s="615"/>
      <c r="N205" s="615">
        <v>1</v>
      </c>
      <c r="O205" s="615">
        <v>177</v>
      </c>
      <c r="P205" s="628"/>
      <c r="Q205" s="616">
        <v>177</v>
      </c>
    </row>
    <row r="206" spans="1:17" ht="14.4" customHeight="1" x14ac:dyDescent="0.3">
      <c r="A206" s="611" t="s">
        <v>2252</v>
      </c>
      <c r="B206" s="612" t="s">
        <v>2253</v>
      </c>
      <c r="C206" s="612" t="s">
        <v>1646</v>
      </c>
      <c r="D206" s="612" t="s">
        <v>2260</v>
      </c>
      <c r="E206" s="612" t="s">
        <v>2261</v>
      </c>
      <c r="F206" s="615">
        <v>2</v>
      </c>
      <c r="G206" s="615">
        <v>336</v>
      </c>
      <c r="H206" s="615">
        <v>1</v>
      </c>
      <c r="I206" s="615">
        <v>168</v>
      </c>
      <c r="J206" s="615"/>
      <c r="K206" s="615"/>
      <c r="L206" s="615"/>
      <c r="M206" s="615"/>
      <c r="N206" s="615">
        <v>4</v>
      </c>
      <c r="O206" s="615">
        <v>688</v>
      </c>
      <c r="P206" s="628">
        <v>2.0476190476190474</v>
      </c>
      <c r="Q206" s="616">
        <v>172</v>
      </c>
    </row>
    <row r="207" spans="1:17" ht="14.4" customHeight="1" x14ac:dyDescent="0.3">
      <c r="A207" s="611" t="s">
        <v>2252</v>
      </c>
      <c r="B207" s="612" t="s">
        <v>2253</v>
      </c>
      <c r="C207" s="612" t="s">
        <v>1646</v>
      </c>
      <c r="D207" s="612" t="s">
        <v>2262</v>
      </c>
      <c r="E207" s="612" t="s">
        <v>2263</v>
      </c>
      <c r="F207" s="615"/>
      <c r="G207" s="615"/>
      <c r="H207" s="615"/>
      <c r="I207" s="615"/>
      <c r="J207" s="615"/>
      <c r="K207" s="615"/>
      <c r="L207" s="615"/>
      <c r="M207" s="615"/>
      <c r="N207" s="615">
        <v>1</v>
      </c>
      <c r="O207" s="615">
        <v>533</v>
      </c>
      <c r="P207" s="628"/>
      <c r="Q207" s="616">
        <v>533</v>
      </c>
    </row>
    <row r="208" spans="1:17" ht="14.4" customHeight="1" x14ac:dyDescent="0.3">
      <c r="A208" s="611" t="s">
        <v>2252</v>
      </c>
      <c r="B208" s="612" t="s">
        <v>2253</v>
      </c>
      <c r="C208" s="612" t="s">
        <v>1646</v>
      </c>
      <c r="D208" s="612" t="s">
        <v>2264</v>
      </c>
      <c r="E208" s="612" t="s">
        <v>2265</v>
      </c>
      <c r="F208" s="615">
        <v>2</v>
      </c>
      <c r="G208" s="615">
        <v>632</v>
      </c>
      <c r="H208" s="615">
        <v>1</v>
      </c>
      <c r="I208" s="615">
        <v>316</v>
      </c>
      <c r="J208" s="615">
        <v>2</v>
      </c>
      <c r="K208" s="615">
        <v>632</v>
      </c>
      <c r="L208" s="615">
        <v>1</v>
      </c>
      <c r="M208" s="615">
        <v>316</v>
      </c>
      <c r="N208" s="615">
        <v>3</v>
      </c>
      <c r="O208" s="615">
        <v>966</v>
      </c>
      <c r="P208" s="628">
        <v>1.5284810126582278</v>
      </c>
      <c r="Q208" s="616">
        <v>322</v>
      </c>
    </row>
    <row r="209" spans="1:17" ht="14.4" customHeight="1" x14ac:dyDescent="0.3">
      <c r="A209" s="611" t="s">
        <v>2252</v>
      </c>
      <c r="B209" s="612" t="s">
        <v>2253</v>
      </c>
      <c r="C209" s="612" t="s">
        <v>1646</v>
      </c>
      <c r="D209" s="612" t="s">
        <v>2266</v>
      </c>
      <c r="E209" s="612" t="s">
        <v>2267</v>
      </c>
      <c r="F209" s="615">
        <v>1</v>
      </c>
      <c r="G209" s="615">
        <v>338</v>
      </c>
      <c r="H209" s="615">
        <v>1</v>
      </c>
      <c r="I209" s="615">
        <v>338</v>
      </c>
      <c r="J209" s="615">
        <v>8</v>
      </c>
      <c r="K209" s="615">
        <v>2704</v>
      </c>
      <c r="L209" s="615">
        <v>8</v>
      </c>
      <c r="M209" s="615">
        <v>338</v>
      </c>
      <c r="N209" s="615">
        <v>23</v>
      </c>
      <c r="O209" s="615">
        <v>7843</v>
      </c>
      <c r="P209" s="628">
        <v>23.204142011834321</v>
      </c>
      <c r="Q209" s="616">
        <v>341</v>
      </c>
    </row>
    <row r="210" spans="1:17" ht="14.4" customHeight="1" x14ac:dyDescent="0.3">
      <c r="A210" s="611" t="s">
        <v>2252</v>
      </c>
      <c r="B210" s="612" t="s">
        <v>2253</v>
      </c>
      <c r="C210" s="612" t="s">
        <v>1646</v>
      </c>
      <c r="D210" s="612" t="s">
        <v>2268</v>
      </c>
      <c r="E210" s="612" t="s">
        <v>2269</v>
      </c>
      <c r="F210" s="615">
        <v>4</v>
      </c>
      <c r="G210" s="615">
        <v>1124</v>
      </c>
      <c r="H210" s="615">
        <v>1</v>
      </c>
      <c r="I210" s="615">
        <v>281</v>
      </c>
      <c r="J210" s="615">
        <v>1</v>
      </c>
      <c r="K210" s="615">
        <v>281</v>
      </c>
      <c r="L210" s="615">
        <v>0.25</v>
      </c>
      <c r="M210" s="615">
        <v>281</v>
      </c>
      <c r="N210" s="615">
        <v>8</v>
      </c>
      <c r="O210" s="615">
        <v>2280</v>
      </c>
      <c r="P210" s="628">
        <v>2.0284697508896796</v>
      </c>
      <c r="Q210" s="616">
        <v>285</v>
      </c>
    </row>
    <row r="211" spans="1:17" ht="14.4" customHeight="1" x14ac:dyDescent="0.3">
      <c r="A211" s="611" t="s">
        <v>2252</v>
      </c>
      <c r="B211" s="612" t="s">
        <v>2253</v>
      </c>
      <c r="C211" s="612" t="s">
        <v>1646</v>
      </c>
      <c r="D211" s="612" t="s">
        <v>2270</v>
      </c>
      <c r="E211" s="612" t="s">
        <v>2271</v>
      </c>
      <c r="F211" s="615"/>
      <c r="G211" s="615"/>
      <c r="H211" s="615"/>
      <c r="I211" s="615"/>
      <c r="J211" s="615">
        <v>4</v>
      </c>
      <c r="K211" s="615">
        <v>1824</v>
      </c>
      <c r="L211" s="615"/>
      <c r="M211" s="615">
        <v>456</v>
      </c>
      <c r="N211" s="615">
        <v>5</v>
      </c>
      <c r="O211" s="615">
        <v>2310</v>
      </c>
      <c r="P211" s="628"/>
      <c r="Q211" s="616">
        <v>462</v>
      </c>
    </row>
    <row r="212" spans="1:17" ht="14.4" customHeight="1" x14ac:dyDescent="0.3">
      <c r="A212" s="611" t="s">
        <v>2252</v>
      </c>
      <c r="B212" s="612" t="s">
        <v>2253</v>
      </c>
      <c r="C212" s="612" t="s">
        <v>1646</v>
      </c>
      <c r="D212" s="612" t="s">
        <v>2272</v>
      </c>
      <c r="E212" s="612" t="s">
        <v>2273</v>
      </c>
      <c r="F212" s="615">
        <v>4</v>
      </c>
      <c r="G212" s="615">
        <v>1392</v>
      </c>
      <c r="H212" s="615">
        <v>1</v>
      </c>
      <c r="I212" s="615">
        <v>348</v>
      </c>
      <c r="J212" s="615">
        <v>4</v>
      </c>
      <c r="K212" s="615">
        <v>1392</v>
      </c>
      <c r="L212" s="615">
        <v>1</v>
      </c>
      <c r="M212" s="615">
        <v>348</v>
      </c>
      <c r="N212" s="615">
        <v>13</v>
      </c>
      <c r="O212" s="615">
        <v>4628</v>
      </c>
      <c r="P212" s="628">
        <v>3.3247126436781609</v>
      </c>
      <c r="Q212" s="616">
        <v>356</v>
      </c>
    </row>
    <row r="213" spans="1:17" ht="14.4" customHeight="1" x14ac:dyDescent="0.3">
      <c r="A213" s="611" t="s">
        <v>2252</v>
      </c>
      <c r="B213" s="612" t="s">
        <v>2253</v>
      </c>
      <c r="C213" s="612" t="s">
        <v>1646</v>
      </c>
      <c r="D213" s="612" t="s">
        <v>2274</v>
      </c>
      <c r="E213" s="612" t="s">
        <v>2275</v>
      </c>
      <c r="F213" s="615">
        <v>1</v>
      </c>
      <c r="G213" s="615">
        <v>103</v>
      </c>
      <c r="H213" s="615">
        <v>1</v>
      </c>
      <c r="I213" s="615">
        <v>103</v>
      </c>
      <c r="J213" s="615"/>
      <c r="K213" s="615"/>
      <c r="L213" s="615"/>
      <c r="M213" s="615"/>
      <c r="N213" s="615"/>
      <c r="O213" s="615"/>
      <c r="P213" s="628"/>
      <c r="Q213" s="616"/>
    </row>
    <row r="214" spans="1:17" ht="14.4" customHeight="1" x14ac:dyDescent="0.3">
      <c r="A214" s="611" t="s">
        <v>2252</v>
      </c>
      <c r="B214" s="612" t="s">
        <v>2253</v>
      </c>
      <c r="C214" s="612" t="s">
        <v>1646</v>
      </c>
      <c r="D214" s="612" t="s">
        <v>2276</v>
      </c>
      <c r="E214" s="612" t="s">
        <v>2277</v>
      </c>
      <c r="F214" s="615">
        <v>1</v>
      </c>
      <c r="G214" s="615">
        <v>429</v>
      </c>
      <c r="H214" s="615">
        <v>1</v>
      </c>
      <c r="I214" s="615">
        <v>429</v>
      </c>
      <c r="J214" s="615"/>
      <c r="K214" s="615"/>
      <c r="L214" s="615"/>
      <c r="M214" s="615"/>
      <c r="N214" s="615">
        <v>1</v>
      </c>
      <c r="O214" s="615">
        <v>437</v>
      </c>
      <c r="P214" s="628">
        <v>1.0186480186480187</v>
      </c>
      <c r="Q214" s="616">
        <v>437</v>
      </c>
    </row>
    <row r="215" spans="1:17" ht="14.4" customHeight="1" x14ac:dyDescent="0.3">
      <c r="A215" s="611" t="s">
        <v>2252</v>
      </c>
      <c r="B215" s="612" t="s">
        <v>2253</v>
      </c>
      <c r="C215" s="612" t="s">
        <v>1646</v>
      </c>
      <c r="D215" s="612" t="s">
        <v>2278</v>
      </c>
      <c r="E215" s="612" t="s">
        <v>2279</v>
      </c>
      <c r="F215" s="615"/>
      <c r="G215" s="615"/>
      <c r="H215" s="615"/>
      <c r="I215" s="615"/>
      <c r="J215" s="615"/>
      <c r="K215" s="615"/>
      <c r="L215" s="615"/>
      <c r="M215" s="615"/>
      <c r="N215" s="615">
        <v>2</v>
      </c>
      <c r="O215" s="615">
        <v>108</v>
      </c>
      <c r="P215" s="628"/>
      <c r="Q215" s="616">
        <v>54</v>
      </c>
    </row>
    <row r="216" spans="1:17" ht="14.4" customHeight="1" x14ac:dyDescent="0.3">
      <c r="A216" s="611" t="s">
        <v>2252</v>
      </c>
      <c r="B216" s="612" t="s">
        <v>2253</v>
      </c>
      <c r="C216" s="612" t="s">
        <v>1646</v>
      </c>
      <c r="D216" s="612" t="s">
        <v>2280</v>
      </c>
      <c r="E216" s="612" t="s">
        <v>2281</v>
      </c>
      <c r="F216" s="615">
        <v>55</v>
      </c>
      <c r="G216" s="615">
        <v>9075</v>
      </c>
      <c r="H216" s="615">
        <v>1</v>
      </c>
      <c r="I216" s="615">
        <v>165</v>
      </c>
      <c r="J216" s="615">
        <v>30</v>
      </c>
      <c r="K216" s="615">
        <v>4950</v>
      </c>
      <c r="L216" s="615">
        <v>0.54545454545454541</v>
      </c>
      <c r="M216" s="615">
        <v>165</v>
      </c>
      <c r="N216" s="615">
        <v>124</v>
      </c>
      <c r="O216" s="615">
        <v>20956</v>
      </c>
      <c r="P216" s="628">
        <v>2.3092011019283745</v>
      </c>
      <c r="Q216" s="616">
        <v>169</v>
      </c>
    </row>
    <row r="217" spans="1:17" ht="14.4" customHeight="1" x14ac:dyDescent="0.3">
      <c r="A217" s="611" t="s">
        <v>2252</v>
      </c>
      <c r="B217" s="612" t="s">
        <v>2253</v>
      </c>
      <c r="C217" s="612" t="s">
        <v>1646</v>
      </c>
      <c r="D217" s="612" t="s">
        <v>2282</v>
      </c>
      <c r="E217" s="612" t="s">
        <v>2283</v>
      </c>
      <c r="F217" s="615">
        <v>1</v>
      </c>
      <c r="G217" s="615">
        <v>160</v>
      </c>
      <c r="H217" s="615">
        <v>1</v>
      </c>
      <c r="I217" s="615">
        <v>160</v>
      </c>
      <c r="J217" s="615">
        <v>1</v>
      </c>
      <c r="K217" s="615">
        <v>160</v>
      </c>
      <c r="L217" s="615">
        <v>1</v>
      </c>
      <c r="M217" s="615">
        <v>160</v>
      </c>
      <c r="N217" s="615">
        <v>1</v>
      </c>
      <c r="O217" s="615">
        <v>163</v>
      </c>
      <c r="P217" s="628">
        <v>1.01875</v>
      </c>
      <c r="Q217" s="616">
        <v>163</v>
      </c>
    </row>
    <row r="218" spans="1:17" ht="14.4" customHeight="1" x14ac:dyDescent="0.3">
      <c r="A218" s="611" t="s">
        <v>2252</v>
      </c>
      <c r="B218" s="612" t="s">
        <v>2253</v>
      </c>
      <c r="C218" s="612" t="s">
        <v>1646</v>
      </c>
      <c r="D218" s="612" t="s">
        <v>2284</v>
      </c>
      <c r="E218" s="612" t="s">
        <v>2285</v>
      </c>
      <c r="F218" s="615">
        <v>3</v>
      </c>
      <c r="G218" s="615">
        <v>1212</v>
      </c>
      <c r="H218" s="615">
        <v>1</v>
      </c>
      <c r="I218" s="615">
        <v>404</v>
      </c>
      <c r="J218" s="615">
        <v>2</v>
      </c>
      <c r="K218" s="615">
        <v>808</v>
      </c>
      <c r="L218" s="615">
        <v>0.66666666666666663</v>
      </c>
      <c r="M218" s="615">
        <v>404</v>
      </c>
      <c r="N218" s="615">
        <v>4</v>
      </c>
      <c r="O218" s="615">
        <v>1672</v>
      </c>
      <c r="P218" s="628">
        <v>1.3795379537953796</v>
      </c>
      <c r="Q218" s="616">
        <v>418</v>
      </c>
    </row>
    <row r="219" spans="1:17" ht="14.4" customHeight="1" x14ac:dyDescent="0.3">
      <c r="A219" s="611" t="s">
        <v>2286</v>
      </c>
      <c r="B219" s="612" t="s">
        <v>2287</v>
      </c>
      <c r="C219" s="612" t="s">
        <v>1646</v>
      </c>
      <c r="D219" s="612" t="s">
        <v>2288</v>
      </c>
      <c r="E219" s="612" t="s">
        <v>2289</v>
      </c>
      <c r="F219" s="615">
        <v>99</v>
      </c>
      <c r="G219" s="615">
        <v>15741</v>
      </c>
      <c r="H219" s="615">
        <v>1</v>
      </c>
      <c r="I219" s="615">
        <v>159</v>
      </c>
      <c r="J219" s="615">
        <v>88</v>
      </c>
      <c r="K219" s="615">
        <v>14022</v>
      </c>
      <c r="L219" s="615">
        <v>0.89079473985134361</v>
      </c>
      <c r="M219" s="615">
        <v>159.34090909090909</v>
      </c>
      <c r="N219" s="615">
        <v>101</v>
      </c>
      <c r="O219" s="615">
        <v>16261</v>
      </c>
      <c r="P219" s="628">
        <v>1.0330347500158821</v>
      </c>
      <c r="Q219" s="616">
        <v>161</v>
      </c>
    </row>
    <row r="220" spans="1:17" ht="14.4" customHeight="1" x14ac:dyDescent="0.3">
      <c r="A220" s="611" t="s">
        <v>2286</v>
      </c>
      <c r="B220" s="612" t="s">
        <v>2287</v>
      </c>
      <c r="C220" s="612" t="s">
        <v>1646</v>
      </c>
      <c r="D220" s="612" t="s">
        <v>2290</v>
      </c>
      <c r="E220" s="612" t="s">
        <v>2291</v>
      </c>
      <c r="F220" s="615">
        <v>3</v>
      </c>
      <c r="G220" s="615">
        <v>3495</v>
      </c>
      <c r="H220" s="615">
        <v>1</v>
      </c>
      <c r="I220" s="615">
        <v>1165</v>
      </c>
      <c r="J220" s="615">
        <v>14</v>
      </c>
      <c r="K220" s="615">
        <v>16319</v>
      </c>
      <c r="L220" s="615">
        <v>4.6692417739628036</v>
      </c>
      <c r="M220" s="615">
        <v>1165.6428571428571</v>
      </c>
      <c r="N220" s="615">
        <v>13</v>
      </c>
      <c r="O220" s="615">
        <v>15197</v>
      </c>
      <c r="P220" s="628">
        <v>4.3482117310443487</v>
      </c>
      <c r="Q220" s="616">
        <v>1169</v>
      </c>
    </row>
    <row r="221" spans="1:17" ht="14.4" customHeight="1" x14ac:dyDescent="0.3">
      <c r="A221" s="611" t="s">
        <v>2286</v>
      </c>
      <c r="B221" s="612" t="s">
        <v>2287</v>
      </c>
      <c r="C221" s="612" t="s">
        <v>1646</v>
      </c>
      <c r="D221" s="612" t="s">
        <v>2292</v>
      </c>
      <c r="E221" s="612" t="s">
        <v>2293</v>
      </c>
      <c r="F221" s="615">
        <v>2193</v>
      </c>
      <c r="G221" s="615">
        <v>85527</v>
      </c>
      <c r="H221" s="615">
        <v>1</v>
      </c>
      <c r="I221" s="615">
        <v>39</v>
      </c>
      <c r="J221" s="615">
        <v>994</v>
      </c>
      <c r="K221" s="615">
        <v>39287</v>
      </c>
      <c r="L221" s="615">
        <v>0.45935201749155236</v>
      </c>
      <c r="M221" s="615">
        <v>39.524144869215291</v>
      </c>
      <c r="N221" s="615">
        <v>768</v>
      </c>
      <c r="O221" s="615">
        <v>30720</v>
      </c>
      <c r="P221" s="628">
        <v>0.35918481882914166</v>
      </c>
      <c r="Q221" s="616">
        <v>40</v>
      </c>
    </row>
    <row r="222" spans="1:17" ht="14.4" customHeight="1" x14ac:dyDescent="0.3">
      <c r="A222" s="611" t="s">
        <v>2286</v>
      </c>
      <c r="B222" s="612" t="s">
        <v>2287</v>
      </c>
      <c r="C222" s="612" t="s">
        <v>1646</v>
      </c>
      <c r="D222" s="612" t="s">
        <v>2228</v>
      </c>
      <c r="E222" s="612" t="s">
        <v>2229</v>
      </c>
      <c r="F222" s="615">
        <v>4</v>
      </c>
      <c r="G222" s="615">
        <v>1528</v>
      </c>
      <c r="H222" s="615">
        <v>1</v>
      </c>
      <c r="I222" s="615">
        <v>382</v>
      </c>
      <c r="J222" s="615">
        <v>2</v>
      </c>
      <c r="K222" s="615">
        <v>766</v>
      </c>
      <c r="L222" s="615">
        <v>0.50130890052356025</v>
      </c>
      <c r="M222" s="615">
        <v>383</v>
      </c>
      <c r="N222" s="615">
        <v>1</v>
      </c>
      <c r="O222" s="615">
        <v>383</v>
      </c>
      <c r="P222" s="628">
        <v>0.25065445026178013</v>
      </c>
      <c r="Q222" s="616">
        <v>383</v>
      </c>
    </row>
    <row r="223" spans="1:17" ht="14.4" customHeight="1" x14ac:dyDescent="0.3">
      <c r="A223" s="611" t="s">
        <v>2286</v>
      </c>
      <c r="B223" s="612" t="s">
        <v>2287</v>
      </c>
      <c r="C223" s="612" t="s">
        <v>1646</v>
      </c>
      <c r="D223" s="612" t="s">
        <v>2294</v>
      </c>
      <c r="E223" s="612" t="s">
        <v>2295</v>
      </c>
      <c r="F223" s="615">
        <v>4</v>
      </c>
      <c r="G223" s="615">
        <v>148</v>
      </c>
      <c r="H223" s="615">
        <v>1</v>
      </c>
      <c r="I223" s="615">
        <v>37</v>
      </c>
      <c r="J223" s="615">
        <v>4</v>
      </c>
      <c r="K223" s="615">
        <v>148</v>
      </c>
      <c r="L223" s="615">
        <v>1</v>
      </c>
      <c r="M223" s="615">
        <v>37</v>
      </c>
      <c r="N223" s="615">
        <v>2</v>
      </c>
      <c r="O223" s="615">
        <v>74</v>
      </c>
      <c r="P223" s="628">
        <v>0.5</v>
      </c>
      <c r="Q223" s="616">
        <v>37</v>
      </c>
    </row>
    <row r="224" spans="1:17" ht="14.4" customHeight="1" x14ac:dyDescent="0.3">
      <c r="A224" s="611" t="s">
        <v>2286</v>
      </c>
      <c r="B224" s="612" t="s">
        <v>2287</v>
      </c>
      <c r="C224" s="612" t="s">
        <v>1646</v>
      </c>
      <c r="D224" s="612" t="s">
        <v>2296</v>
      </c>
      <c r="E224" s="612" t="s">
        <v>2297</v>
      </c>
      <c r="F224" s="615">
        <v>3</v>
      </c>
      <c r="G224" s="615">
        <v>1332</v>
      </c>
      <c r="H224" s="615">
        <v>1</v>
      </c>
      <c r="I224" s="615">
        <v>444</v>
      </c>
      <c r="J224" s="615"/>
      <c r="K224" s="615"/>
      <c r="L224" s="615"/>
      <c r="M224" s="615"/>
      <c r="N224" s="615">
        <v>3</v>
      </c>
      <c r="O224" s="615">
        <v>1335</v>
      </c>
      <c r="P224" s="628">
        <v>1.0022522522522523</v>
      </c>
      <c r="Q224" s="616">
        <v>445</v>
      </c>
    </row>
    <row r="225" spans="1:17" ht="14.4" customHeight="1" x14ac:dyDescent="0.3">
      <c r="A225" s="611" t="s">
        <v>2286</v>
      </c>
      <c r="B225" s="612" t="s">
        <v>2287</v>
      </c>
      <c r="C225" s="612" t="s">
        <v>1646</v>
      </c>
      <c r="D225" s="612" t="s">
        <v>2298</v>
      </c>
      <c r="E225" s="612" t="s">
        <v>2299</v>
      </c>
      <c r="F225" s="615">
        <v>1</v>
      </c>
      <c r="G225" s="615">
        <v>490</v>
      </c>
      <c r="H225" s="615">
        <v>1</v>
      </c>
      <c r="I225" s="615">
        <v>490</v>
      </c>
      <c r="J225" s="615"/>
      <c r="K225" s="615"/>
      <c r="L225" s="615"/>
      <c r="M225" s="615"/>
      <c r="N225" s="615">
        <v>9</v>
      </c>
      <c r="O225" s="615">
        <v>4419</v>
      </c>
      <c r="P225" s="628">
        <v>9.018367346938776</v>
      </c>
      <c r="Q225" s="616">
        <v>491</v>
      </c>
    </row>
    <row r="226" spans="1:17" ht="14.4" customHeight="1" x14ac:dyDescent="0.3">
      <c r="A226" s="611" t="s">
        <v>2286</v>
      </c>
      <c r="B226" s="612" t="s">
        <v>2287</v>
      </c>
      <c r="C226" s="612" t="s">
        <v>1646</v>
      </c>
      <c r="D226" s="612" t="s">
        <v>2300</v>
      </c>
      <c r="E226" s="612" t="s">
        <v>2301</v>
      </c>
      <c r="F226" s="615">
        <v>4</v>
      </c>
      <c r="G226" s="615">
        <v>124</v>
      </c>
      <c r="H226" s="615">
        <v>1</v>
      </c>
      <c r="I226" s="615">
        <v>31</v>
      </c>
      <c r="J226" s="615">
        <v>1</v>
      </c>
      <c r="K226" s="615">
        <v>31</v>
      </c>
      <c r="L226" s="615">
        <v>0.25</v>
      </c>
      <c r="M226" s="615">
        <v>31</v>
      </c>
      <c r="N226" s="615">
        <v>3</v>
      </c>
      <c r="O226" s="615">
        <v>93</v>
      </c>
      <c r="P226" s="628">
        <v>0.75</v>
      </c>
      <c r="Q226" s="616">
        <v>31</v>
      </c>
    </row>
    <row r="227" spans="1:17" ht="14.4" customHeight="1" x14ac:dyDescent="0.3">
      <c r="A227" s="611" t="s">
        <v>2286</v>
      </c>
      <c r="B227" s="612" t="s">
        <v>2287</v>
      </c>
      <c r="C227" s="612" t="s">
        <v>1646</v>
      </c>
      <c r="D227" s="612" t="s">
        <v>2302</v>
      </c>
      <c r="E227" s="612" t="s">
        <v>2303</v>
      </c>
      <c r="F227" s="615">
        <v>9</v>
      </c>
      <c r="G227" s="615">
        <v>2079</v>
      </c>
      <c r="H227" s="615">
        <v>1</v>
      </c>
      <c r="I227" s="615">
        <v>231</v>
      </c>
      <c r="J227" s="615">
        <v>4</v>
      </c>
      <c r="K227" s="615">
        <v>926</v>
      </c>
      <c r="L227" s="615">
        <v>0.44540644540644542</v>
      </c>
      <c r="M227" s="615">
        <v>231.5</v>
      </c>
      <c r="N227" s="615"/>
      <c r="O227" s="615"/>
      <c r="P227" s="628"/>
      <c r="Q227" s="616"/>
    </row>
    <row r="228" spans="1:17" ht="14.4" customHeight="1" x14ac:dyDescent="0.3">
      <c r="A228" s="611" t="s">
        <v>2286</v>
      </c>
      <c r="B228" s="612" t="s">
        <v>2287</v>
      </c>
      <c r="C228" s="612" t="s">
        <v>1646</v>
      </c>
      <c r="D228" s="612" t="s">
        <v>2304</v>
      </c>
      <c r="E228" s="612" t="s">
        <v>2305</v>
      </c>
      <c r="F228" s="615">
        <v>1123</v>
      </c>
      <c r="G228" s="615">
        <v>126899</v>
      </c>
      <c r="H228" s="615">
        <v>1</v>
      </c>
      <c r="I228" s="615">
        <v>113</v>
      </c>
      <c r="J228" s="615">
        <v>802</v>
      </c>
      <c r="K228" s="615">
        <v>91474</v>
      </c>
      <c r="L228" s="615">
        <v>0.72084098377449779</v>
      </c>
      <c r="M228" s="615">
        <v>114.0573566084788</v>
      </c>
      <c r="N228" s="615">
        <v>656</v>
      </c>
      <c r="O228" s="615">
        <v>76096</v>
      </c>
      <c r="P228" s="628">
        <v>0.59965799572888678</v>
      </c>
      <c r="Q228" s="616">
        <v>116</v>
      </c>
    </row>
    <row r="229" spans="1:17" ht="14.4" customHeight="1" x14ac:dyDescent="0.3">
      <c r="A229" s="611" t="s">
        <v>2286</v>
      </c>
      <c r="B229" s="612" t="s">
        <v>2287</v>
      </c>
      <c r="C229" s="612" t="s">
        <v>1646</v>
      </c>
      <c r="D229" s="612" t="s">
        <v>2306</v>
      </c>
      <c r="E229" s="612" t="s">
        <v>2307</v>
      </c>
      <c r="F229" s="615">
        <v>55</v>
      </c>
      <c r="G229" s="615">
        <v>4620</v>
      </c>
      <c r="H229" s="615">
        <v>1</v>
      </c>
      <c r="I229" s="615">
        <v>84</v>
      </c>
      <c r="J229" s="615">
        <v>57</v>
      </c>
      <c r="K229" s="615">
        <v>4822</v>
      </c>
      <c r="L229" s="615">
        <v>1.0437229437229438</v>
      </c>
      <c r="M229" s="615">
        <v>84.596491228070178</v>
      </c>
      <c r="N229" s="615">
        <v>56</v>
      </c>
      <c r="O229" s="615">
        <v>4760</v>
      </c>
      <c r="P229" s="628">
        <v>1.0303030303030303</v>
      </c>
      <c r="Q229" s="616">
        <v>85</v>
      </c>
    </row>
    <row r="230" spans="1:17" ht="14.4" customHeight="1" x14ac:dyDescent="0.3">
      <c r="A230" s="611" t="s">
        <v>2286</v>
      </c>
      <c r="B230" s="612" t="s">
        <v>2287</v>
      </c>
      <c r="C230" s="612" t="s">
        <v>1646</v>
      </c>
      <c r="D230" s="612" t="s">
        <v>2308</v>
      </c>
      <c r="E230" s="612" t="s">
        <v>2309</v>
      </c>
      <c r="F230" s="615">
        <v>18</v>
      </c>
      <c r="G230" s="615">
        <v>1728</v>
      </c>
      <c r="H230" s="615">
        <v>1</v>
      </c>
      <c r="I230" s="615">
        <v>96</v>
      </c>
      <c r="J230" s="615">
        <v>4</v>
      </c>
      <c r="K230" s="615">
        <v>387</v>
      </c>
      <c r="L230" s="615">
        <v>0.22395833333333334</v>
      </c>
      <c r="M230" s="615">
        <v>96.75</v>
      </c>
      <c r="N230" s="615">
        <v>5</v>
      </c>
      <c r="O230" s="615">
        <v>490</v>
      </c>
      <c r="P230" s="628">
        <v>0.28356481481481483</v>
      </c>
      <c r="Q230" s="616">
        <v>98</v>
      </c>
    </row>
    <row r="231" spans="1:17" ht="14.4" customHeight="1" x14ac:dyDescent="0.3">
      <c r="A231" s="611" t="s">
        <v>2286</v>
      </c>
      <c r="B231" s="612" t="s">
        <v>2287</v>
      </c>
      <c r="C231" s="612" t="s">
        <v>1646</v>
      </c>
      <c r="D231" s="612" t="s">
        <v>2310</v>
      </c>
      <c r="E231" s="612" t="s">
        <v>2311</v>
      </c>
      <c r="F231" s="615">
        <v>67</v>
      </c>
      <c r="G231" s="615">
        <v>1407</v>
      </c>
      <c r="H231" s="615">
        <v>1</v>
      </c>
      <c r="I231" s="615">
        <v>21</v>
      </c>
      <c r="J231" s="615">
        <v>139</v>
      </c>
      <c r="K231" s="615">
        <v>2919</v>
      </c>
      <c r="L231" s="615">
        <v>2.0746268656716418</v>
      </c>
      <c r="M231" s="615">
        <v>21</v>
      </c>
      <c r="N231" s="615">
        <v>21</v>
      </c>
      <c r="O231" s="615">
        <v>441</v>
      </c>
      <c r="P231" s="628">
        <v>0.31343283582089554</v>
      </c>
      <c r="Q231" s="616">
        <v>21</v>
      </c>
    </row>
    <row r="232" spans="1:17" ht="14.4" customHeight="1" x14ac:dyDescent="0.3">
      <c r="A232" s="611" t="s">
        <v>2286</v>
      </c>
      <c r="B232" s="612" t="s">
        <v>2287</v>
      </c>
      <c r="C232" s="612" t="s">
        <v>1646</v>
      </c>
      <c r="D232" s="612" t="s">
        <v>2235</v>
      </c>
      <c r="E232" s="612" t="s">
        <v>2236</v>
      </c>
      <c r="F232" s="615">
        <v>57</v>
      </c>
      <c r="G232" s="615">
        <v>27702</v>
      </c>
      <c r="H232" s="615">
        <v>1</v>
      </c>
      <c r="I232" s="615">
        <v>486</v>
      </c>
      <c r="J232" s="615">
        <v>124</v>
      </c>
      <c r="K232" s="615">
        <v>58388</v>
      </c>
      <c r="L232" s="615">
        <v>2.1077178543065482</v>
      </c>
      <c r="M232" s="615">
        <v>470.87096774193549</v>
      </c>
      <c r="N232" s="615">
        <v>131</v>
      </c>
      <c r="O232" s="615">
        <v>63797</v>
      </c>
      <c r="P232" s="628">
        <v>2.3029745144754892</v>
      </c>
      <c r="Q232" s="616">
        <v>487</v>
      </c>
    </row>
    <row r="233" spans="1:17" ht="14.4" customHeight="1" x14ac:dyDescent="0.3">
      <c r="A233" s="611" t="s">
        <v>2286</v>
      </c>
      <c r="B233" s="612" t="s">
        <v>2287</v>
      </c>
      <c r="C233" s="612" t="s">
        <v>1646</v>
      </c>
      <c r="D233" s="612" t="s">
        <v>2312</v>
      </c>
      <c r="E233" s="612" t="s">
        <v>2313</v>
      </c>
      <c r="F233" s="615">
        <v>41</v>
      </c>
      <c r="G233" s="615">
        <v>1640</v>
      </c>
      <c r="H233" s="615">
        <v>1</v>
      </c>
      <c r="I233" s="615">
        <v>40</v>
      </c>
      <c r="J233" s="615">
        <v>28</v>
      </c>
      <c r="K233" s="615">
        <v>1136</v>
      </c>
      <c r="L233" s="615">
        <v>0.69268292682926824</v>
      </c>
      <c r="M233" s="615">
        <v>40.571428571428569</v>
      </c>
      <c r="N233" s="615">
        <v>52</v>
      </c>
      <c r="O233" s="615">
        <v>2132</v>
      </c>
      <c r="P233" s="628">
        <v>1.3</v>
      </c>
      <c r="Q233" s="616">
        <v>41</v>
      </c>
    </row>
    <row r="234" spans="1:17" ht="14.4" customHeight="1" x14ac:dyDescent="0.3">
      <c r="A234" s="611" t="s">
        <v>2286</v>
      </c>
      <c r="B234" s="612" t="s">
        <v>2287</v>
      </c>
      <c r="C234" s="612" t="s">
        <v>1646</v>
      </c>
      <c r="D234" s="612" t="s">
        <v>2314</v>
      </c>
      <c r="E234" s="612" t="s">
        <v>2315</v>
      </c>
      <c r="F234" s="615">
        <v>1</v>
      </c>
      <c r="G234" s="615">
        <v>604</v>
      </c>
      <c r="H234" s="615">
        <v>1</v>
      </c>
      <c r="I234" s="615">
        <v>604</v>
      </c>
      <c r="J234" s="615">
        <v>1</v>
      </c>
      <c r="K234" s="615">
        <v>604</v>
      </c>
      <c r="L234" s="615">
        <v>1</v>
      </c>
      <c r="M234" s="615">
        <v>604</v>
      </c>
      <c r="N234" s="615">
        <v>9</v>
      </c>
      <c r="O234" s="615">
        <v>5472</v>
      </c>
      <c r="P234" s="628">
        <v>9.0596026490066226</v>
      </c>
      <c r="Q234" s="616">
        <v>608</v>
      </c>
    </row>
    <row r="235" spans="1:17" ht="14.4" customHeight="1" x14ac:dyDescent="0.3">
      <c r="A235" s="611" t="s">
        <v>2286</v>
      </c>
      <c r="B235" s="612" t="s">
        <v>2287</v>
      </c>
      <c r="C235" s="612" t="s">
        <v>1646</v>
      </c>
      <c r="D235" s="612" t="s">
        <v>2316</v>
      </c>
      <c r="E235" s="612" t="s">
        <v>2317</v>
      </c>
      <c r="F235" s="615">
        <v>9</v>
      </c>
      <c r="G235" s="615">
        <v>2205</v>
      </c>
      <c r="H235" s="615">
        <v>1</v>
      </c>
      <c r="I235" s="615">
        <v>245</v>
      </c>
      <c r="J235" s="615">
        <v>4</v>
      </c>
      <c r="K235" s="615">
        <v>982</v>
      </c>
      <c r="L235" s="615">
        <v>0.44535147392290247</v>
      </c>
      <c r="M235" s="615">
        <v>245.5</v>
      </c>
      <c r="N235" s="615"/>
      <c r="O235" s="615"/>
      <c r="P235" s="628"/>
      <c r="Q235" s="616"/>
    </row>
    <row r="236" spans="1:17" ht="14.4" customHeight="1" x14ac:dyDescent="0.3">
      <c r="A236" s="611" t="s">
        <v>2286</v>
      </c>
      <c r="B236" s="612" t="s">
        <v>2287</v>
      </c>
      <c r="C236" s="612" t="s">
        <v>1646</v>
      </c>
      <c r="D236" s="612" t="s">
        <v>2318</v>
      </c>
      <c r="E236" s="612" t="s">
        <v>2319</v>
      </c>
      <c r="F236" s="615">
        <v>298</v>
      </c>
      <c r="G236" s="615">
        <v>8046</v>
      </c>
      <c r="H236" s="615">
        <v>1</v>
      </c>
      <c r="I236" s="615">
        <v>27</v>
      </c>
      <c r="J236" s="615">
        <v>118</v>
      </c>
      <c r="K236" s="615">
        <v>3186</v>
      </c>
      <c r="L236" s="615">
        <v>0.39597315436241609</v>
      </c>
      <c r="M236" s="615">
        <v>27</v>
      </c>
      <c r="N236" s="615">
        <v>117</v>
      </c>
      <c r="O236" s="615">
        <v>3159</v>
      </c>
      <c r="P236" s="628">
        <v>0.39261744966442952</v>
      </c>
      <c r="Q236" s="616">
        <v>27</v>
      </c>
    </row>
    <row r="237" spans="1:17" ht="14.4" customHeight="1" x14ac:dyDescent="0.3">
      <c r="A237" s="611" t="s">
        <v>2320</v>
      </c>
      <c r="B237" s="612" t="s">
        <v>2138</v>
      </c>
      <c r="C237" s="612" t="s">
        <v>1646</v>
      </c>
      <c r="D237" s="612" t="s">
        <v>2321</v>
      </c>
      <c r="E237" s="612" t="s">
        <v>2322</v>
      </c>
      <c r="F237" s="615"/>
      <c r="G237" s="615"/>
      <c r="H237" s="615"/>
      <c r="I237" s="615"/>
      <c r="J237" s="615"/>
      <c r="K237" s="615"/>
      <c r="L237" s="615"/>
      <c r="M237" s="615"/>
      <c r="N237" s="615">
        <v>1</v>
      </c>
      <c r="O237" s="615">
        <v>167</v>
      </c>
      <c r="P237" s="628"/>
      <c r="Q237" s="616">
        <v>167</v>
      </c>
    </row>
    <row r="238" spans="1:17" ht="14.4" customHeight="1" x14ac:dyDescent="0.3">
      <c r="A238" s="611" t="s">
        <v>2320</v>
      </c>
      <c r="B238" s="612" t="s">
        <v>2138</v>
      </c>
      <c r="C238" s="612" t="s">
        <v>1646</v>
      </c>
      <c r="D238" s="612" t="s">
        <v>2323</v>
      </c>
      <c r="E238" s="612" t="s">
        <v>2324</v>
      </c>
      <c r="F238" s="615"/>
      <c r="G238" s="615"/>
      <c r="H238" s="615"/>
      <c r="I238" s="615"/>
      <c r="J238" s="615"/>
      <c r="K238" s="615"/>
      <c r="L238" s="615"/>
      <c r="M238" s="615"/>
      <c r="N238" s="615">
        <v>1</v>
      </c>
      <c r="O238" s="615">
        <v>173</v>
      </c>
      <c r="P238" s="628"/>
      <c r="Q238" s="616">
        <v>173</v>
      </c>
    </row>
    <row r="239" spans="1:17" ht="14.4" customHeight="1" x14ac:dyDescent="0.3">
      <c r="A239" s="611" t="s">
        <v>2320</v>
      </c>
      <c r="B239" s="612" t="s">
        <v>2138</v>
      </c>
      <c r="C239" s="612" t="s">
        <v>1646</v>
      </c>
      <c r="D239" s="612" t="s">
        <v>2325</v>
      </c>
      <c r="E239" s="612" t="s">
        <v>2326</v>
      </c>
      <c r="F239" s="615">
        <v>1</v>
      </c>
      <c r="G239" s="615">
        <v>545</v>
      </c>
      <c r="H239" s="615">
        <v>1</v>
      </c>
      <c r="I239" s="615">
        <v>545</v>
      </c>
      <c r="J239" s="615">
        <v>3</v>
      </c>
      <c r="K239" s="615">
        <v>1637</v>
      </c>
      <c r="L239" s="615">
        <v>3.0036697247706421</v>
      </c>
      <c r="M239" s="615">
        <v>545.66666666666663</v>
      </c>
      <c r="N239" s="615">
        <v>4</v>
      </c>
      <c r="O239" s="615">
        <v>2188</v>
      </c>
      <c r="P239" s="628">
        <v>4.0146788990825684</v>
      </c>
      <c r="Q239" s="616">
        <v>547</v>
      </c>
    </row>
    <row r="240" spans="1:17" ht="14.4" customHeight="1" x14ac:dyDescent="0.3">
      <c r="A240" s="611" t="s">
        <v>2320</v>
      </c>
      <c r="B240" s="612" t="s">
        <v>2138</v>
      </c>
      <c r="C240" s="612" t="s">
        <v>1646</v>
      </c>
      <c r="D240" s="612" t="s">
        <v>2327</v>
      </c>
      <c r="E240" s="612" t="s">
        <v>2328</v>
      </c>
      <c r="F240" s="615">
        <v>2</v>
      </c>
      <c r="G240" s="615">
        <v>1300</v>
      </c>
      <c r="H240" s="615">
        <v>1</v>
      </c>
      <c r="I240" s="615">
        <v>650</v>
      </c>
      <c r="J240" s="615">
        <v>5</v>
      </c>
      <c r="K240" s="615">
        <v>3253</v>
      </c>
      <c r="L240" s="615">
        <v>2.5023076923076921</v>
      </c>
      <c r="M240" s="615">
        <v>650.6</v>
      </c>
      <c r="N240" s="615">
        <v>5</v>
      </c>
      <c r="O240" s="615">
        <v>3260</v>
      </c>
      <c r="P240" s="628">
        <v>2.5076923076923077</v>
      </c>
      <c r="Q240" s="616">
        <v>652</v>
      </c>
    </row>
    <row r="241" spans="1:17" ht="14.4" customHeight="1" x14ac:dyDescent="0.3">
      <c r="A241" s="611" t="s">
        <v>2320</v>
      </c>
      <c r="B241" s="612" t="s">
        <v>2138</v>
      </c>
      <c r="C241" s="612" t="s">
        <v>1646</v>
      </c>
      <c r="D241" s="612" t="s">
        <v>2329</v>
      </c>
      <c r="E241" s="612" t="s">
        <v>2330</v>
      </c>
      <c r="F241" s="615">
        <v>2</v>
      </c>
      <c r="G241" s="615">
        <v>1300</v>
      </c>
      <c r="H241" s="615">
        <v>1</v>
      </c>
      <c r="I241" s="615">
        <v>650</v>
      </c>
      <c r="J241" s="615">
        <v>5</v>
      </c>
      <c r="K241" s="615">
        <v>3253</v>
      </c>
      <c r="L241" s="615">
        <v>2.5023076923076921</v>
      </c>
      <c r="M241" s="615">
        <v>650.6</v>
      </c>
      <c r="N241" s="615">
        <v>5</v>
      </c>
      <c r="O241" s="615">
        <v>3260</v>
      </c>
      <c r="P241" s="628">
        <v>2.5076923076923077</v>
      </c>
      <c r="Q241" s="616">
        <v>652</v>
      </c>
    </row>
    <row r="242" spans="1:17" ht="14.4" customHeight="1" x14ac:dyDescent="0.3">
      <c r="A242" s="611" t="s">
        <v>2320</v>
      </c>
      <c r="B242" s="612" t="s">
        <v>2138</v>
      </c>
      <c r="C242" s="612" t="s">
        <v>1646</v>
      </c>
      <c r="D242" s="612" t="s">
        <v>2331</v>
      </c>
      <c r="E242" s="612" t="s">
        <v>2332</v>
      </c>
      <c r="F242" s="615"/>
      <c r="G242" s="615"/>
      <c r="H242" s="615"/>
      <c r="I242" s="615"/>
      <c r="J242" s="615"/>
      <c r="K242" s="615"/>
      <c r="L242" s="615"/>
      <c r="M242" s="615"/>
      <c r="N242" s="615">
        <v>1</v>
      </c>
      <c r="O242" s="615">
        <v>347</v>
      </c>
      <c r="P242" s="628"/>
      <c r="Q242" s="616">
        <v>347</v>
      </c>
    </row>
    <row r="243" spans="1:17" ht="14.4" customHeight="1" x14ac:dyDescent="0.3">
      <c r="A243" s="611" t="s">
        <v>2320</v>
      </c>
      <c r="B243" s="612" t="s">
        <v>2138</v>
      </c>
      <c r="C243" s="612" t="s">
        <v>1646</v>
      </c>
      <c r="D243" s="612" t="s">
        <v>2333</v>
      </c>
      <c r="E243" s="612" t="s">
        <v>2334</v>
      </c>
      <c r="F243" s="615">
        <v>2</v>
      </c>
      <c r="G243" s="615">
        <v>620</v>
      </c>
      <c r="H243" s="615">
        <v>1</v>
      </c>
      <c r="I243" s="615">
        <v>310</v>
      </c>
      <c r="J243" s="615">
        <v>5</v>
      </c>
      <c r="K243" s="615">
        <v>1553</v>
      </c>
      <c r="L243" s="615">
        <v>2.5048387096774194</v>
      </c>
      <c r="M243" s="615">
        <v>310.60000000000002</v>
      </c>
      <c r="N243" s="615">
        <v>12</v>
      </c>
      <c r="O243" s="615">
        <v>3732</v>
      </c>
      <c r="P243" s="628">
        <v>6.0193548387096776</v>
      </c>
      <c r="Q243" s="616">
        <v>311</v>
      </c>
    </row>
    <row r="244" spans="1:17" ht="14.4" customHeight="1" x14ac:dyDescent="0.3">
      <c r="A244" s="611" t="s">
        <v>2320</v>
      </c>
      <c r="B244" s="612" t="s">
        <v>2138</v>
      </c>
      <c r="C244" s="612" t="s">
        <v>1646</v>
      </c>
      <c r="D244" s="612" t="s">
        <v>1880</v>
      </c>
      <c r="E244" s="612" t="s">
        <v>1881</v>
      </c>
      <c r="F244" s="615"/>
      <c r="G244" s="615"/>
      <c r="H244" s="615"/>
      <c r="I244" s="615"/>
      <c r="J244" s="615">
        <v>3</v>
      </c>
      <c r="K244" s="615">
        <v>69</v>
      </c>
      <c r="L244" s="615"/>
      <c r="M244" s="615">
        <v>23</v>
      </c>
      <c r="N244" s="615">
        <v>2</v>
      </c>
      <c r="O244" s="615">
        <v>46</v>
      </c>
      <c r="P244" s="628"/>
      <c r="Q244" s="616">
        <v>23</v>
      </c>
    </row>
    <row r="245" spans="1:17" ht="14.4" customHeight="1" x14ac:dyDescent="0.3">
      <c r="A245" s="611" t="s">
        <v>2320</v>
      </c>
      <c r="B245" s="612" t="s">
        <v>2138</v>
      </c>
      <c r="C245" s="612" t="s">
        <v>1646</v>
      </c>
      <c r="D245" s="612" t="s">
        <v>2335</v>
      </c>
      <c r="E245" s="612" t="s">
        <v>2336</v>
      </c>
      <c r="F245" s="615"/>
      <c r="G245" s="615"/>
      <c r="H245" s="615"/>
      <c r="I245" s="615"/>
      <c r="J245" s="615"/>
      <c r="K245" s="615"/>
      <c r="L245" s="615"/>
      <c r="M245" s="615"/>
      <c r="N245" s="615">
        <v>5</v>
      </c>
      <c r="O245" s="615">
        <v>1745</v>
      </c>
      <c r="P245" s="628"/>
      <c r="Q245" s="616">
        <v>349</v>
      </c>
    </row>
    <row r="246" spans="1:17" ht="14.4" customHeight="1" x14ac:dyDescent="0.3">
      <c r="A246" s="611" t="s">
        <v>2320</v>
      </c>
      <c r="B246" s="612" t="s">
        <v>2138</v>
      </c>
      <c r="C246" s="612" t="s">
        <v>1646</v>
      </c>
      <c r="D246" s="612" t="s">
        <v>1873</v>
      </c>
      <c r="E246" s="612" t="s">
        <v>1874</v>
      </c>
      <c r="F246" s="615"/>
      <c r="G246" s="615"/>
      <c r="H246" s="615"/>
      <c r="I246" s="615"/>
      <c r="J246" s="615">
        <v>3</v>
      </c>
      <c r="K246" s="615">
        <v>3783</v>
      </c>
      <c r="L246" s="615"/>
      <c r="M246" s="615">
        <v>1261</v>
      </c>
      <c r="N246" s="615">
        <v>2</v>
      </c>
      <c r="O246" s="615">
        <v>2536</v>
      </c>
      <c r="P246" s="628"/>
      <c r="Q246" s="616">
        <v>1268</v>
      </c>
    </row>
    <row r="247" spans="1:17" ht="14.4" customHeight="1" x14ac:dyDescent="0.3">
      <c r="A247" s="611" t="s">
        <v>2320</v>
      </c>
      <c r="B247" s="612" t="s">
        <v>2138</v>
      </c>
      <c r="C247" s="612" t="s">
        <v>1646</v>
      </c>
      <c r="D247" s="612" t="s">
        <v>2337</v>
      </c>
      <c r="E247" s="612" t="s">
        <v>2338</v>
      </c>
      <c r="F247" s="615"/>
      <c r="G247" s="615"/>
      <c r="H247" s="615"/>
      <c r="I247" s="615"/>
      <c r="J247" s="615"/>
      <c r="K247" s="615"/>
      <c r="L247" s="615"/>
      <c r="M247" s="615"/>
      <c r="N247" s="615">
        <v>1</v>
      </c>
      <c r="O247" s="615">
        <v>39</v>
      </c>
      <c r="P247" s="628"/>
      <c r="Q247" s="616">
        <v>39</v>
      </c>
    </row>
    <row r="248" spans="1:17" ht="14.4" customHeight="1" x14ac:dyDescent="0.3">
      <c r="A248" s="611" t="s">
        <v>2320</v>
      </c>
      <c r="B248" s="612" t="s">
        <v>2138</v>
      </c>
      <c r="C248" s="612" t="s">
        <v>1646</v>
      </c>
      <c r="D248" s="612" t="s">
        <v>2339</v>
      </c>
      <c r="E248" s="612" t="s">
        <v>2340</v>
      </c>
      <c r="F248" s="615"/>
      <c r="G248" s="615"/>
      <c r="H248" s="615"/>
      <c r="I248" s="615"/>
      <c r="J248" s="615">
        <v>1</v>
      </c>
      <c r="K248" s="615">
        <v>5000</v>
      </c>
      <c r="L248" s="615"/>
      <c r="M248" s="615">
        <v>5000</v>
      </c>
      <c r="N248" s="615">
        <v>1</v>
      </c>
      <c r="O248" s="615">
        <v>5003</v>
      </c>
      <c r="P248" s="628"/>
      <c r="Q248" s="616">
        <v>5003</v>
      </c>
    </row>
    <row r="249" spans="1:17" ht="14.4" customHeight="1" x14ac:dyDescent="0.3">
      <c r="A249" s="611" t="s">
        <v>2320</v>
      </c>
      <c r="B249" s="612" t="s">
        <v>2138</v>
      </c>
      <c r="C249" s="612" t="s">
        <v>1646</v>
      </c>
      <c r="D249" s="612" t="s">
        <v>2059</v>
      </c>
      <c r="E249" s="612" t="s">
        <v>2060</v>
      </c>
      <c r="F249" s="615"/>
      <c r="G249" s="615"/>
      <c r="H249" s="615"/>
      <c r="I249" s="615"/>
      <c r="J249" s="615">
        <v>2</v>
      </c>
      <c r="K249" s="615">
        <v>340</v>
      </c>
      <c r="L249" s="615"/>
      <c r="M249" s="615">
        <v>170</v>
      </c>
      <c r="N249" s="615">
        <v>2</v>
      </c>
      <c r="O249" s="615">
        <v>340</v>
      </c>
      <c r="P249" s="628"/>
      <c r="Q249" s="616">
        <v>170</v>
      </c>
    </row>
    <row r="250" spans="1:17" ht="14.4" customHeight="1" x14ac:dyDescent="0.3">
      <c r="A250" s="611" t="s">
        <v>2320</v>
      </c>
      <c r="B250" s="612" t="s">
        <v>2138</v>
      </c>
      <c r="C250" s="612" t="s">
        <v>1646</v>
      </c>
      <c r="D250" s="612" t="s">
        <v>2341</v>
      </c>
      <c r="E250" s="612" t="s">
        <v>2342</v>
      </c>
      <c r="F250" s="615">
        <v>2</v>
      </c>
      <c r="G250" s="615">
        <v>1372</v>
      </c>
      <c r="H250" s="615">
        <v>1</v>
      </c>
      <c r="I250" s="615">
        <v>686</v>
      </c>
      <c r="J250" s="615">
        <v>5</v>
      </c>
      <c r="K250" s="615">
        <v>3433</v>
      </c>
      <c r="L250" s="615">
        <v>2.5021865889212829</v>
      </c>
      <c r="M250" s="615">
        <v>686.6</v>
      </c>
      <c r="N250" s="615">
        <v>5</v>
      </c>
      <c r="O250" s="615">
        <v>3440</v>
      </c>
      <c r="P250" s="628">
        <v>2.5072886297376091</v>
      </c>
      <c r="Q250" s="616">
        <v>688</v>
      </c>
    </row>
    <row r="251" spans="1:17" ht="14.4" customHeight="1" x14ac:dyDescent="0.3">
      <c r="A251" s="611" t="s">
        <v>2320</v>
      </c>
      <c r="B251" s="612" t="s">
        <v>2138</v>
      </c>
      <c r="C251" s="612" t="s">
        <v>1646</v>
      </c>
      <c r="D251" s="612" t="s">
        <v>2343</v>
      </c>
      <c r="E251" s="612" t="s">
        <v>2344</v>
      </c>
      <c r="F251" s="615">
        <v>1</v>
      </c>
      <c r="G251" s="615">
        <v>347</v>
      </c>
      <c r="H251" s="615">
        <v>1</v>
      </c>
      <c r="I251" s="615">
        <v>347</v>
      </c>
      <c r="J251" s="615"/>
      <c r="K251" s="615"/>
      <c r="L251" s="615"/>
      <c r="M251" s="615"/>
      <c r="N251" s="615">
        <v>1</v>
      </c>
      <c r="O251" s="615">
        <v>348</v>
      </c>
      <c r="P251" s="628">
        <v>1.0028818443804035</v>
      </c>
      <c r="Q251" s="616">
        <v>348</v>
      </c>
    </row>
    <row r="252" spans="1:17" ht="14.4" customHeight="1" x14ac:dyDescent="0.3">
      <c r="A252" s="611" t="s">
        <v>2320</v>
      </c>
      <c r="B252" s="612" t="s">
        <v>2138</v>
      </c>
      <c r="C252" s="612" t="s">
        <v>1646</v>
      </c>
      <c r="D252" s="612" t="s">
        <v>2345</v>
      </c>
      <c r="E252" s="612" t="s">
        <v>2346</v>
      </c>
      <c r="F252" s="615"/>
      <c r="G252" s="615"/>
      <c r="H252" s="615"/>
      <c r="I252" s="615"/>
      <c r="J252" s="615">
        <v>1</v>
      </c>
      <c r="K252" s="615">
        <v>173</v>
      </c>
      <c r="L252" s="615"/>
      <c r="M252" s="615">
        <v>173</v>
      </c>
      <c r="N252" s="615">
        <v>1</v>
      </c>
      <c r="O252" s="615">
        <v>173</v>
      </c>
      <c r="P252" s="628"/>
      <c r="Q252" s="616">
        <v>173</v>
      </c>
    </row>
    <row r="253" spans="1:17" ht="14.4" customHeight="1" x14ac:dyDescent="0.3">
      <c r="A253" s="611" t="s">
        <v>2320</v>
      </c>
      <c r="B253" s="612" t="s">
        <v>2138</v>
      </c>
      <c r="C253" s="612" t="s">
        <v>1646</v>
      </c>
      <c r="D253" s="612" t="s">
        <v>2347</v>
      </c>
      <c r="E253" s="612" t="s">
        <v>2348</v>
      </c>
      <c r="F253" s="615">
        <v>2</v>
      </c>
      <c r="G253" s="615">
        <v>1300</v>
      </c>
      <c r="H253" s="615">
        <v>1</v>
      </c>
      <c r="I253" s="615">
        <v>650</v>
      </c>
      <c r="J253" s="615">
        <v>5</v>
      </c>
      <c r="K253" s="615">
        <v>3253</v>
      </c>
      <c r="L253" s="615">
        <v>2.5023076923076921</v>
      </c>
      <c r="M253" s="615">
        <v>650.6</v>
      </c>
      <c r="N253" s="615">
        <v>5</v>
      </c>
      <c r="O253" s="615">
        <v>3260</v>
      </c>
      <c r="P253" s="628">
        <v>2.5076923076923077</v>
      </c>
      <c r="Q253" s="616">
        <v>652</v>
      </c>
    </row>
    <row r="254" spans="1:17" ht="14.4" customHeight="1" x14ac:dyDescent="0.3">
      <c r="A254" s="611" t="s">
        <v>2320</v>
      </c>
      <c r="B254" s="612" t="s">
        <v>2138</v>
      </c>
      <c r="C254" s="612" t="s">
        <v>1646</v>
      </c>
      <c r="D254" s="612" t="s">
        <v>2349</v>
      </c>
      <c r="E254" s="612" t="s">
        <v>2350</v>
      </c>
      <c r="F254" s="615">
        <v>2</v>
      </c>
      <c r="G254" s="615">
        <v>1300</v>
      </c>
      <c r="H254" s="615">
        <v>1</v>
      </c>
      <c r="I254" s="615">
        <v>650</v>
      </c>
      <c r="J254" s="615">
        <v>5</v>
      </c>
      <c r="K254" s="615">
        <v>3253</v>
      </c>
      <c r="L254" s="615">
        <v>2.5023076923076921</v>
      </c>
      <c r="M254" s="615">
        <v>650.6</v>
      </c>
      <c r="N254" s="615">
        <v>5</v>
      </c>
      <c r="O254" s="615">
        <v>3260</v>
      </c>
      <c r="P254" s="628">
        <v>2.5076923076923077</v>
      </c>
      <c r="Q254" s="616">
        <v>652</v>
      </c>
    </row>
    <row r="255" spans="1:17" ht="14.4" customHeight="1" x14ac:dyDescent="0.3">
      <c r="A255" s="611" t="s">
        <v>2320</v>
      </c>
      <c r="B255" s="612" t="s">
        <v>2138</v>
      </c>
      <c r="C255" s="612" t="s">
        <v>1646</v>
      </c>
      <c r="D255" s="612" t="s">
        <v>1882</v>
      </c>
      <c r="E255" s="612" t="s">
        <v>1883</v>
      </c>
      <c r="F255" s="615"/>
      <c r="G255" s="615"/>
      <c r="H255" s="615"/>
      <c r="I255" s="615"/>
      <c r="J255" s="615">
        <v>10</v>
      </c>
      <c r="K255" s="615">
        <v>4300</v>
      </c>
      <c r="L255" s="615"/>
      <c r="M255" s="615">
        <v>430</v>
      </c>
      <c r="N255" s="615">
        <v>8</v>
      </c>
      <c r="O255" s="615">
        <v>3456</v>
      </c>
      <c r="P255" s="628"/>
      <c r="Q255" s="616">
        <v>432</v>
      </c>
    </row>
    <row r="256" spans="1:17" ht="14.4" customHeight="1" x14ac:dyDescent="0.3">
      <c r="A256" s="611" t="s">
        <v>2320</v>
      </c>
      <c r="B256" s="612" t="s">
        <v>2138</v>
      </c>
      <c r="C256" s="612" t="s">
        <v>1646</v>
      </c>
      <c r="D256" s="612" t="s">
        <v>2351</v>
      </c>
      <c r="E256" s="612" t="s">
        <v>2352</v>
      </c>
      <c r="F256" s="615"/>
      <c r="G256" s="615"/>
      <c r="H256" s="615"/>
      <c r="I256" s="615"/>
      <c r="J256" s="615"/>
      <c r="K256" s="615"/>
      <c r="L256" s="615"/>
      <c r="M256" s="615"/>
      <c r="N256" s="615">
        <v>1</v>
      </c>
      <c r="O256" s="615">
        <v>475</v>
      </c>
      <c r="P256" s="628"/>
      <c r="Q256" s="616">
        <v>475</v>
      </c>
    </row>
    <row r="257" spans="1:17" ht="14.4" customHeight="1" x14ac:dyDescent="0.3">
      <c r="A257" s="611" t="s">
        <v>2320</v>
      </c>
      <c r="B257" s="612" t="s">
        <v>2138</v>
      </c>
      <c r="C257" s="612" t="s">
        <v>1646</v>
      </c>
      <c r="D257" s="612" t="s">
        <v>1884</v>
      </c>
      <c r="E257" s="612" t="s">
        <v>1885</v>
      </c>
      <c r="F257" s="615"/>
      <c r="G257" s="615"/>
      <c r="H257" s="615"/>
      <c r="I257" s="615"/>
      <c r="J257" s="615">
        <v>10</v>
      </c>
      <c r="K257" s="615">
        <v>10060</v>
      </c>
      <c r="L257" s="615"/>
      <c r="M257" s="615">
        <v>1006</v>
      </c>
      <c r="N257" s="615">
        <v>8</v>
      </c>
      <c r="O257" s="615">
        <v>8064</v>
      </c>
      <c r="P257" s="628"/>
      <c r="Q257" s="616">
        <v>1008</v>
      </c>
    </row>
    <row r="258" spans="1:17" ht="14.4" customHeight="1" x14ac:dyDescent="0.3">
      <c r="A258" s="611" t="s">
        <v>2320</v>
      </c>
      <c r="B258" s="612" t="s">
        <v>2138</v>
      </c>
      <c r="C258" s="612" t="s">
        <v>1646</v>
      </c>
      <c r="D258" s="612" t="s">
        <v>2353</v>
      </c>
      <c r="E258" s="612" t="s">
        <v>2354</v>
      </c>
      <c r="F258" s="615"/>
      <c r="G258" s="615"/>
      <c r="H258" s="615"/>
      <c r="I258" s="615"/>
      <c r="J258" s="615"/>
      <c r="K258" s="615"/>
      <c r="L258" s="615"/>
      <c r="M258" s="615"/>
      <c r="N258" s="615">
        <v>1</v>
      </c>
      <c r="O258" s="615">
        <v>167</v>
      </c>
      <c r="P258" s="628"/>
      <c r="Q258" s="616">
        <v>167</v>
      </c>
    </row>
    <row r="259" spans="1:17" ht="14.4" customHeight="1" x14ac:dyDescent="0.3">
      <c r="A259" s="611" t="s">
        <v>2320</v>
      </c>
      <c r="B259" s="612" t="s">
        <v>2138</v>
      </c>
      <c r="C259" s="612" t="s">
        <v>1646</v>
      </c>
      <c r="D259" s="612" t="s">
        <v>2355</v>
      </c>
      <c r="E259" s="612" t="s">
        <v>2356</v>
      </c>
      <c r="F259" s="615">
        <v>2</v>
      </c>
      <c r="G259" s="615">
        <v>2790</v>
      </c>
      <c r="H259" s="615">
        <v>1</v>
      </c>
      <c r="I259" s="615">
        <v>1395</v>
      </c>
      <c r="J259" s="615">
        <v>5</v>
      </c>
      <c r="K259" s="615">
        <v>6978</v>
      </c>
      <c r="L259" s="615">
        <v>2.5010752688172042</v>
      </c>
      <c r="M259" s="615">
        <v>1395.6</v>
      </c>
      <c r="N259" s="615">
        <v>5</v>
      </c>
      <c r="O259" s="615">
        <v>6985</v>
      </c>
      <c r="P259" s="628">
        <v>2.5035842293906811</v>
      </c>
      <c r="Q259" s="616">
        <v>1397</v>
      </c>
    </row>
    <row r="260" spans="1:17" ht="14.4" customHeight="1" x14ac:dyDescent="0.3">
      <c r="A260" s="611" t="s">
        <v>2320</v>
      </c>
      <c r="B260" s="612" t="s">
        <v>2138</v>
      </c>
      <c r="C260" s="612" t="s">
        <v>1646</v>
      </c>
      <c r="D260" s="612" t="s">
        <v>2357</v>
      </c>
      <c r="E260" s="612" t="s">
        <v>2358</v>
      </c>
      <c r="F260" s="615">
        <v>1</v>
      </c>
      <c r="G260" s="615">
        <v>1016</v>
      </c>
      <c r="H260" s="615">
        <v>1</v>
      </c>
      <c r="I260" s="615">
        <v>1016</v>
      </c>
      <c r="J260" s="615">
        <v>3</v>
      </c>
      <c r="K260" s="615">
        <v>3051</v>
      </c>
      <c r="L260" s="615">
        <v>3.002952755905512</v>
      </c>
      <c r="M260" s="615">
        <v>1017</v>
      </c>
      <c r="N260" s="615">
        <v>2</v>
      </c>
      <c r="O260" s="615">
        <v>2036</v>
      </c>
      <c r="P260" s="628">
        <v>2.0039370078740157</v>
      </c>
      <c r="Q260" s="616">
        <v>1018</v>
      </c>
    </row>
    <row r="261" spans="1:17" ht="14.4" customHeight="1" thickBot="1" x14ac:dyDescent="0.35">
      <c r="A261" s="617" t="s">
        <v>2320</v>
      </c>
      <c r="B261" s="618" t="s">
        <v>2138</v>
      </c>
      <c r="C261" s="618" t="s">
        <v>1646</v>
      </c>
      <c r="D261" s="618" t="s">
        <v>2359</v>
      </c>
      <c r="E261" s="618" t="s">
        <v>2360</v>
      </c>
      <c r="F261" s="621"/>
      <c r="G261" s="621"/>
      <c r="H261" s="621"/>
      <c r="I261" s="621"/>
      <c r="J261" s="621">
        <v>2</v>
      </c>
      <c r="K261" s="621">
        <v>378</v>
      </c>
      <c r="L261" s="621"/>
      <c r="M261" s="621">
        <v>189</v>
      </c>
      <c r="N261" s="621"/>
      <c r="O261" s="621"/>
      <c r="P261" s="629"/>
      <c r="Q261" s="62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77" bestFit="1" customWidth="1"/>
    <col min="2" max="2" width="15.6640625" style="177" bestFit="1" customWidth="1"/>
    <col min="3" max="5" width="8.33203125" style="185" customWidth="1"/>
    <col min="6" max="6" width="6.109375" style="186" customWidth="1"/>
    <col min="7" max="9" width="8.33203125" style="185" customWidth="1"/>
    <col min="10" max="10" width="6.109375" style="186" customWidth="1"/>
    <col min="11" max="14" width="8.33203125" style="185" customWidth="1"/>
    <col min="15" max="16384" width="8.88671875" style="177"/>
  </cols>
  <sheetData>
    <row r="1" spans="1:14" ht="18.600000000000001" customHeight="1" thickBot="1" x14ac:dyDescent="0.4">
      <c r="A1" s="558" t="s">
        <v>162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14.4" customHeight="1" thickBot="1" x14ac:dyDescent="0.35">
      <c r="A2" s="361" t="s">
        <v>306</v>
      </c>
      <c r="B2" s="178"/>
      <c r="C2" s="178"/>
      <c r="D2" s="178"/>
      <c r="E2" s="178"/>
      <c r="F2" s="178"/>
      <c r="G2" s="429"/>
      <c r="H2" s="429"/>
      <c r="I2" s="429"/>
      <c r="J2" s="178"/>
      <c r="K2" s="429"/>
      <c r="L2" s="429"/>
      <c r="M2" s="429"/>
      <c r="N2" s="178"/>
    </row>
    <row r="3" spans="1:14" ht="14.4" customHeight="1" thickBot="1" x14ac:dyDescent="0.35">
      <c r="A3" s="179"/>
      <c r="B3" s="180" t="s">
        <v>142</v>
      </c>
      <c r="C3" s="181">
        <f>SUBTOTAL(9,C6:C1048576)</f>
        <v>6036</v>
      </c>
      <c r="D3" s="182">
        <f>SUBTOTAL(9,D6:D1048576)</f>
        <v>6047</v>
      </c>
      <c r="E3" s="182">
        <f>SUBTOTAL(9,E6:E1048576)</f>
        <v>5918</v>
      </c>
      <c r="F3" s="183">
        <f>IF(OR(E3=0,C3=0),"",E3/C3)</f>
        <v>0.98045062955599738</v>
      </c>
      <c r="G3" s="430">
        <f>SUBTOTAL(9,G6:G1048576)</f>
        <v>27267.503700000001</v>
      </c>
      <c r="H3" s="431">
        <f>SUBTOTAL(9,H6:H1048576)</f>
        <v>27238.771800000002</v>
      </c>
      <c r="I3" s="431">
        <f>SUBTOTAL(9,I6:I1048576)</f>
        <v>22552.537899999996</v>
      </c>
      <c r="J3" s="183">
        <f>IF(OR(I3=0,G3=0),"",I3/G3)</f>
        <v>0.82708480204588708</v>
      </c>
      <c r="K3" s="430">
        <f>SUBTOTAL(9,K6:K1048576)</f>
        <v>6583.4</v>
      </c>
      <c r="L3" s="431">
        <f>SUBTOTAL(9,L6:L1048576)</f>
        <v>6560.38</v>
      </c>
      <c r="M3" s="431">
        <f>SUBTOTAL(9,M6:M1048576)</f>
        <v>5127.3</v>
      </c>
      <c r="N3" s="184">
        <f>IF(OR(M3=0,E3=0),"",M3/E3)</f>
        <v>0.86639067252450153</v>
      </c>
    </row>
    <row r="4" spans="1:14" ht="14.4" customHeight="1" x14ac:dyDescent="0.3">
      <c r="A4" s="560" t="s">
        <v>77</v>
      </c>
      <c r="B4" s="561" t="s">
        <v>11</v>
      </c>
      <c r="C4" s="562" t="s">
        <v>78</v>
      </c>
      <c r="D4" s="562"/>
      <c r="E4" s="562"/>
      <c r="F4" s="563"/>
      <c r="G4" s="564" t="s">
        <v>14</v>
      </c>
      <c r="H4" s="562"/>
      <c r="I4" s="562"/>
      <c r="J4" s="563"/>
      <c r="K4" s="564" t="s">
        <v>79</v>
      </c>
      <c r="L4" s="562"/>
      <c r="M4" s="562"/>
      <c r="N4" s="565"/>
    </row>
    <row r="5" spans="1:14" ht="14.4" customHeight="1" thickBot="1" x14ac:dyDescent="0.35">
      <c r="A5" s="801"/>
      <c r="B5" s="802"/>
      <c r="C5" s="809">
        <v>2013</v>
      </c>
      <c r="D5" s="809">
        <v>2014</v>
      </c>
      <c r="E5" s="809">
        <v>2015</v>
      </c>
      <c r="F5" s="810" t="s">
        <v>2</v>
      </c>
      <c r="G5" s="820">
        <v>2013</v>
      </c>
      <c r="H5" s="809">
        <v>2014</v>
      </c>
      <c r="I5" s="809">
        <v>2015</v>
      </c>
      <c r="J5" s="810" t="s">
        <v>2</v>
      </c>
      <c r="K5" s="820">
        <v>2013</v>
      </c>
      <c r="L5" s="809">
        <v>2014</v>
      </c>
      <c r="M5" s="809">
        <v>2015</v>
      </c>
      <c r="N5" s="821" t="s">
        <v>80</v>
      </c>
    </row>
    <row r="6" spans="1:14" ht="14.4" customHeight="1" x14ac:dyDescent="0.3">
      <c r="A6" s="803" t="s">
        <v>1671</v>
      </c>
      <c r="B6" s="806" t="s">
        <v>2362</v>
      </c>
      <c r="C6" s="811">
        <v>3903</v>
      </c>
      <c r="D6" s="812">
        <v>3804</v>
      </c>
      <c r="E6" s="812">
        <v>3969</v>
      </c>
      <c r="F6" s="817">
        <v>1.0169100691775557</v>
      </c>
      <c r="G6" s="811">
        <v>3333.1178999999993</v>
      </c>
      <c r="H6" s="812">
        <v>3201.1667999999991</v>
      </c>
      <c r="I6" s="812">
        <v>3388.3096000000005</v>
      </c>
      <c r="J6" s="817">
        <v>1.0165585801810375</v>
      </c>
      <c r="K6" s="811">
        <v>234.18</v>
      </c>
      <c r="L6" s="812">
        <v>228.24</v>
      </c>
      <c r="M6" s="812">
        <v>238.14</v>
      </c>
      <c r="N6" s="822">
        <v>60</v>
      </c>
    </row>
    <row r="7" spans="1:14" ht="14.4" customHeight="1" x14ac:dyDescent="0.3">
      <c r="A7" s="804" t="s">
        <v>1647</v>
      </c>
      <c r="B7" s="807" t="s">
        <v>2362</v>
      </c>
      <c r="C7" s="813">
        <v>237</v>
      </c>
      <c r="D7" s="814">
        <v>369</v>
      </c>
      <c r="E7" s="814">
        <v>286</v>
      </c>
      <c r="F7" s="818">
        <v>1.2067510548523206</v>
      </c>
      <c r="G7" s="813">
        <v>36.900899999999993</v>
      </c>
      <c r="H7" s="814">
        <v>56.972699999999996</v>
      </c>
      <c r="I7" s="814">
        <v>45.559799999999981</v>
      </c>
      <c r="J7" s="818">
        <v>1.2346528133460157</v>
      </c>
      <c r="K7" s="813">
        <v>14.22</v>
      </c>
      <c r="L7" s="814">
        <v>22.14</v>
      </c>
      <c r="M7" s="814">
        <v>17.16</v>
      </c>
      <c r="N7" s="823">
        <v>60</v>
      </c>
    </row>
    <row r="8" spans="1:14" ht="14.4" customHeight="1" x14ac:dyDescent="0.3">
      <c r="A8" s="804" t="s">
        <v>1715</v>
      </c>
      <c r="B8" s="807" t="s">
        <v>2363</v>
      </c>
      <c r="C8" s="813">
        <v>152</v>
      </c>
      <c r="D8" s="814">
        <v>128</v>
      </c>
      <c r="E8" s="814">
        <v>148</v>
      </c>
      <c r="F8" s="818">
        <v>0.97368421052631582</v>
      </c>
      <c r="G8" s="813">
        <v>3962.3526000000002</v>
      </c>
      <c r="H8" s="814">
        <v>3336.768</v>
      </c>
      <c r="I8" s="814">
        <v>3858.1379999999999</v>
      </c>
      <c r="J8" s="818">
        <v>0.97369880711777135</v>
      </c>
      <c r="K8" s="813">
        <v>1216</v>
      </c>
      <c r="L8" s="814">
        <v>1024</v>
      </c>
      <c r="M8" s="814">
        <v>1184</v>
      </c>
      <c r="N8" s="823">
        <v>8000</v>
      </c>
    </row>
    <row r="9" spans="1:14" ht="14.4" customHeight="1" x14ac:dyDescent="0.3">
      <c r="A9" s="804" t="s">
        <v>1734</v>
      </c>
      <c r="B9" s="807" t="s">
        <v>2363</v>
      </c>
      <c r="C9" s="813">
        <v>465</v>
      </c>
      <c r="D9" s="814">
        <v>525</v>
      </c>
      <c r="E9" s="814">
        <v>335</v>
      </c>
      <c r="F9" s="818">
        <v>0.72043010752688175</v>
      </c>
      <c r="G9" s="813">
        <v>10351.361699999999</v>
      </c>
      <c r="H9" s="814">
        <v>11687.2875</v>
      </c>
      <c r="I9" s="814">
        <v>7457.6025</v>
      </c>
      <c r="J9" s="818">
        <v>0.72044651864498177</v>
      </c>
      <c r="K9" s="813">
        <v>2790</v>
      </c>
      <c r="L9" s="814">
        <v>3150</v>
      </c>
      <c r="M9" s="814">
        <v>2010</v>
      </c>
      <c r="N9" s="823">
        <v>6000</v>
      </c>
    </row>
    <row r="10" spans="1:14" ht="14.4" customHeight="1" x14ac:dyDescent="0.3">
      <c r="A10" s="804" t="s">
        <v>1717</v>
      </c>
      <c r="B10" s="807" t="s">
        <v>2363</v>
      </c>
      <c r="C10" s="813">
        <v>350</v>
      </c>
      <c r="D10" s="814">
        <v>305</v>
      </c>
      <c r="E10" s="814">
        <v>166</v>
      </c>
      <c r="F10" s="818">
        <v>0.47428571428571431</v>
      </c>
      <c r="G10" s="813">
        <v>4306.527</v>
      </c>
      <c r="H10" s="814">
        <v>3752.9639999999999</v>
      </c>
      <c r="I10" s="814">
        <v>2042.5968000000003</v>
      </c>
      <c r="J10" s="818">
        <v>0.47430256445623126</v>
      </c>
      <c r="K10" s="813">
        <v>1400</v>
      </c>
      <c r="L10" s="814">
        <v>1220</v>
      </c>
      <c r="M10" s="814">
        <v>664</v>
      </c>
      <c r="N10" s="823">
        <v>4000</v>
      </c>
    </row>
    <row r="11" spans="1:14" ht="14.4" customHeight="1" thickBot="1" x14ac:dyDescent="0.35">
      <c r="A11" s="805" t="s">
        <v>1732</v>
      </c>
      <c r="B11" s="808" t="s">
        <v>2363</v>
      </c>
      <c r="C11" s="815">
        <v>929</v>
      </c>
      <c r="D11" s="816">
        <v>916</v>
      </c>
      <c r="E11" s="816">
        <v>1014</v>
      </c>
      <c r="F11" s="819">
        <v>1.0914962325080733</v>
      </c>
      <c r="G11" s="815">
        <v>5277.2435999999998</v>
      </c>
      <c r="H11" s="816">
        <v>5203.6128000000017</v>
      </c>
      <c r="I11" s="816">
        <v>5760.3311999999987</v>
      </c>
      <c r="J11" s="819">
        <v>1.0915416525399735</v>
      </c>
      <c r="K11" s="815">
        <v>929</v>
      </c>
      <c r="L11" s="816">
        <v>916</v>
      </c>
      <c r="M11" s="816">
        <v>1014</v>
      </c>
      <c r="N11" s="824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38" bestFit="1" customWidth="1"/>
    <col min="2" max="3" width="9.5546875" style="238" customWidth="1"/>
    <col min="4" max="4" width="2.21875" style="238" customWidth="1"/>
    <col min="5" max="8" width="9.5546875" style="238" customWidth="1"/>
    <col min="9" max="16384" width="8.88671875" style="238"/>
  </cols>
  <sheetData>
    <row r="1" spans="1:8" ht="18.600000000000001" customHeight="1" thickBot="1" x14ac:dyDescent="0.4">
      <c r="A1" s="452" t="s">
        <v>157</v>
      </c>
      <c r="B1" s="452"/>
      <c r="C1" s="452"/>
      <c r="D1" s="452"/>
      <c r="E1" s="452"/>
      <c r="F1" s="452"/>
      <c r="G1" s="453"/>
      <c r="H1" s="453"/>
    </row>
    <row r="2" spans="1:8" ht="14.4" customHeight="1" thickBot="1" x14ac:dyDescent="0.35">
      <c r="A2" s="361" t="s">
        <v>306</v>
      </c>
      <c r="B2" s="208"/>
      <c r="C2" s="208"/>
      <c r="D2" s="208"/>
      <c r="E2" s="208"/>
      <c r="F2" s="208"/>
    </row>
    <row r="3" spans="1:8" ht="14.4" customHeight="1" x14ac:dyDescent="0.3">
      <c r="A3" s="454"/>
      <c r="B3" s="204">
        <v>2013</v>
      </c>
      <c r="C3" s="44">
        <v>2014</v>
      </c>
      <c r="D3" s="11"/>
      <c r="E3" s="458">
        <v>2015</v>
      </c>
      <c r="F3" s="459"/>
      <c r="G3" s="459"/>
      <c r="H3" s="460"/>
    </row>
    <row r="4" spans="1:8" ht="14.4" customHeight="1" thickBot="1" x14ac:dyDescent="0.35">
      <c r="A4" s="455"/>
      <c r="B4" s="456" t="s">
        <v>81</v>
      </c>
      <c r="C4" s="457"/>
      <c r="D4" s="11"/>
      <c r="E4" s="225" t="s">
        <v>81</v>
      </c>
      <c r="F4" s="206" t="s">
        <v>82</v>
      </c>
      <c r="G4" s="206" t="s">
        <v>56</v>
      </c>
      <c r="H4" s="207" t="s">
        <v>83</v>
      </c>
    </row>
    <row r="5" spans="1:8" ht="14.4" customHeight="1" x14ac:dyDescent="0.3">
      <c r="A5" s="209" t="str">
        <f>HYPERLINK("#'Léky Žádanky'!A1","Léky (Kč)")</f>
        <v>Léky (Kč)</v>
      </c>
      <c r="B5" s="31">
        <v>1150.7383599999998</v>
      </c>
      <c r="C5" s="33">
        <v>948.61398999999994</v>
      </c>
      <c r="D5" s="12"/>
      <c r="E5" s="214">
        <v>1119.19103</v>
      </c>
      <c r="F5" s="32">
        <v>1073.1527568714885</v>
      </c>
      <c r="G5" s="213">
        <f>E5-F5</f>
        <v>46.038273128511491</v>
      </c>
      <c r="H5" s="219">
        <f>IF(F5&lt;0.00000001,"",E5/F5)</f>
        <v>1.0429000185050306</v>
      </c>
    </row>
    <row r="6" spans="1:8" ht="14.4" customHeight="1" x14ac:dyDescent="0.3">
      <c r="A6" s="209" t="str">
        <f>HYPERLINK("#'Materiál Žádanky'!A1","Materiál - SZM (Kč)")</f>
        <v>Materiál - SZM (Kč)</v>
      </c>
      <c r="B6" s="14">
        <v>1442.413029999999</v>
      </c>
      <c r="C6" s="35">
        <v>1418.8268200000011</v>
      </c>
      <c r="D6" s="12"/>
      <c r="E6" s="215">
        <v>1999.6514000000011</v>
      </c>
      <c r="F6" s="34">
        <v>1771.4562008310368</v>
      </c>
      <c r="G6" s="216">
        <f>E6-F6</f>
        <v>228.19519916896434</v>
      </c>
      <c r="H6" s="220">
        <f>IF(F6&lt;0.00000001,"",E6/F6)</f>
        <v>1.1288178612950814</v>
      </c>
    </row>
    <row r="7" spans="1:8" ht="14.4" customHeight="1" x14ac:dyDescent="0.3">
      <c r="A7" s="209" t="str">
        <f>HYPERLINK("#'Osobní náklady'!A1","Osobní náklady (Kč) *")</f>
        <v>Osobní náklady (Kč) *</v>
      </c>
      <c r="B7" s="14">
        <v>15751.011120000001</v>
      </c>
      <c r="C7" s="35">
        <v>15564.200020000018</v>
      </c>
      <c r="D7" s="12"/>
      <c r="E7" s="215">
        <v>17671.260860000002</v>
      </c>
      <c r="F7" s="34">
        <v>16961.24946576175</v>
      </c>
      <c r="G7" s="216">
        <f>E7-F7</f>
        <v>710.01139423825225</v>
      </c>
      <c r="H7" s="220">
        <f>IF(F7&lt;0.00000001,"",E7/F7)</f>
        <v>1.0418607954367685</v>
      </c>
    </row>
    <row r="8" spans="1:8" ht="14.4" customHeight="1" thickBot="1" x14ac:dyDescent="0.35">
      <c r="A8" s="1" t="s">
        <v>84</v>
      </c>
      <c r="B8" s="15">
        <v>3358.2013900000011</v>
      </c>
      <c r="C8" s="37">
        <v>3452.8370900000073</v>
      </c>
      <c r="D8" s="12"/>
      <c r="E8" s="217">
        <v>3844.9448100000113</v>
      </c>
      <c r="F8" s="36">
        <v>3522.3654122412827</v>
      </c>
      <c r="G8" s="218">
        <f>E8-F8</f>
        <v>322.57939775872865</v>
      </c>
      <c r="H8" s="221">
        <f>IF(F8&lt;0.00000001,"",E8/F8)</f>
        <v>1.0915803331016334</v>
      </c>
    </row>
    <row r="9" spans="1:8" ht="14.4" customHeight="1" thickBot="1" x14ac:dyDescent="0.35">
      <c r="A9" s="2" t="s">
        <v>85</v>
      </c>
      <c r="B9" s="3">
        <v>21702.363900000004</v>
      </c>
      <c r="C9" s="39">
        <v>21384.477920000027</v>
      </c>
      <c r="D9" s="12"/>
      <c r="E9" s="3">
        <v>24635.048100000015</v>
      </c>
      <c r="F9" s="38">
        <v>23328.223835705561</v>
      </c>
      <c r="G9" s="38">
        <f>E9-F9</f>
        <v>1306.8242642944533</v>
      </c>
      <c r="H9" s="222">
        <f>IF(F9&lt;0.00000001,"",E9/F9)</f>
        <v>1.0560190211435756</v>
      </c>
    </row>
    <row r="10" spans="1:8" ht="14.4" customHeight="1" thickBot="1" x14ac:dyDescent="0.35">
      <c r="A10" s="16"/>
      <c r="B10" s="16"/>
      <c r="C10" s="205"/>
      <c r="D10" s="12"/>
      <c r="E10" s="16"/>
      <c r="F10" s="17"/>
    </row>
    <row r="11" spans="1:8" ht="14.4" customHeight="1" x14ac:dyDescent="0.3">
      <c r="A11" s="241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IF(ISERROR(VLOOKUP("Celkem:",#REF!,4,0)),0,VLOOKUP("Celkem:",#REF!,4,0)/1000)</f>
        <v>0</v>
      </c>
      <c r="D11" s="12"/>
      <c r="E11" s="214">
        <f>IF(ISERROR(VLOOKUP("Celkem:",#REF!,6,0)),0,VLOOKUP("Celkem:",#REF!,6,0)/1000)</f>
        <v>0</v>
      </c>
      <c r="F11" s="32">
        <f>B11</f>
        <v>0</v>
      </c>
      <c r="G11" s="213">
        <f>E11-F11</f>
        <v>0</v>
      </c>
      <c r="H11" s="219" t="str">
        <f>IF(F11&lt;0.00000001,"",E11/F11)</f>
        <v/>
      </c>
    </row>
    <row r="12" spans="1:8" ht="14.4" customHeight="1" thickBot="1" x14ac:dyDescent="0.35">
      <c r="A12" s="242" t="str">
        <f>HYPERLINK("#CaseMix!A1","Hospitalizace *")</f>
        <v>Hospitalizace *</v>
      </c>
      <c r="B12" s="15">
        <f>IF(ISERROR(VLOOKUP("Celkem",CaseMix!A:D,2,0)),0,VLOOKUP("Celkem",CaseMix!A:D,2,0)*30)</f>
        <v>23977.680000000004</v>
      </c>
      <c r="C12" s="37">
        <f>IF(ISERROR(VLOOKUP("Celkem",CaseMix!A:D,3,0)),0,VLOOKUP("Celkem",CaseMix!A:D,3,0)*30)</f>
        <v>26338.71</v>
      </c>
      <c r="D12" s="12"/>
      <c r="E12" s="217">
        <f>IF(ISERROR(VLOOKUP("Celkem",CaseMix!A:D,4,0)),0,VLOOKUP("Celkem",CaseMix!A:D,4,0)*30)</f>
        <v>27365.46</v>
      </c>
      <c r="F12" s="36">
        <f>B12</f>
        <v>23977.680000000004</v>
      </c>
      <c r="G12" s="218">
        <f>E12-F12</f>
        <v>3387.7799999999952</v>
      </c>
      <c r="H12" s="221">
        <f>IF(F12&lt;0.00000001,"",E12/F12)</f>
        <v>1.1412888986757683</v>
      </c>
    </row>
    <row r="13" spans="1:8" ht="14.4" customHeight="1" thickBot="1" x14ac:dyDescent="0.35">
      <c r="A13" s="4" t="s">
        <v>88</v>
      </c>
      <c r="B13" s="9">
        <f>SUM(B11:B12)</f>
        <v>23977.680000000004</v>
      </c>
      <c r="C13" s="41">
        <f>SUM(C11:C12)</f>
        <v>26338.71</v>
      </c>
      <c r="D13" s="12"/>
      <c r="E13" s="9">
        <f>SUM(E11:E12)</f>
        <v>27365.46</v>
      </c>
      <c r="F13" s="40">
        <f>SUM(F11:F12)</f>
        <v>23977.680000000004</v>
      </c>
      <c r="G13" s="40">
        <f>E13-F13</f>
        <v>3387.7799999999952</v>
      </c>
      <c r="H13" s="223">
        <f>IF(F13&lt;0.00000001,"",E13/F13)</f>
        <v>1.1412888986757683</v>
      </c>
    </row>
    <row r="14" spans="1:8" ht="14.4" customHeight="1" thickBot="1" x14ac:dyDescent="0.35">
      <c r="A14" s="16"/>
      <c r="B14" s="16"/>
      <c r="C14" s="205"/>
      <c r="D14" s="12"/>
      <c r="E14" s="16"/>
      <c r="F14" s="17"/>
    </row>
    <row r="15" spans="1:8" ht="14.4" customHeight="1" thickBot="1" x14ac:dyDescent="0.35">
      <c r="A15" s="243" t="str">
        <f>HYPERLINK("#'HI Graf'!A1","Hospodářský index (Výnosy / Náklady) *")</f>
        <v>Hospodářský index (Výnosy / Náklady) *</v>
      </c>
      <c r="B15" s="10">
        <f>IF(B9=0,"",B13/B9)</f>
        <v>1.104841855499437</v>
      </c>
      <c r="C15" s="43">
        <f>IF(C9=0,"",C13/C9)</f>
        <v>1.2316742124139717</v>
      </c>
      <c r="D15" s="12"/>
      <c r="E15" s="10">
        <f>IF(E9=0,"",E13/E9)</f>
        <v>1.1108344456611792</v>
      </c>
      <c r="F15" s="42">
        <f>IF(F9=0,"",F13/F9)</f>
        <v>1.0278399319583176</v>
      </c>
      <c r="G15" s="42">
        <f>IF(ISERROR(F15-E15),"",E15-F15)</f>
        <v>8.2994513702861594E-2</v>
      </c>
      <c r="H15" s="224">
        <f>IF(ISERROR(F15-E15),"",IF(F15&lt;0.00000001,"",E15/F15))</f>
        <v>1.0807465356446448</v>
      </c>
    </row>
    <row r="17" spans="1:8" ht="14.4" customHeight="1" x14ac:dyDescent="0.3">
      <c r="A17" s="210" t="s">
        <v>177</v>
      </c>
    </row>
    <row r="18" spans="1:8" ht="14.4" customHeight="1" x14ac:dyDescent="0.3">
      <c r="A18" s="414" t="s">
        <v>222</v>
      </c>
      <c r="B18" s="415"/>
      <c r="C18" s="415"/>
      <c r="D18" s="415"/>
      <c r="E18" s="415"/>
      <c r="F18" s="415"/>
      <c r="G18" s="415"/>
      <c r="H18" s="415"/>
    </row>
    <row r="19" spans="1:8" x14ac:dyDescent="0.3">
      <c r="A19" s="413" t="s">
        <v>221</v>
      </c>
      <c r="B19" s="415"/>
      <c r="C19" s="415"/>
      <c r="D19" s="415"/>
      <c r="E19" s="415"/>
      <c r="F19" s="415"/>
      <c r="G19" s="415"/>
      <c r="H19" s="415"/>
    </row>
    <row r="20" spans="1:8" ht="14.4" customHeight="1" x14ac:dyDescent="0.3">
      <c r="A20" s="211" t="s">
        <v>283</v>
      </c>
    </row>
    <row r="21" spans="1:8" ht="14.4" customHeight="1" x14ac:dyDescent="0.3">
      <c r="A21" s="211" t="s">
        <v>178</v>
      </c>
    </row>
    <row r="22" spans="1:8" ht="14.4" customHeight="1" x14ac:dyDescent="0.3">
      <c r="A22" s="212" t="s">
        <v>179</v>
      </c>
    </row>
    <row r="23" spans="1:8" ht="14.4" customHeight="1" x14ac:dyDescent="0.3">
      <c r="A23" s="212" t="s">
        <v>180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4" operator="greaterThan">
      <formula>0</formula>
    </cfRule>
  </conditionalFormatting>
  <conditionalFormatting sqref="G11:G13 G15">
    <cfRule type="cellIs" dxfId="59" priority="3" operator="lessThan">
      <formula>0</formula>
    </cfRule>
  </conditionalFormatting>
  <conditionalFormatting sqref="H5:H9">
    <cfRule type="cellIs" dxfId="58" priority="2" operator="greaterThan">
      <formula>1</formula>
    </cfRule>
  </conditionalFormatting>
  <conditionalFormatting sqref="H11:H13 H15">
    <cfRule type="cellIs" dxfId="5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8"/>
    <col min="2" max="13" width="8.88671875" style="238" customWidth="1"/>
    <col min="14" max="16384" width="8.88671875" style="238"/>
  </cols>
  <sheetData>
    <row r="1" spans="1:13" ht="18.600000000000001" customHeight="1" thickBot="1" x14ac:dyDescent="0.4">
      <c r="A1" s="452" t="s">
        <v>115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ht="14.4" customHeight="1" x14ac:dyDescent="0.3">
      <c r="A2" s="361" t="s">
        <v>306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customHeight="1" x14ac:dyDescent="0.3">
      <c r="A3" s="310"/>
      <c r="B3" s="311" t="s">
        <v>90</v>
      </c>
      <c r="C3" s="312" t="s">
        <v>91</v>
      </c>
      <c r="D3" s="312" t="s">
        <v>92</v>
      </c>
      <c r="E3" s="311" t="s">
        <v>93</v>
      </c>
      <c r="F3" s="312" t="s">
        <v>94</v>
      </c>
      <c r="G3" s="312" t="s">
        <v>95</v>
      </c>
      <c r="H3" s="312" t="s">
        <v>96</v>
      </c>
      <c r="I3" s="312" t="s">
        <v>97</v>
      </c>
      <c r="J3" s="312" t="s">
        <v>98</v>
      </c>
      <c r="K3" s="312" t="s">
        <v>99</v>
      </c>
      <c r="L3" s="312" t="s">
        <v>100</v>
      </c>
      <c r="M3" s="312" t="s">
        <v>101</v>
      </c>
    </row>
    <row r="4" spans="1:13" ht="14.4" customHeight="1" x14ac:dyDescent="0.3">
      <c r="A4" s="310" t="s">
        <v>89</v>
      </c>
      <c r="B4" s="313">
        <f>(B10+B8)/B6</f>
        <v>1.1142415197625994</v>
      </c>
      <c r="C4" s="313">
        <f t="shared" ref="C4:M4" si="0">(C10+C8)/C6</f>
        <v>1.1971396465184583</v>
      </c>
      <c r="D4" s="313">
        <f t="shared" si="0"/>
        <v>1.131464010287512</v>
      </c>
      <c r="E4" s="313">
        <f t="shared" si="0"/>
        <v>1.0871502706334091</v>
      </c>
      <c r="F4" s="313">
        <f t="shared" si="0"/>
        <v>1.1108344456611792</v>
      </c>
      <c r="G4" s="313">
        <f t="shared" si="0"/>
        <v>0</v>
      </c>
      <c r="H4" s="313">
        <f t="shared" si="0"/>
        <v>0</v>
      </c>
      <c r="I4" s="313">
        <f t="shared" si="0"/>
        <v>0</v>
      </c>
      <c r="J4" s="313">
        <f t="shared" si="0"/>
        <v>0</v>
      </c>
      <c r="K4" s="313">
        <f t="shared" si="0"/>
        <v>0</v>
      </c>
      <c r="L4" s="313">
        <f t="shared" si="0"/>
        <v>0</v>
      </c>
      <c r="M4" s="313">
        <f t="shared" si="0"/>
        <v>0</v>
      </c>
    </row>
    <row r="5" spans="1:13" ht="14.4" customHeight="1" x14ac:dyDescent="0.3">
      <c r="A5" s="314" t="s">
        <v>40</v>
      </c>
      <c r="B5" s="313">
        <f>IF(ISERROR(VLOOKUP($A5,'Man Tab'!$A:$Q,COLUMN()+2,0)),0,VLOOKUP($A5,'Man Tab'!$A:$Q,COLUMN()+2,0))</f>
        <v>4450.4803599999996</v>
      </c>
      <c r="C5" s="313">
        <f>IF(ISERROR(VLOOKUP($A5,'Man Tab'!$A:$Q,COLUMN()+2,0)),0,VLOOKUP($A5,'Man Tab'!$A:$Q,COLUMN()+2,0))</f>
        <v>4665.6992200000104</v>
      </c>
      <c r="D5" s="313">
        <f>IF(ISERROR(VLOOKUP($A5,'Man Tab'!$A:$Q,COLUMN()+2,0)),0,VLOOKUP($A5,'Man Tab'!$A:$Q,COLUMN()+2,0))</f>
        <v>5041.2481900000002</v>
      </c>
      <c r="E5" s="313">
        <f>IF(ISERROR(VLOOKUP($A5,'Man Tab'!$A:$Q,COLUMN()+2,0)),0,VLOOKUP($A5,'Man Tab'!$A:$Q,COLUMN()+2,0))</f>
        <v>5246.32953</v>
      </c>
      <c r="F5" s="313">
        <f>IF(ISERROR(VLOOKUP($A5,'Man Tab'!$A:$Q,COLUMN()+2,0)),0,VLOOKUP($A5,'Man Tab'!$A:$Q,COLUMN()+2,0))</f>
        <v>5231.2907999999998</v>
      </c>
      <c r="G5" s="313">
        <f>IF(ISERROR(VLOOKUP($A5,'Man Tab'!$A:$Q,COLUMN()+2,0)),0,VLOOKUP($A5,'Man Tab'!$A:$Q,COLUMN()+2,0))</f>
        <v>0</v>
      </c>
      <c r="H5" s="313">
        <f>IF(ISERROR(VLOOKUP($A5,'Man Tab'!$A:$Q,COLUMN()+2,0)),0,VLOOKUP($A5,'Man Tab'!$A:$Q,COLUMN()+2,0))</f>
        <v>0</v>
      </c>
      <c r="I5" s="313">
        <f>IF(ISERROR(VLOOKUP($A5,'Man Tab'!$A:$Q,COLUMN()+2,0)),0,VLOOKUP($A5,'Man Tab'!$A:$Q,COLUMN()+2,0))</f>
        <v>0</v>
      </c>
      <c r="J5" s="313">
        <f>IF(ISERROR(VLOOKUP($A5,'Man Tab'!$A:$Q,COLUMN()+2,0)),0,VLOOKUP($A5,'Man Tab'!$A:$Q,COLUMN()+2,0))</f>
        <v>0</v>
      </c>
      <c r="K5" s="313">
        <f>IF(ISERROR(VLOOKUP($A5,'Man Tab'!$A:$Q,COLUMN()+2,0)),0,VLOOKUP($A5,'Man Tab'!$A:$Q,COLUMN()+2,0))</f>
        <v>0</v>
      </c>
      <c r="L5" s="313">
        <f>IF(ISERROR(VLOOKUP($A5,'Man Tab'!$A:$Q,COLUMN()+2,0)),0,VLOOKUP($A5,'Man Tab'!$A:$Q,COLUMN()+2,0))</f>
        <v>0</v>
      </c>
      <c r="M5" s="313">
        <f>IF(ISERROR(VLOOKUP($A5,'Man Tab'!$A:$Q,COLUMN()+2,0)),0,VLOOKUP($A5,'Man Tab'!$A:$Q,COLUMN()+2,0))</f>
        <v>0</v>
      </c>
    </row>
    <row r="6" spans="1:13" ht="14.4" customHeight="1" x14ac:dyDescent="0.3">
      <c r="A6" s="314" t="s">
        <v>85</v>
      </c>
      <c r="B6" s="315">
        <f>B5</f>
        <v>4450.4803599999996</v>
      </c>
      <c r="C6" s="315">
        <f t="shared" ref="C6:M6" si="1">C5+B6</f>
        <v>9116.1795800000109</v>
      </c>
      <c r="D6" s="315">
        <f t="shared" si="1"/>
        <v>14157.427770000011</v>
      </c>
      <c r="E6" s="315">
        <f t="shared" si="1"/>
        <v>19403.757300000012</v>
      </c>
      <c r="F6" s="315">
        <f t="shared" si="1"/>
        <v>24635.048100000011</v>
      </c>
      <c r="G6" s="315">
        <f t="shared" si="1"/>
        <v>24635.048100000011</v>
      </c>
      <c r="H6" s="315">
        <f t="shared" si="1"/>
        <v>24635.048100000011</v>
      </c>
      <c r="I6" s="315">
        <f t="shared" si="1"/>
        <v>24635.048100000011</v>
      </c>
      <c r="J6" s="315">
        <f t="shared" si="1"/>
        <v>24635.048100000011</v>
      </c>
      <c r="K6" s="315">
        <f t="shared" si="1"/>
        <v>24635.048100000011</v>
      </c>
      <c r="L6" s="315">
        <f t="shared" si="1"/>
        <v>24635.048100000011</v>
      </c>
      <c r="M6" s="315">
        <f t="shared" si="1"/>
        <v>24635.048100000011</v>
      </c>
    </row>
    <row r="7" spans="1:13" ht="14.4" customHeight="1" x14ac:dyDescent="0.3">
      <c r="A7" s="314" t="s">
        <v>113</v>
      </c>
      <c r="B7" s="314">
        <v>165.297</v>
      </c>
      <c r="C7" s="314">
        <v>363.77800000000002</v>
      </c>
      <c r="D7" s="314">
        <v>533.95399999999995</v>
      </c>
      <c r="E7" s="314">
        <v>703.16</v>
      </c>
      <c r="F7" s="314">
        <v>912.18200000000002</v>
      </c>
      <c r="G7" s="314"/>
      <c r="H7" s="314"/>
      <c r="I7" s="314"/>
      <c r="J7" s="314"/>
      <c r="K7" s="314"/>
      <c r="L7" s="314"/>
      <c r="M7" s="314"/>
    </row>
    <row r="8" spans="1:13" ht="14.4" customHeight="1" x14ac:dyDescent="0.3">
      <c r="A8" s="314" t="s">
        <v>86</v>
      </c>
      <c r="B8" s="315">
        <f>B7*30</f>
        <v>4958.91</v>
      </c>
      <c r="C8" s="315">
        <f t="shared" ref="C8:M8" si="2">C7*30</f>
        <v>10913.34</v>
      </c>
      <c r="D8" s="315">
        <f t="shared" si="2"/>
        <v>16018.619999999999</v>
      </c>
      <c r="E8" s="315">
        <f t="shared" si="2"/>
        <v>21094.799999999999</v>
      </c>
      <c r="F8" s="315">
        <f t="shared" si="2"/>
        <v>27365.46</v>
      </c>
      <c r="G8" s="315">
        <f t="shared" si="2"/>
        <v>0</v>
      </c>
      <c r="H8" s="315">
        <f t="shared" si="2"/>
        <v>0</v>
      </c>
      <c r="I8" s="315">
        <f t="shared" si="2"/>
        <v>0</v>
      </c>
      <c r="J8" s="315">
        <f t="shared" si="2"/>
        <v>0</v>
      </c>
      <c r="K8" s="315">
        <f t="shared" si="2"/>
        <v>0</v>
      </c>
      <c r="L8" s="315">
        <f t="shared" si="2"/>
        <v>0</v>
      </c>
      <c r="M8" s="315">
        <f t="shared" si="2"/>
        <v>0</v>
      </c>
    </row>
    <row r="9" spans="1:13" ht="14.4" customHeight="1" x14ac:dyDescent="0.3">
      <c r="A9" s="314" t="s">
        <v>114</v>
      </c>
      <c r="B9" s="314">
        <v>0</v>
      </c>
      <c r="C9" s="314">
        <v>0</v>
      </c>
      <c r="D9" s="314">
        <v>0</v>
      </c>
      <c r="E9" s="314">
        <v>0</v>
      </c>
      <c r="F9" s="314">
        <v>0</v>
      </c>
      <c r="G9" s="314">
        <v>0</v>
      </c>
      <c r="H9" s="314">
        <v>0</v>
      </c>
      <c r="I9" s="314">
        <v>0</v>
      </c>
      <c r="J9" s="314">
        <v>0</v>
      </c>
      <c r="K9" s="314">
        <v>0</v>
      </c>
      <c r="L9" s="314">
        <v>0</v>
      </c>
      <c r="M9" s="314">
        <v>0</v>
      </c>
    </row>
    <row r="10" spans="1:13" ht="14.4" customHeight="1" x14ac:dyDescent="0.3">
      <c r="A10" s="314" t="s">
        <v>87</v>
      </c>
      <c r="B10" s="315">
        <f>B9/1000</f>
        <v>0</v>
      </c>
      <c r="C10" s="315">
        <f t="shared" ref="C10:M10" si="3">C9/1000+B10</f>
        <v>0</v>
      </c>
      <c r="D10" s="315">
        <f t="shared" si="3"/>
        <v>0</v>
      </c>
      <c r="E10" s="315">
        <f t="shared" si="3"/>
        <v>0</v>
      </c>
      <c r="F10" s="315">
        <f t="shared" si="3"/>
        <v>0</v>
      </c>
      <c r="G10" s="315">
        <f t="shared" si="3"/>
        <v>0</v>
      </c>
      <c r="H10" s="315">
        <f t="shared" si="3"/>
        <v>0</v>
      </c>
      <c r="I10" s="315">
        <f t="shared" si="3"/>
        <v>0</v>
      </c>
      <c r="J10" s="315">
        <f t="shared" si="3"/>
        <v>0</v>
      </c>
      <c r="K10" s="315">
        <f t="shared" si="3"/>
        <v>0</v>
      </c>
      <c r="L10" s="315">
        <f t="shared" si="3"/>
        <v>0</v>
      </c>
      <c r="M10" s="315">
        <f t="shared" si="3"/>
        <v>0</v>
      </c>
    </row>
    <row r="11" spans="1:13" ht="14.4" customHeight="1" x14ac:dyDescent="0.3">
      <c r="A11" s="310"/>
      <c r="B11" s="310" t="s">
        <v>103</v>
      </c>
      <c r="C11" s="310">
        <f ca="1">IF(MONTH(TODAY())=1,12,MONTH(TODAY())-1)</f>
        <v>5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4.4" customHeight="1" x14ac:dyDescent="0.3">
      <c r="A12" s="310">
        <v>0</v>
      </c>
      <c r="B12" s="313">
        <f>IF(ISERROR(HI!F15),#REF!,HI!F15)</f>
        <v>1.0278399319583176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4.4" customHeight="1" x14ac:dyDescent="0.3">
      <c r="A13" s="310">
        <v>1</v>
      </c>
      <c r="B13" s="313">
        <f>IF(ISERROR(HI!F15),#REF!,HI!F15)</f>
        <v>1.0278399319583176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8" bestFit="1" customWidth="1"/>
    <col min="2" max="2" width="12.77734375" style="238" bestFit="1" customWidth="1"/>
    <col min="3" max="3" width="13.6640625" style="238" bestFit="1" customWidth="1"/>
    <col min="4" max="15" width="7.77734375" style="238" bestFit="1" customWidth="1"/>
    <col min="16" max="16" width="8.88671875" style="238" customWidth="1"/>
    <col min="17" max="17" width="6.6640625" style="238" bestFit="1" customWidth="1"/>
    <col min="18" max="16384" width="8.88671875" style="238"/>
  </cols>
  <sheetData>
    <row r="1" spans="1:17" s="316" customFormat="1" ht="18.600000000000001" customHeight="1" thickBot="1" x14ac:dyDescent="0.4">
      <c r="A1" s="461" t="s">
        <v>308</v>
      </c>
      <c r="B1" s="461"/>
      <c r="C1" s="461"/>
      <c r="D1" s="461"/>
      <c r="E1" s="461"/>
      <c r="F1" s="461"/>
      <c r="G1" s="461"/>
      <c r="H1" s="452"/>
      <c r="I1" s="452"/>
      <c r="J1" s="452"/>
      <c r="K1" s="452"/>
      <c r="L1" s="452"/>
      <c r="M1" s="452"/>
      <c r="N1" s="452"/>
      <c r="O1" s="452"/>
      <c r="P1" s="452"/>
      <c r="Q1" s="452"/>
    </row>
    <row r="2" spans="1:17" s="316" customFormat="1" ht="14.4" customHeight="1" thickBot="1" x14ac:dyDescent="0.3">
      <c r="A2" s="361" t="s">
        <v>306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ht="14.4" customHeight="1" x14ac:dyDescent="0.3">
      <c r="A3" s="92"/>
      <c r="B3" s="462" t="s">
        <v>16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247"/>
      <c r="Q3" s="249"/>
    </row>
    <row r="4" spans="1:17" ht="14.4" customHeight="1" x14ac:dyDescent="0.3">
      <c r="A4" s="93"/>
      <c r="B4" s="24">
        <v>2015</v>
      </c>
      <c r="C4" s="248" t="s">
        <v>17</v>
      </c>
      <c r="D4" s="226" t="s">
        <v>284</v>
      </c>
      <c r="E4" s="226" t="s">
        <v>285</v>
      </c>
      <c r="F4" s="226" t="s">
        <v>286</v>
      </c>
      <c r="G4" s="226" t="s">
        <v>287</v>
      </c>
      <c r="H4" s="226" t="s">
        <v>288</v>
      </c>
      <c r="I4" s="226" t="s">
        <v>289</v>
      </c>
      <c r="J4" s="226" t="s">
        <v>290</v>
      </c>
      <c r="K4" s="226" t="s">
        <v>291</v>
      </c>
      <c r="L4" s="226" t="s">
        <v>292</v>
      </c>
      <c r="M4" s="226" t="s">
        <v>293</v>
      </c>
      <c r="N4" s="226" t="s">
        <v>294</v>
      </c>
      <c r="O4" s="226" t="s">
        <v>295</v>
      </c>
      <c r="P4" s="464" t="s">
        <v>3</v>
      </c>
      <c r="Q4" s="465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3" t="s">
        <v>307</v>
      </c>
    </row>
    <row r="7" spans="1:17" ht="14.4" customHeight="1" x14ac:dyDescent="0.3">
      <c r="A7" s="19" t="s">
        <v>22</v>
      </c>
      <c r="B7" s="55">
        <v>2575.5666164915701</v>
      </c>
      <c r="C7" s="56">
        <v>214.63055137429799</v>
      </c>
      <c r="D7" s="56">
        <v>140.37857</v>
      </c>
      <c r="E7" s="56">
        <v>218.02950000000101</v>
      </c>
      <c r="F7" s="56">
        <v>251.41833</v>
      </c>
      <c r="G7" s="56">
        <v>326.19585999999998</v>
      </c>
      <c r="H7" s="56">
        <v>183.16876999999999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1119.19103</v>
      </c>
      <c r="Q7" s="174">
        <v>1.0429000185049999</v>
      </c>
    </row>
    <row r="8" spans="1:17" ht="14.4" customHeight="1" x14ac:dyDescent="0.3">
      <c r="A8" s="19" t="s">
        <v>23</v>
      </c>
      <c r="B8" s="55">
        <v>329.06808144206298</v>
      </c>
      <c r="C8" s="56">
        <v>27.422340120171</v>
      </c>
      <c r="D8" s="56">
        <v>11.711</v>
      </c>
      <c r="E8" s="56">
        <v>17.672000000000001</v>
      </c>
      <c r="F8" s="56">
        <v>29.382999999999999</v>
      </c>
      <c r="G8" s="56">
        <v>59.136000000000003</v>
      </c>
      <c r="H8" s="56">
        <v>24.11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142.012</v>
      </c>
      <c r="Q8" s="174">
        <v>1.0357394691890001</v>
      </c>
    </row>
    <row r="9" spans="1:17" ht="14.4" customHeight="1" x14ac:dyDescent="0.3">
      <c r="A9" s="19" t="s">
        <v>24</v>
      </c>
      <c r="B9" s="55">
        <v>3989.4948743405798</v>
      </c>
      <c r="C9" s="56">
        <v>332.457906195048</v>
      </c>
      <c r="D9" s="56">
        <v>261.45222000000001</v>
      </c>
      <c r="E9" s="56">
        <v>380.27065000000101</v>
      </c>
      <c r="F9" s="56">
        <v>405.45771000000002</v>
      </c>
      <c r="G9" s="56">
        <v>503.99547000000001</v>
      </c>
      <c r="H9" s="56">
        <v>448.47534999999999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1999.6514</v>
      </c>
      <c r="Q9" s="174">
        <v>1.2029501255570001</v>
      </c>
    </row>
    <row r="10" spans="1:17" ht="14.4" customHeight="1" x14ac:dyDescent="0.3">
      <c r="A10" s="19" t="s">
        <v>25</v>
      </c>
      <c r="B10" s="55">
        <v>296.336027406401</v>
      </c>
      <c r="C10" s="56">
        <v>24.694668950533</v>
      </c>
      <c r="D10" s="56">
        <v>32.210050000000003</v>
      </c>
      <c r="E10" s="56">
        <v>15.70642</v>
      </c>
      <c r="F10" s="56">
        <v>28.09205</v>
      </c>
      <c r="G10" s="56">
        <v>22.19228</v>
      </c>
      <c r="H10" s="56">
        <v>28.842459999999999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127.04326</v>
      </c>
      <c r="Q10" s="174">
        <v>1.0289124365619999</v>
      </c>
    </row>
    <row r="11" spans="1:17" ht="14.4" customHeight="1" x14ac:dyDescent="0.3">
      <c r="A11" s="19" t="s">
        <v>26</v>
      </c>
      <c r="B11" s="55">
        <v>667.98212078851702</v>
      </c>
      <c r="C11" s="56">
        <v>55.665176732375997</v>
      </c>
      <c r="D11" s="56">
        <v>52.501829999999998</v>
      </c>
      <c r="E11" s="56">
        <v>61.426380000000002</v>
      </c>
      <c r="F11" s="56">
        <v>73.022880000000001</v>
      </c>
      <c r="G11" s="56">
        <v>76.29786</v>
      </c>
      <c r="H11" s="56">
        <v>64.228809999999996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327.47775999999999</v>
      </c>
      <c r="Q11" s="174">
        <v>1.176598294385</v>
      </c>
    </row>
    <row r="12" spans="1:17" ht="14.4" customHeight="1" x14ac:dyDescent="0.3">
      <c r="A12" s="19" t="s">
        <v>27</v>
      </c>
      <c r="B12" s="55">
        <v>305.06823129983297</v>
      </c>
      <c r="C12" s="56">
        <v>25.422352608318999</v>
      </c>
      <c r="D12" s="56">
        <v>48.677610000000001</v>
      </c>
      <c r="E12" s="56">
        <v>37.191929999999999</v>
      </c>
      <c r="F12" s="56">
        <v>48.230870000000003</v>
      </c>
      <c r="G12" s="56">
        <v>41.557470000000002</v>
      </c>
      <c r="H12" s="56">
        <v>30.29814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205.95602</v>
      </c>
      <c r="Q12" s="174">
        <v>1.6202750640200001</v>
      </c>
    </row>
    <row r="13" spans="1:17" ht="14.4" customHeight="1" x14ac:dyDescent="0.3">
      <c r="A13" s="19" t="s">
        <v>28</v>
      </c>
      <c r="B13" s="55">
        <v>541.99998292831299</v>
      </c>
      <c r="C13" s="56">
        <v>45.166665244025999</v>
      </c>
      <c r="D13" s="56">
        <v>27.237680000000001</v>
      </c>
      <c r="E13" s="56">
        <v>34.664740000000002</v>
      </c>
      <c r="F13" s="56">
        <v>39.500549999999997</v>
      </c>
      <c r="G13" s="56">
        <v>37.231949999999998</v>
      </c>
      <c r="H13" s="56">
        <v>50.09064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188.72556</v>
      </c>
      <c r="Q13" s="174">
        <v>0.83568516285299999</v>
      </c>
    </row>
    <row r="14" spans="1:17" ht="14.4" customHeight="1" x14ac:dyDescent="0.3">
      <c r="A14" s="19" t="s">
        <v>29</v>
      </c>
      <c r="B14" s="55">
        <v>900.27926435130496</v>
      </c>
      <c r="C14" s="56">
        <v>75.023272029275006</v>
      </c>
      <c r="D14" s="56">
        <v>119.806</v>
      </c>
      <c r="E14" s="56">
        <v>100.574</v>
      </c>
      <c r="F14" s="56">
        <v>93.554000000000002</v>
      </c>
      <c r="G14" s="56">
        <v>76.790000000000006</v>
      </c>
      <c r="H14" s="56">
        <v>60.493000000000002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451.21699999999998</v>
      </c>
      <c r="Q14" s="174">
        <v>1.2028720896730001</v>
      </c>
    </row>
    <row r="15" spans="1:17" ht="14.4" customHeight="1" x14ac:dyDescent="0.3">
      <c r="A15" s="19" t="s">
        <v>30</v>
      </c>
      <c r="B15" s="55">
        <v>160.45208961352799</v>
      </c>
      <c r="C15" s="56">
        <v>13.371007467794</v>
      </c>
      <c r="D15" s="56">
        <v>9.2223199999999999</v>
      </c>
      <c r="E15" s="56">
        <v>7.4296600000000002</v>
      </c>
      <c r="F15" s="56">
        <v>9.9396900000000006</v>
      </c>
      <c r="G15" s="56">
        <v>12.12222</v>
      </c>
      <c r="H15" s="56">
        <v>8.2462099999999996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46.960099999999997</v>
      </c>
      <c r="Q15" s="174">
        <v>0.70241677918599998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4" t="s">
        <v>307</v>
      </c>
    </row>
    <row r="17" spans="1:17" ht="14.4" customHeight="1" x14ac:dyDescent="0.3">
      <c r="A17" s="19" t="s">
        <v>32</v>
      </c>
      <c r="B17" s="55">
        <v>901.75626412193401</v>
      </c>
      <c r="C17" s="56">
        <v>75.146355343493994</v>
      </c>
      <c r="D17" s="56">
        <v>3.9043299999999999</v>
      </c>
      <c r="E17" s="56">
        <v>63.264789999999998</v>
      </c>
      <c r="F17" s="56">
        <v>145.69784000000001</v>
      </c>
      <c r="G17" s="56">
        <v>48.031709999999997</v>
      </c>
      <c r="H17" s="56">
        <v>135.20473999999999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396.10341</v>
      </c>
      <c r="Q17" s="174">
        <v>1.0542185530870001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0.67200000000000004</v>
      </c>
      <c r="F18" s="56">
        <v>3.8210000000000002</v>
      </c>
      <c r="G18" s="56">
        <v>1.032</v>
      </c>
      <c r="H18" s="56">
        <v>8.4559999999999995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13.981</v>
      </c>
      <c r="Q18" s="174" t="s">
        <v>307</v>
      </c>
    </row>
    <row r="19" spans="1:17" ht="14.4" customHeight="1" x14ac:dyDescent="0.3">
      <c r="A19" s="19" t="s">
        <v>34</v>
      </c>
      <c r="B19" s="55">
        <v>1740.73453623555</v>
      </c>
      <c r="C19" s="56">
        <v>145.061211352963</v>
      </c>
      <c r="D19" s="56">
        <v>150.95799</v>
      </c>
      <c r="E19" s="56">
        <v>116.34777</v>
      </c>
      <c r="F19" s="56">
        <v>162.13441</v>
      </c>
      <c r="G19" s="56">
        <v>145.41108</v>
      </c>
      <c r="H19" s="56">
        <v>140.03596999999999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714.88721999999996</v>
      </c>
      <c r="Q19" s="174">
        <v>0.98563525470699997</v>
      </c>
    </row>
    <row r="20" spans="1:17" ht="14.4" customHeight="1" x14ac:dyDescent="0.3">
      <c r="A20" s="19" t="s">
        <v>35</v>
      </c>
      <c r="B20" s="55">
        <v>40706.998717828203</v>
      </c>
      <c r="C20" s="56">
        <v>3392.2498931523501</v>
      </c>
      <c r="D20" s="56">
        <v>3358.1353899999999</v>
      </c>
      <c r="E20" s="56">
        <v>3398.0764600000098</v>
      </c>
      <c r="F20" s="56">
        <v>3523.02783</v>
      </c>
      <c r="G20" s="56">
        <v>3683.2572399999999</v>
      </c>
      <c r="H20" s="56">
        <v>3708.7639399999998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17671.260859999999</v>
      </c>
      <c r="Q20" s="174">
        <v>1.041860795436</v>
      </c>
    </row>
    <row r="21" spans="1:17" ht="14.4" customHeight="1" x14ac:dyDescent="0.3">
      <c r="A21" s="20" t="s">
        <v>36</v>
      </c>
      <c r="B21" s="55">
        <v>2610.0003911916201</v>
      </c>
      <c r="C21" s="56">
        <v>217.50003259930199</v>
      </c>
      <c r="D21" s="56">
        <v>211.233</v>
      </c>
      <c r="E21" s="56">
        <v>211.23200000000099</v>
      </c>
      <c r="F21" s="56">
        <v>211.221</v>
      </c>
      <c r="G21" s="56">
        <v>211.22</v>
      </c>
      <c r="H21" s="56">
        <v>226.64599999999999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1071.5519999999999</v>
      </c>
      <c r="Q21" s="174">
        <v>0.98533502472900003</v>
      </c>
    </row>
    <row r="22" spans="1:17" ht="14.4" customHeight="1" x14ac:dyDescent="0.3">
      <c r="A22" s="19" t="s">
        <v>37</v>
      </c>
      <c r="B22" s="55">
        <v>0</v>
      </c>
      <c r="C22" s="56">
        <v>0</v>
      </c>
      <c r="D22" s="56">
        <v>21.253</v>
      </c>
      <c r="E22" s="56">
        <v>3.1414</v>
      </c>
      <c r="F22" s="56">
        <v>0</v>
      </c>
      <c r="G22" s="56">
        <v>0</v>
      </c>
      <c r="H22" s="56">
        <v>98.330650000000006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122.72505</v>
      </c>
      <c r="Q22" s="174" t="s">
        <v>307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4"/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1.799369999999</v>
      </c>
      <c r="E24" s="56">
        <v>-4.8000000000000001E-4</v>
      </c>
      <c r="F24" s="56">
        <v>16.747029999999999</v>
      </c>
      <c r="G24" s="56">
        <v>1.85839</v>
      </c>
      <c r="H24" s="56">
        <v>15.900120000000999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36.304430000000998</v>
      </c>
      <c r="Q24" s="174"/>
    </row>
    <row r="25" spans="1:17" ht="14.4" customHeight="1" x14ac:dyDescent="0.3">
      <c r="A25" s="21" t="s">
        <v>40</v>
      </c>
      <c r="B25" s="58">
        <v>55725.737198039402</v>
      </c>
      <c r="C25" s="59">
        <v>4643.8114331699499</v>
      </c>
      <c r="D25" s="59">
        <v>4450.4803599999996</v>
      </c>
      <c r="E25" s="59">
        <v>4665.6992200000104</v>
      </c>
      <c r="F25" s="59">
        <v>5041.2481900000002</v>
      </c>
      <c r="G25" s="59">
        <v>5246.32953</v>
      </c>
      <c r="H25" s="59">
        <v>5231.2907999999998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24635.0481</v>
      </c>
      <c r="Q25" s="175">
        <v>1.06098399793</v>
      </c>
    </row>
    <row r="26" spans="1:17" ht="14.4" customHeight="1" x14ac:dyDescent="0.3">
      <c r="A26" s="19" t="s">
        <v>41</v>
      </c>
      <c r="B26" s="55">
        <v>0</v>
      </c>
      <c r="C26" s="56">
        <v>0</v>
      </c>
      <c r="D26" s="56">
        <v>776.23216000000298</v>
      </c>
      <c r="E26" s="56">
        <v>548.870020000002</v>
      </c>
      <c r="F26" s="56">
        <v>689.00077000000203</v>
      </c>
      <c r="G26" s="56">
        <v>613.83514000000196</v>
      </c>
      <c r="H26" s="56">
        <v>557.19857999999999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3185.1366700000099</v>
      </c>
      <c r="Q26" s="174" t="s">
        <v>307</v>
      </c>
    </row>
    <row r="27" spans="1:17" ht="14.4" customHeight="1" x14ac:dyDescent="0.3">
      <c r="A27" s="22" t="s">
        <v>42</v>
      </c>
      <c r="B27" s="58">
        <v>55725.737198039402</v>
      </c>
      <c r="C27" s="59">
        <v>4643.8114331699499</v>
      </c>
      <c r="D27" s="59">
        <v>5226.71252</v>
      </c>
      <c r="E27" s="59">
        <v>5214.5692400000098</v>
      </c>
      <c r="F27" s="59">
        <v>5730.2489599999999</v>
      </c>
      <c r="G27" s="59">
        <v>5860.1646700000001</v>
      </c>
      <c r="H27" s="59">
        <v>5788.48938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27820.18477</v>
      </c>
      <c r="Q27" s="175">
        <v>1.198161689825</v>
      </c>
    </row>
    <row r="28" spans="1:17" ht="14.4" customHeight="1" x14ac:dyDescent="0.3">
      <c r="A28" s="20" t="s">
        <v>43</v>
      </c>
      <c r="B28" s="55">
        <v>1.58582871395</v>
      </c>
      <c r="C28" s="56">
        <v>0.13215239282899999</v>
      </c>
      <c r="D28" s="56">
        <v>0</v>
      </c>
      <c r="E28" s="56">
        <v>0</v>
      </c>
      <c r="F28" s="56">
        <v>0</v>
      </c>
      <c r="G28" s="56">
        <v>0</v>
      </c>
      <c r="H28" s="56">
        <v>0.13883999999999999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0.13883999999999999</v>
      </c>
      <c r="Q28" s="174">
        <v>0.21012105347099999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4" t="s">
        <v>307</v>
      </c>
    </row>
    <row r="30" spans="1:17" ht="14.4" customHeight="1" x14ac:dyDescent="0.3">
      <c r="A30" s="20" t="s">
        <v>45</v>
      </c>
      <c r="B30" s="55">
        <v>176.00000000004599</v>
      </c>
      <c r="C30" s="56">
        <v>14.66666666667</v>
      </c>
      <c r="D30" s="56">
        <v>12.086930000000001</v>
      </c>
      <c r="E30" s="56">
        <v>7.4739599999999999</v>
      </c>
      <c r="F30" s="56">
        <v>9.5746699999999993</v>
      </c>
      <c r="G30" s="56">
        <v>7.3400800000000004</v>
      </c>
      <c r="H30" s="56">
        <v>10.02671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46.50235</v>
      </c>
      <c r="Q30" s="174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18.939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18.939</v>
      </c>
      <c r="Q31" s="176" t="s">
        <v>307</v>
      </c>
    </row>
    <row r="32" spans="1:17" ht="14.4" customHeight="1" x14ac:dyDescent="0.3"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ht="14.4" customHeight="1" x14ac:dyDescent="0.3">
      <c r="A33" s="210" t="s">
        <v>177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</row>
    <row r="34" spans="1:17" ht="14.4" customHeight="1" x14ac:dyDescent="0.3">
      <c r="A34" s="244" t="s">
        <v>304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</row>
    <row r="35" spans="1:17" ht="14.4" customHeight="1" x14ac:dyDescent="0.3">
      <c r="A35" s="245" t="s">
        <v>47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8" customWidth="1"/>
    <col min="2" max="11" width="10" style="238" customWidth="1"/>
    <col min="12" max="16384" width="8.88671875" style="238"/>
  </cols>
  <sheetData>
    <row r="1" spans="1:11" s="64" customFormat="1" ht="18.600000000000001" customHeight="1" thickBot="1" x14ac:dyDescent="0.4">
      <c r="A1" s="461" t="s">
        <v>48</v>
      </c>
      <c r="B1" s="461"/>
      <c r="C1" s="461"/>
      <c r="D1" s="461"/>
      <c r="E1" s="461"/>
      <c r="F1" s="461"/>
      <c r="G1" s="461"/>
      <c r="H1" s="466"/>
      <c r="I1" s="466"/>
      <c r="J1" s="466"/>
      <c r="K1" s="466"/>
    </row>
    <row r="2" spans="1:11" s="64" customFormat="1" ht="14.4" customHeight="1" thickBot="1" x14ac:dyDescent="0.35">
      <c r="A2" s="361" t="s">
        <v>306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62" t="s">
        <v>49</v>
      </c>
      <c r="C3" s="463"/>
      <c r="D3" s="463"/>
      <c r="E3" s="463"/>
      <c r="F3" s="469" t="s">
        <v>50</v>
      </c>
      <c r="G3" s="463"/>
      <c r="H3" s="463"/>
      <c r="I3" s="463"/>
      <c r="J3" s="463"/>
      <c r="K3" s="470"/>
    </row>
    <row r="4" spans="1:11" ht="14.4" customHeight="1" x14ac:dyDescent="0.3">
      <c r="A4" s="93"/>
      <c r="B4" s="467"/>
      <c r="C4" s="468"/>
      <c r="D4" s="468"/>
      <c r="E4" s="468"/>
      <c r="F4" s="471" t="s">
        <v>300</v>
      </c>
      <c r="G4" s="473" t="s">
        <v>51</v>
      </c>
      <c r="H4" s="250" t="s">
        <v>164</v>
      </c>
      <c r="I4" s="471" t="s">
        <v>52</v>
      </c>
      <c r="J4" s="473" t="s">
        <v>302</v>
      </c>
      <c r="K4" s="474" t="s">
        <v>303</v>
      </c>
    </row>
    <row r="5" spans="1:11" ht="42" thickBot="1" x14ac:dyDescent="0.35">
      <c r="A5" s="94"/>
      <c r="B5" s="28" t="s">
        <v>296</v>
      </c>
      <c r="C5" s="29" t="s">
        <v>297</v>
      </c>
      <c r="D5" s="30" t="s">
        <v>298</v>
      </c>
      <c r="E5" s="30" t="s">
        <v>299</v>
      </c>
      <c r="F5" s="472"/>
      <c r="G5" s="472"/>
      <c r="H5" s="29" t="s">
        <v>301</v>
      </c>
      <c r="I5" s="472"/>
      <c r="J5" s="472"/>
      <c r="K5" s="475"/>
    </row>
    <row r="6" spans="1:11" ht="14.4" customHeight="1" thickBot="1" x14ac:dyDescent="0.35">
      <c r="A6" s="584" t="s">
        <v>309</v>
      </c>
      <c r="B6" s="566">
        <v>55737.338482537802</v>
      </c>
      <c r="C6" s="566">
        <v>56365.75866</v>
      </c>
      <c r="D6" s="567">
        <v>628.42017746226304</v>
      </c>
      <c r="E6" s="568">
        <v>1.011274671424</v>
      </c>
      <c r="F6" s="566">
        <v>55725.737198039402</v>
      </c>
      <c r="G6" s="567">
        <v>23219.057165849699</v>
      </c>
      <c r="H6" s="569">
        <v>5231.2907999999998</v>
      </c>
      <c r="I6" s="566">
        <v>24635.0481</v>
      </c>
      <c r="J6" s="567">
        <v>1415.9909341502801</v>
      </c>
      <c r="K6" s="570">
        <v>0.44207666580400001</v>
      </c>
    </row>
    <row r="7" spans="1:11" ht="14.4" customHeight="1" thickBot="1" x14ac:dyDescent="0.35">
      <c r="A7" s="585" t="s">
        <v>310</v>
      </c>
      <c r="B7" s="566">
        <v>9891.3820096076306</v>
      </c>
      <c r="C7" s="566">
        <v>9224.8231599999999</v>
      </c>
      <c r="D7" s="567">
        <v>-666.55884960762205</v>
      </c>
      <c r="E7" s="568">
        <v>0.932612161883</v>
      </c>
      <c r="F7" s="566">
        <v>9766.2472886620999</v>
      </c>
      <c r="G7" s="567">
        <v>4069.26970360921</v>
      </c>
      <c r="H7" s="569">
        <v>897.95349999999996</v>
      </c>
      <c r="I7" s="566">
        <v>4610.0355600000003</v>
      </c>
      <c r="J7" s="567">
        <v>540.76585639079303</v>
      </c>
      <c r="K7" s="570">
        <v>0.47203756199699998</v>
      </c>
    </row>
    <row r="8" spans="1:11" ht="14.4" customHeight="1" thickBot="1" x14ac:dyDescent="0.35">
      <c r="A8" s="586" t="s">
        <v>311</v>
      </c>
      <c r="B8" s="566">
        <v>8905.8068164631895</v>
      </c>
      <c r="C8" s="566">
        <v>8207.7589200000002</v>
      </c>
      <c r="D8" s="567">
        <v>-698.04789646318397</v>
      </c>
      <c r="E8" s="568">
        <v>0.92161879200200003</v>
      </c>
      <c r="F8" s="566">
        <v>8705.5159346972705</v>
      </c>
      <c r="G8" s="567">
        <v>3627.2983061238601</v>
      </c>
      <c r="H8" s="569">
        <v>829.21429000000001</v>
      </c>
      <c r="I8" s="566">
        <v>4111.8584600000004</v>
      </c>
      <c r="J8" s="567">
        <v>484.560153876139</v>
      </c>
      <c r="K8" s="570">
        <v>0.47232794596400002</v>
      </c>
    </row>
    <row r="9" spans="1:11" ht="14.4" customHeight="1" thickBot="1" x14ac:dyDescent="0.35">
      <c r="A9" s="587" t="s">
        <v>312</v>
      </c>
      <c r="B9" s="571">
        <v>0</v>
      </c>
      <c r="C9" s="571">
        <v>6.2100000000000002E-3</v>
      </c>
      <c r="D9" s="572">
        <v>6.2100000000000002E-3</v>
      </c>
      <c r="E9" s="573" t="s">
        <v>307</v>
      </c>
      <c r="F9" s="571">
        <v>0</v>
      </c>
      <c r="G9" s="572">
        <v>0</v>
      </c>
      <c r="H9" s="574">
        <v>1.2E-4</v>
      </c>
      <c r="I9" s="571">
        <v>1.4300000000000001E-3</v>
      </c>
      <c r="J9" s="572">
        <v>1.4300000000000001E-3</v>
      </c>
      <c r="K9" s="575" t="s">
        <v>307</v>
      </c>
    </row>
    <row r="10" spans="1:11" ht="14.4" customHeight="1" thickBot="1" x14ac:dyDescent="0.35">
      <c r="A10" s="588" t="s">
        <v>313</v>
      </c>
      <c r="B10" s="566">
        <v>0</v>
      </c>
      <c r="C10" s="566">
        <v>6.2100000000000002E-3</v>
      </c>
      <c r="D10" s="567">
        <v>6.2100000000000002E-3</v>
      </c>
      <c r="E10" s="576" t="s">
        <v>307</v>
      </c>
      <c r="F10" s="566">
        <v>0</v>
      </c>
      <c r="G10" s="567">
        <v>0</v>
      </c>
      <c r="H10" s="569">
        <v>1.2E-4</v>
      </c>
      <c r="I10" s="566">
        <v>1.4300000000000001E-3</v>
      </c>
      <c r="J10" s="567">
        <v>1.4300000000000001E-3</v>
      </c>
      <c r="K10" s="577" t="s">
        <v>307</v>
      </c>
    </row>
    <row r="11" spans="1:11" ht="14.4" customHeight="1" thickBot="1" x14ac:dyDescent="0.35">
      <c r="A11" s="587" t="s">
        <v>314</v>
      </c>
      <c r="B11" s="571">
        <v>2460.0731170639301</v>
      </c>
      <c r="C11" s="571">
        <v>2250.1859599999998</v>
      </c>
      <c r="D11" s="572">
        <v>-209.88715706392901</v>
      </c>
      <c r="E11" s="578">
        <v>0.91468255329100001</v>
      </c>
      <c r="F11" s="571">
        <v>2575.5666164915701</v>
      </c>
      <c r="G11" s="572">
        <v>1073.1527568714901</v>
      </c>
      <c r="H11" s="574">
        <v>183.16876999999999</v>
      </c>
      <c r="I11" s="571">
        <v>1119.19103</v>
      </c>
      <c r="J11" s="572">
        <v>46.038273128512998</v>
      </c>
      <c r="K11" s="579">
        <v>0.43454167437699998</v>
      </c>
    </row>
    <row r="12" spans="1:11" ht="14.4" customHeight="1" thickBot="1" x14ac:dyDescent="0.35">
      <c r="A12" s="588" t="s">
        <v>315</v>
      </c>
      <c r="B12" s="566">
        <v>1743.00455479979</v>
      </c>
      <c r="C12" s="566">
        <v>1535.4266600000001</v>
      </c>
      <c r="D12" s="567">
        <v>-207.57789479979101</v>
      </c>
      <c r="E12" s="568">
        <v>0.88090800208800002</v>
      </c>
      <c r="F12" s="566">
        <v>1757.22088036533</v>
      </c>
      <c r="G12" s="567">
        <v>732.17536681888703</v>
      </c>
      <c r="H12" s="569">
        <v>132.46942999999999</v>
      </c>
      <c r="I12" s="566">
        <v>842.43921999999998</v>
      </c>
      <c r="J12" s="567">
        <v>110.26385318111301</v>
      </c>
      <c r="K12" s="570">
        <v>0.47941566675699998</v>
      </c>
    </row>
    <row r="13" spans="1:11" ht="14.4" customHeight="1" thickBot="1" x14ac:dyDescent="0.35">
      <c r="A13" s="588" t="s">
        <v>316</v>
      </c>
      <c r="B13" s="566">
        <v>227.46322933858701</v>
      </c>
      <c r="C13" s="566">
        <v>118.41522000000001</v>
      </c>
      <c r="D13" s="567">
        <v>-109.04800933858699</v>
      </c>
      <c r="E13" s="568">
        <v>0.52059060422299996</v>
      </c>
      <c r="F13" s="566">
        <v>182.691564413734</v>
      </c>
      <c r="G13" s="567">
        <v>76.121485172389001</v>
      </c>
      <c r="H13" s="569">
        <v>10.825760000000001</v>
      </c>
      <c r="I13" s="566">
        <v>67.249600000000001</v>
      </c>
      <c r="J13" s="567">
        <v>-8.8718851723889998</v>
      </c>
      <c r="K13" s="570">
        <v>0.36810457130699997</v>
      </c>
    </row>
    <row r="14" spans="1:11" ht="14.4" customHeight="1" thickBot="1" x14ac:dyDescent="0.35">
      <c r="A14" s="588" t="s">
        <v>317</v>
      </c>
      <c r="B14" s="566">
        <v>29.000254639383002</v>
      </c>
      <c r="C14" s="566">
        <v>20.892779999999998</v>
      </c>
      <c r="D14" s="567">
        <v>-8.1074746393829997</v>
      </c>
      <c r="E14" s="568">
        <v>0.72043436375900005</v>
      </c>
      <c r="F14" s="566">
        <v>25.825966599986</v>
      </c>
      <c r="G14" s="567">
        <v>10.760819416661001</v>
      </c>
      <c r="H14" s="569">
        <v>0</v>
      </c>
      <c r="I14" s="566">
        <v>10.36464</v>
      </c>
      <c r="J14" s="567">
        <v>-0.39617941666099998</v>
      </c>
      <c r="K14" s="570">
        <v>0.40132631473300001</v>
      </c>
    </row>
    <row r="15" spans="1:11" ht="14.4" customHeight="1" thickBot="1" x14ac:dyDescent="0.35">
      <c r="A15" s="588" t="s">
        <v>318</v>
      </c>
      <c r="B15" s="566">
        <v>171.44073677431899</v>
      </c>
      <c r="C15" s="566">
        <v>132.61711</v>
      </c>
      <c r="D15" s="567">
        <v>-38.823626774319003</v>
      </c>
      <c r="E15" s="568">
        <v>0.77354491409199999</v>
      </c>
      <c r="F15" s="566">
        <v>147.30004187562</v>
      </c>
      <c r="G15" s="567">
        <v>61.375017448175001</v>
      </c>
      <c r="H15" s="569">
        <v>4.7070499999999997</v>
      </c>
      <c r="I15" s="566">
        <v>57.512650000000001</v>
      </c>
      <c r="J15" s="567">
        <v>-3.8623674481750001</v>
      </c>
      <c r="K15" s="570">
        <v>0.39044557807000002</v>
      </c>
    </row>
    <row r="16" spans="1:11" ht="14.4" customHeight="1" thickBot="1" x14ac:dyDescent="0.35">
      <c r="A16" s="588" t="s">
        <v>319</v>
      </c>
      <c r="B16" s="566">
        <v>8.5005763261750005</v>
      </c>
      <c r="C16" s="566">
        <v>8.4018800000000002</v>
      </c>
      <c r="D16" s="567">
        <v>-9.8696326175000001E-2</v>
      </c>
      <c r="E16" s="568">
        <v>0.98838945473899997</v>
      </c>
      <c r="F16" s="566">
        <v>6.6956635651919996</v>
      </c>
      <c r="G16" s="567">
        <v>2.7898598188300001</v>
      </c>
      <c r="H16" s="569">
        <v>0.66422999999999999</v>
      </c>
      <c r="I16" s="566">
        <v>3.4618600000000002</v>
      </c>
      <c r="J16" s="567">
        <v>0.67200018116899995</v>
      </c>
      <c r="K16" s="570">
        <v>0.51703015933999996</v>
      </c>
    </row>
    <row r="17" spans="1:11" ht="14.4" customHeight="1" thickBot="1" x14ac:dyDescent="0.35">
      <c r="A17" s="588" t="s">
        <v>320</v>
      </c>
      <c r="B17" s="566">
        <v>280.66376518567301</v>
      </c>
      <c r="C17" s="566">
        <v>434.43230999999997</v>
      </c>
      <c r="D17" s="567">
        <v>153.76854481432699</v>
      </c>
      <c r="E17" s="568">
        <v>1.5478745883439999</v>
      </c>
      <c r="F17" s="566">
        <v>455.83249967170798</v>
      </c>
      <c r="G17" s="567">
        <v>189.93020819654501</v>
      </c>
      <c r="H17" s="569">
        <v>34.502299999999998</v>
      </c>
      <c r="I17" s="566">
        <v>138.16306</v>
      </c>
      <c r="J17" s="567">
        <v>-51.767148196543999</v>
      </c>
      <c r="K17" s="570">
        <v>0.303100503144</v>
      </c>
    </row>
    <row r="18" spans="1:11" ht="14.4" customHeight="1" thickBot="1" x14ac:dyDescent="0.35">
      <c r="A18" s="587" t="s">
        <v>321</v>
      </c>
      <c r="B18" s="571">
        <v>427.69522588613199</v>
      </c>
      <c r="C18" s="571">
        <v>334.38299999999998</v>
      </c>
      <c r="D18" s="572">
        <v>-93.312225886131998</v>
      </c>
      <c r="E18" s="578">
        <v>0.78182542090999996</v>
      </c>
      <c r="F18" s="571">
        <v>329.06808144206298</v>
      </c>
      <c r="G18" s="572">
        <v>137.11170060085999</v>
      </c>
      <c r="H18" s="574">
        <v>24.11</v>
      </c>
      <c r="I18" s="571">
        <v>142.012</v>
      </c>
      <c r="J18" s="572">
        <v>4.9002993991399997</v>
      </c>
      <c r="K18" s="579">
        <v>0.43155811216200002</v>
      </c>
    </row>
    <row r="19" spans="1:11" ht="14.4" customHeight="1" thickBot="1" x14ac:dyDescent="0.35">
      <c r="A19" s="588" t="s">
        <v>322</v>
      </c>
      <c r="B19" s="566">
        <v>414.99754107842602</v>
      </c>
      <c r="C19" s="566">
        <v>315.62099999999998</v>
      </c>
      <c r="D19" s="567">
        <v>-99.376541078425007</v>
      </c>
      <c r="E19" s="568">
        <v>0.76053703638699999</v>
      </c>
      <c r="F19" s="566">
        <v>309.99999023575299</v>
      </c>
      <c r="G19" s="567">
        <v>129.16666259823</v>
      </c>
      <c r="H19" s="569">
        <v>24.11</v>
      </c>
      <c r="I19" s="566">
        <v>138.715</v>
      </c>
      <c r="J19" s="567">
        <v>9.5483374017690004</v>
      </c>
      <c r="K19" s="570">
        <v>0.44746775602900002</v>
      </c>
    </row>
    <row r="20" spans="1:11" ht="14.4" customHeight="1" thickBot="1" x14ac:dyDescent="0.35">
      <c r="A20" s="588" t="s">
        <v>323</v>
      </c>
      <c r="B20" s="566">
        <v>12.697684807706</v>
      </c>
      <c r="C20" s="566">
        <v>18.762</v>
      </c>
      <c r="D20" s="567">
        <v>6.0643151922929999</v>
      </c>
      <c r="E20" s="568">
        <v>1.477592197643</v>
      </c>
      <c r="F20" s="566">
        <v>19.068091206310001</v>
      </c>
      <c r="G20" s="567">
        <v>7.9450380026290004</v>
      </c>
      <c r="H20" s="569">
        <v>0</v>
      </c>
      <c r="I20" s="566">
        <v>3.2970000000000002</v>
      </c>
      <c r="J20" s="567">
        <v>-4.6480380026289998</v>
      </c>
      <c r="K20" s="570">
        <v>0.17290666193699999</v>
      </c>
    </row>
    <row r="21" spans="1:11" ht="14.4" customHeight="1" thickBot="1" x14ac:dyDescent="0.35">
      <c r="A21" s="587" t="s">
        <v>324</v>
      </c>
      <c r="B21" s="571">
        <v>4293.9194465689898</v>
      </c>
      <c r="C21" s="571">
        <v>3809.46974</v>
      </c>
      <c r="D21" s="572">
        <v>-484.44970656898801</v>
      </c>
      <c r="E21" s="578">
        <v>0.88717773758899998</v>
      </c>
      <c r="F21" s="571">
        <v>3989.4948743405798</v>
      </c>
      <c r="G21" s="572">
        <v>1662.28953097524</v>
      </c>
      <c r="H21" s="574">
        <v>448.47534999999999</v>
      </c>
      <c r="I21" s="571">
        <v>1999.6514</v>
      </c>
      <c r="J21" s="572">
        <v>337.36186902475998</v>
      </c>
      <c r="K21" s="579">
        <v>0.50122921898200001</v>
      </c>
    </row>
    <row r="22" spans="1:11" ht="14.4" customHeight="1" thickBot="1" x14ac:dyDescent="0.35">
      <c r="A22" s="588" t="s">
        <v>325</v>
      </c>
      <c r="B22" s="566">
        <v>0</v>
      </c>
      <c r="C22" s="566">
        <v>0.495</v>
      </c>
      <c r="D22" s="567">
        <v>0.495</v>
      </c>
      <c r="E22" s="576" t="s">
        <v>326</v>
      </c>
      <c r="F22" s="566">
        <v>0.49499998440800003</v>
      </c>
      <c r="G22" s="567">
        <v>0.206249993503</v>
      </c>
      <c r="H22" s="569">
        <v>0</v>
      </c>
      <c r="I22" s="566">
        <v>0</v>
      </c>
      <c r="J22" s="567">
        <v>-0.206249993503</v>
      </c>
      <c r="K22" s="570">
        <v>0</v>
      </c>
    </row>
    <row r="23" spans="1:11" ht="14.4" customHeight="1" thickBot="1" x14ac:dyDescent="0.35">
      <c r="A23" s="588" t="s">
        <v>327</v>
      </c>
      <c r="B23" s="566">
        <v>538.07915933653203</v>
      </c>
      <c r="C23" s="566">
        <v>457.00738999999999</v>
      </c>
      <c r="D23" s="567">
        <v>-81.071769336532</v>
      </c>
      <c r="E23" s="568">
        <v>0.84933114778700003</v>
      </c>
      <c r="F23" s="566">
        <v>405.99998721198398</v>
      </c>
      <c r="G23" s="567">
        <v>169.166661338327</v>
      </c>
      <c r="H23" s="569">
        <v>32.32358</v>
      </c>
      <c r="I23" s="566">
        <v>127.73559</v>
      </c>
      <c r="J23" s="567">
        <v>-41.431071338325999</v>
      </c>
      <c r="K23" s="570">
        <v>0.31461968971199999</v>
      </c>
    </row>
    <row r="24" spans="1:11" ht="14.4" customHeight="1" thickBot="1" x14ac:dyDescent="0.35">
      <c r="A24" s="588" t="s">
        <v>328</v>
      </c>
      <c r="B24" s="566">
        <v>5.329276886113</v>
      </c>
      <c r="C24" s="566">
        <v>3.8418800000000002</v>
      </c>
      <c r="D24" s="567">
        <v>-1.487396886113</v>
      </c>
      <c r="E24" s="568">
        <v>0.72090080551199998</v>
      </c>
      <c r="F24" s="566">
        <v>4.9999998425119996</v>
      </c>
      <c r="G24" s="567">
        <v>2.0833332677129999</v>
      </c>
      <c r="H24" s="569">
        <v>7.4060000000000001E-2</v>
      </c>
      <c r="I24" s="566">
        <v>0.8236</v>
      </c>
      <c r="J24" s="567">
        <v>-1.259733267713</v>
      </c>
      <c r="K24" s="570">
        <v>0.16472000518800001</v>
      </c>
    </row>
    <row r="25" spans="1:11" ht="14.4" customHeight="1" thickBot="1" x14ac:dyDescent="0.35">
      <c r="A25" s="588" t="s">
        <v>329</v>
      </c>
      <c r="B25" s="566">
        <v>161.82924209274901</v>
      </c>
      <c r="C25" s="566">
        <v>165.79262</v>
      </c>
      <c r="D25" s="567">
        <v>3.963377907251</v>
      </c>
      <c r="E25" s="568">
        <v>1.0244911108520001</v>
      </c>
      <c r="F25" s="566">
        <v>163.999994834397</v>
      </c>
      <c r="G25" s="567">
        <v>68.333331180998002</v>
      </c>
      <c r="H25" s="569">
        <v>17.782620000000001</v>
      </c>
      <c r="I25" s="566">
        <v>59.668759999999999</v>
      </c>
      <c r="J25" s="567">
        <v>-8.6645711809979993</v>
      </c>
      <c r="K25" s="570">
        <v>0.36383391389800002</v>
      </c>
    </row>
    <row r="26" spans="1:11" ht="14.4" customHeight="1" thickBot="1" x14ac:dyDescent="0.35">
      <c r="A26" s="588" t="s">
        <v>330</v>
      </c>
      <c r="B26" s="566">
        <v>3239.8206221093501</v>
      </c>
      <c r="C26" s="566">
        <v>2920.8307100000002</v>
      </c>
      <c r="D26" s="567">
        <v>-318.98991210934798</v>
      </c>
      <c r="E26" s="568">
        <v>0.901540872376</v>
      </c>
      <c r="F26" s="566">
        <v>3149.99990078263</v>
      </c>
      <c r="G26" s="567">
        <v>1312.4999586594299</v>
      </c>
      <c r="H26" s="569">
        <v>349.70997</v>
      </c>
      <c r="I26" s="566">
        <v>1531.9808800000001</v>
      </c>
      <c r="J26" s="567">
        <v>219.48092134056901</v>
      </c>
      <c r="K26" s="570">
        <v>0.48634315182600002</v>
      </c>
    </row>
    <row r="27" spans="1:11" ht="14.4" customHeight="1" thickBot="1" x14ac:dyDescent="0.35">
      <c r="A27" s="588" t="s">
        <v>331</v>
      </c>
      <c r="B27" s="566">
        <v>71.321523145403006</v>
      </c>
      <c r="C27" s="566">
        <v>36.509569999999997</v>
      </c>
      <c r="D27" s="567">
        <v>-34.811953145403002</v>
      </c>
      <c r="E27" s="568">
        <v>0.51190115395500002</v>
      </c>
      <c r="F27" s="566">
        <v>27.999999118066999</v>
      </c>
      <c r="G27" s="567">
        <v>11.666666299194</v>
      </c>
      <c r="H27" s="569">
        <v>7.42774</v>
      </c>
      <c r="I27" s="566">
        <v>15.17048</v>
      </c>
      <c r="J27" s="567">
        <v>3.5038137008049999</v>
      </c>
      <c r="K27" s="570">
        <v>0.541802874208</v>
      </c>
    </row>
    <row r="28" spans="1:11" ht="14.4" customHeight="1" thickBot="1" x14ac:dyDescent="0.35">
      <c r="A28" s="588" t="s">
        <v>332</v>
      </c>
      <c r="B28" s="566">
        <v>7.8459759217849996</v>
      </c>
      <c r="C28" s="566">
        <v>4.6682199999999998</v>
      </c>
      <c r="D28" s="567">
        <v>-3.1777559217850002</v>
      </c>
      <c r="E28" s="568">
        <v>0.59498270789200003</v>
      </c>
      <c r="F28" s="566">
        <v>7.9999997480190004</v>
      </c>
      <c r="G28" s="567">
        <v>3.333333228341</v>
      </c>
      <c r="H28" s="569">
        <v>0.58748</v>
      </c>
      <c r="I28" s="566">
        <v>2.34992</v>
      </c>
      <c r="J28" s="567">
        <v>-0.98341322834099998</v>
      </c>
      <c r="K28" s="570">
        <v>0.293740009252</v>
      </c>
    </row>
    <row r="29" spans="1:11" ht="14.4" customHeight="1" thickBot="1" x14ac:dyDescent="0.35">
      <c r="A29" s="588" t="s">
        <v>333</v>
      </c>
      <c r="B29" s="566">
        <v>7.3286945400760004</v>
      </c>
      <c r="C29" s="566">
        <v>8.6111500000000003</v>
      </c>
      <c r="D29" s="567">
        <v>1.282455459923</v>
      </c>
      <c r="E29" s="568">
        <v>1.1749909827609999</v>
      </c>
      <c r="F29" s="566">
        <v>6.9999997795160001</v>
      </c>
      <c r="G29" s="567">
        <v>2.9166665747980001</v>
      </c>
      <c r="H29" s="569">
        <v>0.59199999999999997</v>
      </c>
      <c r="I29" s="566">
        <v>5.1437499999999998</v>
      </c>
      <c r="J29" s="567">
        <v>2.2270834252010001</v>
      </c>
      <c r="K29" s="570">
        <v>0.734821451716</v>
      </c>
    </row>
    <row r="30" spans="1:11" ht="14.4" customHeight="1" thickBot="1" x14ac:dyDescent="0.35">
      <c r="A30" s="588" t="s">
        <v>334</v>
      </c>
      <c r="B30" s="566">
        <v>154.556655061908</v>
      </c>
      <c r="C30" s="566">
        <v>128.20649</v>
      </c>
      <c r="D30" s="567">
        <v>-26.350165061906999</v>
      </c>
      <c r="E30" s="568">
        <v>0.82951128793899997</v>
      </c>
      <c r="F30" s="566">
        <v>141.999995527344</v>
      </c>
      <c r="G30" s="567">
        <v>59.166664803060002</v>
      </c>
      <c r="H30" s="569">
        <v>20.327500000000001</v>
      </c>
      <c r="I30" s="566">
        <v>72.832560000000001</v>
      </c>
      <c r="J30" s="567">
        <v>13.665895196939999</v>
      </c>
      <c r="K30" s="570">
        <v>0.51290536826699995</v>
      </c>
    </row>
    <row r="31" spans="1:11" ht="14.4" customHeight="1" thickBot="1" x14ac:dyDescent="0.35">
      <c r="A31" s="588" t="s">
        <v>335</v>
      </c>
      <c r="B31" s="566">
        <v>107.587622938149</v>
      </c>
      <c r="C31" s="566">
        <v>83.506709999999998</v>
      </c>
      <c r="D31" s="567">
        <v>-24.080912938149002</v>
      </c>
      <c r="E31" s="568">
        <v>0.77617394751799995</v>
      </c>
      <c r="F31" s="566">
        <v>78.999997511691006</v>
      </c>
      <c r="G31" s="567">
        <v>32.916665629870998</v>
      </c>
      <c r="H31" s="569">
        <v>10.406000000000001</v>
      </c>
      <c r="I31" s="566">
        <v>30.314520000000002</v>
      </c>
      <c r="J31" s="567">
        <v>-2.602145629871</v>
      </c>
      <c r="K31" s="570">
        <v>0.38372811335200002</v>
      </c>
    </row>
    <row r="32" spans="1:11" ht="14.4" customHeight="1" thickBot="1" x14ac:dyDescent="0.35">
      <c r="A32" s="588" t="s">
        <v>336</v>
      </c>
      <c r="B32" s="566">
        <v>0</v>
      </c>
      <c r="C32" s="566">
        <v>0</v>
      </c>
      <c r="D32" s="567">
        <v>0</v>
      </c>
      <c r="E32" s="568">
        <v>1</v>
      </c>
      <c r="F32" s="566">
        <v>0</v>
      </c>
      <c r="G32" s="567">
        <v>0</v>
      </c>
      <c r="H32" s="569">
        <v>9.2444000000000006</v>
      </c>
      <c r="I32" s="566">
        <v>153.63133999999999</v>
      </c>
      <c r="J32" s="567">
        <v>153.63133999999999</v>
      </c>
      <c r="K32" s="577" t="s">
        <v>326</v>
      </c>
    </row>
    <row r="33" spans="1:11" ht="14.4" customHeight="1" thickBot="1" x14ac:dyDescent="0.35">
      <c r="A33" s="588" t="s">
        <v>337</v>
      </c>
      <c r="B33" s="566">
        <v>0.22067453692399999</v>
      </c>
      <c r="C33" s="566">
        <v>0</v>
      </c>
      <c r="D33" s="567">
        <v>-0.22067453692399999</v>
      </c>
      <c r="E33" s="568">
        <v>0</v>
      </c>
      <c r="F33" s="566">
        <v>0</v>
      </c>
      <c r="G33" s="567">
        <v>0</v>
      </c>
      <c r="H33" s="569">
        <v>0</v>
      </c>
      <c r="I33" s="566">
        <v>0</v>
      </c>
      <c r="J33" s="567">
        <v>0</v>
      </c>
      <c r="K33" s="570">
        <v>0</v>
      </c>
    </row>
    <row r="34" spans="1:11" ht="14.4" customHeight="1" thickBot="1" x14ac:dyDescent="0.35">
      <c r="A34" s="587" t="s">
        <v>338</v>
      </c>
      <c r="B34" s="571">
        <v>342.86339678123397</v>
      </c>
      <c r="C34" s="571">
        <v>271.55795999999998</v>
      </c>
      <c r="D34" s="572">
        <v>-71.305436781233993</v>
      </c>
      <c r="E34" s="578">
        <v>0.79202960289500002</v>
      </c>
      <c r="F34" s="571">
        <v>296.336027406401</v>
      </c>
      <c r="G34" s="572">
        <v>123.473344752667</v>
      </c>
      <c r="H34" s="574">
        <v>28.842459999999999</v>
      </c>
      <c r="I34" s="571">
        <v>127.04326</v>
      </c>
      <c r="J34" s="572">
        <v>3.5699152473329998</v>
      </c>
      <c r="K34" s="579">
        <v>0.42871351523399998</v>
      </c>
    </row>
    <row r="35" spans="1:11" ht="14.4" customHeight="1" thickBot="1" x14ac:dyDescent="0.35">
      <c r="A35" s="588" t="s">
        <v>339</v>
      </c>
      <c r="B35" s="566">
        <v>89.999682588785006</v>
      </c>
      <c r="C35" s="566">
        <v>70.465400000000002</v>
      </c>
      <c r="D35" s="567">
        <v>-19.534282588785</v>
      </c>
      <c r="E35" s="568">
        <v>0.78295165019500002</v>
      </c>
      <c r="F35" s="566">
        <v>89.999997165218005</v>
      </c>
      <c r="G35" s="567">
        <v>37.499998818839998</v>
      </c>
      <c r="H35" s="569">
        <v>5.5978599999999998</v>
      </c>
      <c r="I35" s="566">
        <v>37.448090000000001</v>
      </c>
      <c r="J35" s="567">
        <v>-5.1908818840000003E-2</v>
      </c>
      <c r="K35" s="570">
        <v>0.41608990199399998</v>
      </c>
    </row>
    <row r="36" spans="1:11" ht="14.4" customHeight="1" thickBot="1" x14ac:dyDescent="0.35">
      <c r="A36" s="588" t="s">
        <v>340</v>
      </c>
      <c r="B36" s="566">
        <v>24.999911830218</v>
      </c>
      <c r="C36" s="566">
        <v>17.1127</v>
      </c>
      <c r="D36" s="567">
        <v>-7.8872118302179999</v>
      </c>
      <c r="E36" s="568">
        <v>0.68451041412500002</v>
      </c>
      <c r="F36" s="566">
        <v>24.999999212559999</v>
      </c>
      <c r="G36" s="567">
        <v>10.416666338565999</v>
      </c>
      <c r="H36" s="569">
        <v>1.5082</v>
      </c>
      <c r="I36" s="566">
        <v>8.8029899999999994</v>
      </c>
      <c r="J36" s="567">
        <v>-1.613676338566</v>
      </c>
      <c r="K36" s="570">
        <v>0.35211961109000001</v>
      </c>
    </row>
    <row r="37" spans="1:11" ht="14.4" customHeight="1" thickBot="1" x14ac:dyDescent="0.35">
      <c r="A37" s="588" t="s">
        <v>341</v>
      </c>
      <c r="B37" s="566">
        <v>227.86380236222999</v>
      </c>
      <c r="C37" s="566">
        <v>183.25890999999999</v>
      </c>
      <c r="D37" s="567">
        <v>-44.604892362229997</v>
      </c>
      <c r="E37" s="568">
        <v>0.80424757289299997</v>
      </c>
      <c r="F37" s="566">
        <v>181.33603102862199</v>
      </c>
      <c r="G37" s="567">
        <v>75.556679595258998</v>
      </c>
      <c r="H37" s="569">
        <v>21.7364</v>
      </c>
      <c r="I37" s="566">
        <v>80.792180000000002</v>
      </c>
      <c r="J37" s="567">
        <v>5.2355004047399998</v>
      </c>
      <c r="K37" s="570">
        <v>0.44553848201899998</v>
      </c>
    </row>
    <row r="38" spans="1:11" ht="14.4" customHeight="1" thickBot="1" x14ac:dyDescent="0.35">
      <c r="A38" s="588" t="s">
        <v>342</v>
      </c>
      <c r="B38" s="566">
        <v>0</v>
      </c>
      <c r="C38" s="566">
        <v>0.72094999999999998</v>
      </c>
      <c r="D38" s="567">
        <v>0.72094999999999998</v>
      </c>
      <c r="E38" s="576" t="s">
        <v>307</v>
      </c>
      <c r="F38" s="566">
        <v>0</v>
      </c>
      <c r="G38" s="567">
        <v>0</v>
      </c>
      <c r="H38" s="569">
        <v>0</v>
      </c>
      <c r="I38" s="566">
        <v>0</v>
      </c>
      <c r="J38" s="567">
        <v>0</v>
      </c>
      <c r="K38" s="577" t="s">
        <v>307</v>
      </c>
    </row>
    <row r="39" spans="1:11" ht="14.4" customHeight="1" thickBot="1" x14ac:dyDescent="0.35">
      <c r="A39" s="587" t="s">
        <v>343</v>
      </c>
      <c r="B39" s="571">
        <v>732.36899488167398</v>
      </c>
      <c r="C39" s="571">
        <v>715.10303999999996</v>
      </c>
      <c r="D39" s="572">
        <v>-17.265954881673</v>
      </c>
      <c r="E39" s="578">
        <v>0.97642451414099996</v>
      </c>
      <c r="F39" s="571">
        <v>667.98212078851702</v>
      </c>
      <c r="G39" s="572">
        <v>278.32588366188202</v>
      </c>
      <c r="H39" s="574">
        <v>64.228809999999996</v>
      </c>
      <c r="I39" s="571">
        <v>327.47775999999999</v>
      </c>
      <c r="J39" s="572">
        <v>49.151876338118001</v>
      </c>
      <c r="K39" s="579">
        <v>0.49024928932700002</v>
      </c>
    </row>
    <row r="40" spans="1:11" ht="14.4" customHeight="1" thickBot="1" x14ac:dyDescent="0.35">
      <c r="A40" s="588" t="s">
        <v>344</v>
      </c>
      <c r="B40" s="566">
        <v>89.106995610298</v>
      </c>
      <c r="C40" s="566">
        <v>24.857240000000001</v>
      </c>
      <c r="D40" s="567">
        <v>-64.249755610297996</v>
      </c>
      <c r="E40" s="568">
        <v>0.27895946698399998</v>
      </c>
      <c r="F40" s="566">
        <v>31.153518621806999</v>
      </c>
      <c r="G40" s="567">
        <v>12.980632759085999</v>
      </c>
      <c r="H40" s="569">
        <v>0</v>
      </c>
      <c r="I40" s="566">
        <v>2.1417000000000002</v>
      </c>
      <c r="J40" s="567">
        <v>-10.838932759085999</v>
      </c>
      <c r="K40" s="570">
        <v>6.8746648684999995E-2</v>
      </c>
    </row>
    <row r="41" spans="1:11" ht="14.4" customHeight="1" thickBot="1" x14ac:dyDescent="0.35">
      <c r="A41" s="588" t="s">
        <v>345</v>
      </c>
      <c r="B41" s="566">
        <v>17.419294411065</v>
      </c>
      <c r="C41" s="566">
        <v>18.445129999999999</v>
      </c>
      <c r="D41" s="567">
        <v>1.0258355889340001</v>
      </c>
      <c r="E41" s="568">
        <v>1.058890765878</v>
      </c>
      <c r="F41" s="566">
        <v>11.999999622029</v>
      </c>
      <c r="G41" s="567">
        <v>4.9999998425119996</v>
      </c>
      <c r="H41" s="569">
        <v>1.3512299999999999</v>
      </c>
      <c r="I41" s="566">
        <v>7.3295899999999996</v>
      </c>
      <c r="J41" s="567">
        <v>2.3295901574869999</v>
      </c>
      <c r="K41" s="570">
        <v>0.61079918590500004</v>
      </c>
    </row>
    <row r="42" spans="1:11" ht="14.4" customHeight="1" thickBot="1" x14ac:dyDescent="0.35">
      <c r="A42" s="588" t="s">
        <v>346</v>
      </c>
      <c r="B42" s="566">
        <v>383.41602812156401</v>
      </c>
      <c r="C42" s="566">
        <v>427.48145</v>
      </c>
      <c r="D42" s="567">
        <v>44.065421878435998</v>
      </c>
      <c r="E42" s="568">
        <v>1.114928481457</v>
      </c>
      <c r="F42" s="566">
        <v>388.31930531415202</v>
      </c>
      <c r="G42" s="567">
        <v>161.799710547563</v>
      </c>
      <c r="H42" s="569">
        <v>47.17315</v>
      </c>
      <c r="I42" s="566">
        <v>224.44757000000001</v>
      </c>
      <c r="J42" s="567">
        <v>62.647859452436997</v>
      </c>
      <c r="K42" s="570">
        <v>0.57799745448700002</v>
      </c>
    </row>
    <row r="43" spans="1:11" ht="14.4" customHeight="1" thickBot="1" x14ac:dyDescent="0.35">
      <c r="A43" s="588" t="s">
        <v>347</v>
      </c>
      <c r="B43" s="566">
        <v>52.102454856861002</v>
      </c>
      <c r="C43" s="566">
        <v>48.896949999999997</v>
      </c>
      <c r="D43" s="567">
        <v>-3.2055048568609998</v>
      </c>
      <c r="E43" s="568">
        <v>0.93847689392599998</v>
      </c>
      <c r="F43" s="566">
        <v>49.999998425120999</v>
      </c>
      <c r="G43" s="567">
        <v>20.833332677133001</v>
      </c>
      <c r="H43" s="569">
        <v>3.8301699999999999</v>
      </c>
      <c r="I43" s="566">
        <v>23.288260000000001</v>
      </c>
      <c r="J43" s="567">
        <v>2.4549273228659998</v>
      </c>
      <c r="K43" s="570">
        <v>0.46576521466999998</v>
      </c>
    </row>
    <row r="44" spans="1:11" ht="14.4" customHeight="1" thickBot="1" x14ac:dyDescent="0.35">
      <c r="A44" s="588" t="s">
        <v>348</v>
      </c>
      <c r="B44" s="566">
        <v>13.998865634469</v>
      </c>
      <c r="C44" s="566">
        <v>7.8736600000000001</v>
      </c>
      <c r="D44" s="567">
        <v>-6.1252056344690002</v>
      </c>
      <c r="E44" s="568">
        <v>0.56244985883800003</v>
      </c>
      <c r="F44" s="566">
        <v>13.999999559034</v>
      </c>
      <c r="G44" s="567">
        <v>5.8333331495970002</v>
      </c>
      <c r="H44" s="569">
        <v>0.45810000000000001</v>
      </c>
      <c r="I44" s="566">
        <v>1.16232</v>
      </c>
      <c r="J44" s="567">
        <v>-4.671013149597</v>
      </c>
      <c r="K44" s="570">
        <v>8.3022859756999995E-2</v>
      </c>
    </row>
    <row r="45" spans="1:11" ht="14.4" customHeight="1" thickBot="1" x14ac:dyDescent="0.35">
      <c r="A45" s="588" t="s">
        <v>349</v>
      </c>
      <c r="B45" s="566">
        <v>32.608968212968001</v>
      </c>
      <c r="C45" s="566">
        <v>8.3685700000000001</v>
      </c>
      <c r="D45" s="567">
        <v>-24.240398212968</v>
      </c>
      <c r="E45" s="568">
        <v>0.25663400158299998</v>
      </c>
      <c r="F45" s="566">
        <v>18.257129319158</v>
      </c>
      <c r="G45" s="567">
        <v>7.6071372163159996</v>
      </c>
      <c r="H45" s="569">
        <v>1.0257499999999999</v>
      </c>
      <c r="I45" s="566">
        <v>7.3652499999999996</v>
      </c>
      <c r="J45" s="567">
        <v>-0.24188721631599999</v>
      </c>
      <c r="K45" s="570">
        <v>0.40341774827999999</v>
      </c>
    </row>
    <row r="46" spans="1:11" ht="14.4" customHeight="1" thickBot="1" x14ac:dyDescent="0.35">
      <c r="A46" s="588" t="s">
        <v>350</v>
      </c>
      <c r="B46" s="566">
        <v>0.31204543962100001</v>
      </c>
      <c r="C46" s="566">
        <v>0</v>
      </c>
      <c r="D46" s="567">
        <v>-0.31204543962100001</v>
      </c>
      <c r="E46" s="568">
        <v>0</v>
      </c>
      <c r="F46" s="566">
        <v>0</v>
      </c>
      <c r="G46" s="567">
        <v>0</v>
      </c>
      <c r="H46" s="569">
        <v>0</v>
      </c>
      <c r="I46" s="566">
        <v>0</v>
      </c>
      <c r="J46" s="567">
        <v>0</v>
      </c>
      <c r="K46" s="570">
        <v>0</v>
      </c>
    </row>
    <row r="47" spans="1:11" ht="14.4" customHeight="1" thickBot="1" x14ac:dyDescent="0.35">
      <c r="A47" s="588" t="s">
        <v>351</v>
      </c>
      <c r="B47" s="566">
        <v>11.591398343683</v>
      </c>
      <c r="C47" s="566">
        <v>6.1226000000000003</v>
      </c>
      <c r="D47" s="567">
        <v>-5.4687983436819998</v>
      </c>
      <c r="E47" s="568">
        <v>0.52820201829500002</v>
      </c>
      <c r="F47" s="566">
        <v>6.9999997795160001</v>
      </c>
      <c r="G47" s="567">
        <v>2.9166665747980001</v>
      </c>
      <c r="H47" s="569">
        <v>0</v>
      </c>
      <c r="I47" s="566">
        <v>2.2590699999999999</v>
      </c>
      <c r="J47" s="567">
        <v>-0.65759657479800004</v>
      </c>
      <c r="K47" s="570">
        <v>0.32272429587899998</v>
      </c>
    </row>
    <row r="48" spans="1:11" ht="14.4" customHeight="1" thickBot="1" x14ac:dyDescent="0.35">
      <c r="A48" s="588" t="s">
        <v>352</v>
      </c>
      <c r="B48" s="566">
        <v>59.393970822455998</v>
      </c>
      <c r="C48" s="566">
        <v>34.55659</v>
      </c>
      <c r="D48" s="567">
        <v>-24.837380822456002</v>
      </c>
      <c r="E48" s="568">
        <v>0.58181982988299996</v>
      </c>
      <c r="F48" s="566">
        <v>56.252173013977</v>
      </c>
      <c r="G48" s="567">
        <v>23.43840542249</v>
      </c>
      <c r="H48" s="569">
        <v>2.5592000000000001</v>
      </c>
      <c r="I48" s="566">
        <v>16.289370000000002</v>
      </c>
      <c r="J48" s="567">
        <v>-7.1490354224899999</v>
      </c>
      <c r="K48" s="570">
        <v>0.28957761322300002</v>
      </c>
    </row>
    <row r="49" spans="1:11" ht="14.4" customHeight="1" thickBot="1" x14ac:dyDescent="0.35">
      <c r="A49" s="588" t="s">
        <v>353</v>
      </c>
      <c r="B49" s="566">
        <v>0</v>
      </c>
      <c r="C49" s="566">
        <v>13.46</v>
      </c>
      <c r="D49" s="567">
        <v>13.46</v>
      </c>
      <c r="E49" s="576" t="s">
        <v>307</v>
      </c>
      <c r="F49" s="566">
        <v>0</v>
      </c>
      <c r="G49" s="567">
        <v>0</v>
      </c>
      <c r="H49" s="569">
        <v>0</v>
      </c>
      <c r="I49" s="566">
        <v>0</v>
      </c>
      <c r="J49" s="567">
        <v>0</v>
      </c>
      <c r="K49" s="570">
        <v>0</v>
      </c>
    </row>
    <row r="50" spans="1:11" ht="14.4" customHeight="1" thickBot="1" x14ac:dyDescent="0.35">
      <c r="A50" s="588" t="s">
        <v>354</v>
      </c>
      <c r="B50" s="566">
        <v>72.418973428685007</v>
      </c>
      <c r="C50" s="566">
        <v>124.07777</v>
      </c>
      <c r="D50" s="567">
        <v>51.658796571313999</v>
      </c>
      <c r="E50" s="568">
        <v>1.7133323509780001</v>
      </c>
      <c r="F50" s="566">
        <v>90.999997133720001</v>
      </c>
      <c r="G50" s="567">
        <v>37.916665472383002</v>
      </c>
      <c r="H50" s="569">
        <v>7.8312099999999996</v>
      </c>
      <c r="I50" s="566">
        <v>43.194629999999997</v>
      </c>
      <c r="J50" s="567">
        <v>5.2779645276159997</v>
      </c>
      <c r="K50" s="570">
        <v>0.47466627868700001</v>
      </c>
    </row>
    <row r="51" spans="1:11" ht="14.4" customHeight="1" thickBot="1" x14ac:dyDescent="0.35">
      <c r="A51" s="588" t="s">
        <v>355</v>
      </c>
      <c r="B51" s="566">
        <v>0</v>
      </c>
      <c r="C51" s="566">
        <v>0.96308000000000005</v>
      </c>
      <c r="D51" s="567">
        <v>0.96308000000000005</v>
      </c>
      <c r="E51" s="576" t="s">
        <v>307</v>
      </c>
      <c r="F51" s="566">
        <v>0</v>
      </c>
      <c r="G51" s="567">
        <v>0</v>
      </c>
      <c r="H51" s="569">
        <v>0</v>
      </c>
      <c r="I51" s="566">
        <v>0</v>
      </c>
      <c r="J51" s="567">
        <v>0</v>
      </c>
      <c r="K51" s="577" t="s">
        <v>307</v>
      </c>
    </row>
    <row r="52" spans="1:11" ht="14.4" customHeight="1" thickBot="1" x14ac:dyDescent="0.35">
      <c r="A52" s="587" t="s">
        <v>356</v>
      </c>
      <c r="B52" s="571">
        <v>187.711070006216</v>
      </c>
      <c r="C52" s="571">
        <v>284.29178999999999</v>
      </c>
      <c r="D52" s="572">
        <v>96.580719993784001</v>
      </c>
      <c r="E52" s="578">
        <v>1.514517976966</v>
      </c>
      <c r="F52" s="571">
        <v>305.06823129983297</v>
      </c>
      <c r="G52" s="572">
        <v>127.111763041597</v>
      </c>
      <c r="H52" s="574">
        <v>30.29814</v>
      </c>
      <c r="I52" s="571">
        <v>205.95602</v>
      </c>
      <c r="J52" s="572">
        <v>78.844256958401999</v>
      </c>
      <c r="K52" s="579">
        <v>0.67511461000799999</v>
      </c>
    </row>
    <row r="53" spans="1:11" ht="14.4" customHeight="1" thickBot="1" x14ac:dyDescent="0.35">
      <c r="A53" s="588" t="s">
        <v>357</v>
      </c>
      <c r="B53" s="566">
        <v>4.3783310603940002</v>
      </c>
      <c r="C53" s="566">
        <v>0.224</v>
      </c>
      <c r="D53" s="567">
        <v>-4.154331060394</v>
      </c>
      <c r="E53" s="568">
        <v>5.1161046734000001E-2</v>
      </c>
      <c r="F53" s="566">
        <v>0.40410194688599999</v>
      </c>
      <c r="G53" s="567">
        <v>0.16837581120199999</v>
      </c>
      <c r="H53" s="569">
        <v>0.16500000000000001</v>
      </c>
      <c r="I53" s="566">
        <v>0.36499999999999999</v>
      </c>
      <c r="J53" s="567">
        <v>0.196624188797</v>
      </c>
      <c r="K53" s="570">
        <v>0.90323742018999997</v>
      </c>
    </row>
    <row r="54" spans="1:11" ht="14.4" customHeight="1" thickBot="1" x14ac:dyDescent="0.35">
      <c r="A54" s="588" t="s">
        <v>358</v>
      </c>
      <c r="B54" s="566">
        <v>175.331246961701</v>
      </c>
      <c r="C54" s="566">
        <v>277.98131000000001</v>
      </c>
      <c r="D54" s="567">
        <v>102.650063038299</v>
      </c>
      <c r="E54" s="568">
        <v>1.5854635999969999</v>
      </c>
      <c r="F54" s="566">
        <v>298.66412954193203</v>
      </c>
      <c r="G54" s="567">
        <v>124.443387309138</v>
      </c>
      <c r="H54" s="569">
        <v>27.118950000000002</v>
      </c>
      <c r="I54" s="566">
        <v>199.44306</v>
      </c>
      <c r="J54" s="567">
        <v>74.999672690861004</v>
      </c>
      <c r="K54" s="570">
        <v>0.66778377539300005</v>
      </c>
    </row>
    <row r="55" spans="1:11" ht="14.4" customHeight="1" thickBot="1" x14ac:dyDescent="0.35">
      <c r="A55" s="588" t="s">
        <v>359</v>
      </c>
      <c r="B55" s="566">
        <v>0</v>
      </c>
      <c r="C55" s="566">
        <v>0.84699999999999998</v>
      </c>
      <c r="D55" s="567">
        <v>0.84699999999999998</v>
      </c>
      <c r="E55" s="576" t="s">
        <v>326</v>
      </c>
      <c r="F55" s="566">
        <v>0</v>
      </c>
      <c r="G55" s="567">
        <v>0</v>
      </c>
      <c r="H55" s="569">
        <v>0.84699999999999998</v>
      </c>
      <c r="I55" s="566">
        <v>1.694</v>
      </c>
      <c r="J55" s="567">
        <v>1.694</v>
      </c>
      <c r="K55" s="577" t="s">
        <v>307</v>
      </c>
    </row>
    <row r="56" spans="1:11" ht="14.4" customHeight="1" thickBot="1" x14ac:dyDescent="0.35">
      <c r="A56" s="588" t="s">
        <v>360</v>
      </c>
      <c r="B56" s="566">
        <v>8.0014919841189993</v>
      </c>
      <c r="C56" s="566">
        <v>5.2394800000000004</v>
      </c>
      <c r="D56" s="567">
        <v>-2.7620119841189998</v>
      </c>
      <c r="E56" s="568">
        <v>0.654812878697</v>
      </c>
      <c r="F56" s="566">
        <v>5.9999998110139998</v>
      </c>
      <c r="G56" s="567">
        <v>2.4999999212559998</v>
      </c>
      <c r="H56" s="569">
        <v>2.1671900000000002</v>
      </c>
      <c r="I56" s="566">
        <v>4.4539600000000004</v>
      </c>
      <c r="J56" s="567">
        <v>1.953960078743</v>
      </c>
      <c r="K56" s="570">
        <v>0.742326690048</v>
      </c>
    </row>
    <row r="57" spans="1:11" ht="14.4" customHeight="1" thickBot="1" x14ac:dyDescent="0.35">
      <c r="A57" s="587" t="s">
        <v>361</v>
      </c>
      <c r="B57" s="571">
        <v>461.17556527500801</v>
      </c>
      <c r="C57" s="571">
        <v>471.65722</v>
      </c>
      <c r="D57" s="572">
        <v>10.481654724992</v>
      </c>
      <c r="E57" s="578">
        <v>1.0227281224639999</v>
      </c>
      <c r="F57" s="571">
        <v>541.99998292831299</v>
      </c>
      <c r="G57" s="572">
        <v>225.833326220131</v>
      </c>
      <c r="H57" s="574">
        <v>50.09064</v>
      </c>
      <c r="I57" s="571">
        <v>188.72556</v>
      </c>
      <c r="J57" s="572">
        <v>-37.107766220130003</v>
      </c>
      <c r="K57" s="579">
        <v>0.34820215118800002</v>
      </c>
    </row>
    <row r="58" spans="1:11" ht="14.4" customHeight="1" thickBot="1" x14ac:dyDescent="0.35">
      <c r="A58" s="588" t="s">
        <v>362</v>
      </c>
      <c r="B58" s="566">
        <v>0.124527266397</v>
      </c>
      <c r="C58" s="566">
        <v>9.1129999999999995</v>
      </c>
      <c r="D58" s="567">
        <v>8.9884727336020003</v>
      </c>
      <c r="E58" s="568">
        <v>73.180760034740999</v>
      </c>
      <c r="F58" s="566">
        <v>0</v>
      </c>
      <c r="G58" s="567">
        <v>0</v>
      </c>
      <c r="H58" s="569">
        <v>0</v>
      </c>
      <c r="I58" s="566">
        <v>0.1</v>
      </c>
      <c r="J58" s="567">
        <v>0.1</v>
      </c>
      <c r="K58" s="577" t="s">
        <v>307</v>
      </c>
    </row>
    <row r="59" spans="1:11" ht="14.4" customHeight="1" thickBot="1" x14ac:dyDescent="0.35">
      <c r="A59" s="588" t="s">
        <v>363</v>
      </c>
      <c r="B59" s="566">
        <v>21.071844208586</v>
      </c>
      <c r="C59" s="566">
        <v>13.12025</v>
      </c>
      <c r="D59" s="567">
        <v>-7.9515942085860001</v>
      </c>
      <c r="E59" s="568">
        <v>0.62264365046100001</v>
      </c>
      <c r="F59" s="566">
        <v>15.999999496038001</v>
      </c>
      <c r="G59" s="567">
        <v>6.666666456682</v>
      </c>
      <c r="H59" s="569">
        <v>3.4342800000000002</v>
      </c>
      <c r="I59" s="566">
        <v>6.0829399999999998</v>
      </c>
      <c r="J59" s="567">
        <v>-0.58372645668199996</v>
      </c>
      <c r="K59" s="570">
        <v>0.380183761974</v>
      </c>
    </row>
    <row r="60" spans="1:11" ht="14.4" customHeight="1" thickBot="1" x14ac:dyDescent="0.35">
      <c r="A60" s="588" t="s">
        <v>364</v>
      </c>
      <c r="B60" s="566">
        <v>0</v>
      </c>
      <c r="C60" s="566">
        <v>31.484999999999999</v>
      </c>
      <c r="D60" s="567">
        <v>31.484999999999999</v>
      </c>
      <c r="E60" s="576" t="s">
        <v>326</v>
      </c>
      <c r="F60" s="566">
        <v>20.999999338550001</v>
      </c>
      <c r="G60" s="567">
        <v>8.7499997243959999</v>
      </c>
      <c r="H60" s="569">
        <v>0</v>
      </c>
      <c r="I60" s="566">
        <v>0</v>
      </c>
      <c r="J60" s="567">
        <v>-8.7499997243959999</v>
      </c>
      <c r="K60" s="570">
        <v>0</v>
      </c>
    </row>
    <row r="61" spans="1:11" ht="14.4" customHeight="1" thickBot="1" x14ac:dyDescent="0.35">
      <c r="A61" s="588" t="s">
        <v>365</v>
      </c>
      <c r="B61" s="566">
        <v>0</v>
      </c>
      <c r="C61" s="566">
        <v>10.63158</v>
      </c>
      <c r="D61" s="567">
        <v>10.63158</v>
      </c>
      <c r="E61" s="576" t="s">
        <v>307</v>
      </c>
      <c r="F61" s="566">
        <v>16.999999464540998</v>
      </c>
      <c r="G61" s="567">
        <v>7.0833331102250003</v>
      </c>
      <c r="H61" s="569">
        <v>0.58316999999999997</v>
      </c>
      <c r="I61" s="566">
        <v>3.4990000000000001</v>
      </c>
      <c r="J61" s="567">
        <v>-3.5843331102249998</v>
      </c>
      <c r="K61" s="570">
        <v>0.20582353589399999</v>
      </c>
    </row>
    <row r="62" spans="1:11" ht="14.4" customHeight="1" thickBot="1" x14ac:dyDescent="0.35">
      <c r="A62" s="588" t="s">
        <v>366</v>
      </c>
      <c r="B62" s="566">
        <v>35.003366792005998</v>
      </c>
      <c r="C62" s="566">
        <v>43.491689999999998</v>
      </c>
      <c r="D62" s="567">
        <v>8.488323207993</v>
      </c>
      <c r="E62" s="568">
        <v>1.2425001931499999</v>
      </c>
      <c r="F62" s="566">
        <v>48.999998456618002</v>
      </c>
      <c r="G62" s="567">
        <v>20.416666023590999</v>
      </c>
      <c r="H62" s="569">
        <v>12.885949999999999</v>
      </c>
      <c r="I62" s="566">
        <v>32.649059999999999</v>
      </c>
      <c r="J62" s="567">
        <v>12.232393976408</v>
      </c>
      <c r="K62" s="570">
        <v>0.666307367925</v>
      </c>
    </row>
    <row r="63" spans="1:11" ht="14.4" customHeight="1" thickBot="1" x14ac:dyDescent="0.35">
      <c r="A63" s="588" t="s">
        <v>367</v>
      </c>
      <c r="B63" s="566">
        <v>257.99580582791702</v>
      </c>
      <c r="C63" s="566">
        <v>231.2379</v>
      </c>
      <c r="D63" s="567">
        <v>-26.757905827917</v>
      </c>
      <c r="E63" s="568">
        <v>0.89628550068000001</v>
      </c>
      <c r="F63" s="566">
        <v>284.999991023191</v>
      </c>
      <c r="G63" s="567">
        <v>118.74999625966301</v>
      </c>
      <c r="H63" s="569">
        <v>19.55677</v>
      </c>
      <c r="I63" s="566">
        <v>88.981909999999999</v>
      </c>
      <c r="J63" s="567">
        <v>-29.768086259661999</v>
      </c>
      <c r="K63" s="570">
        <v>0.31221723790400002</v>
      </c>
    </row>
    <row r="64" spans="1:11" ht="14.4" customHeight="1" thickBot="1" x14ac:dyDescent="0.35">
      <c r="A64" s="588" t="s">
        <v>368</v>
      </c>
      <c r="B64" s="566">
        <v>146.98002118010101</v>
      </c>
      <c r="C64" s="566">
        <v>132.5778</v>
      </c>
      <c r="D64" s="567">
        <v>-14.402221180101</v>
      </c>
      <c r="E64" s="568">
        <v>0.90201238872800005</v>
      </c>
      <c r="F64" s="566">
        <v>153.99999514937301</v>
      </c>
      <c r="G64" s="567">
        <v>64.166664645571998</v>
      </c>
      <c r="H64" s="569">
        <v>13.630470000000001</v>
      </c>
      <c r="I64" s="566">
        <v>57.412649999999999</v>
      </c>
      <c r="J64" s="567">
        <v>-6.754014645572</v>
      </c>
      <c r="K64" s="570">
        <v>0.37280942732700001</v>
      </c>
    </row>
    <row r="65" spans="1:11" ht="14.4" customHeight="1" thickBot="1" x14ac:dyDescent="0.35">
      <c r="A65" s="587" t="s">
        <v>369</v>
      </c>
      <c r="B65" s="571">
        <v>0</v>
      </c>
      <c r="C65" s="571">
        <v>71.103999999999999</v>
      </c>
      <c r="D65" s="572">
        <v>71.103999999999999</v>
      </c>
      <c r="E65" s="573" t="s">
        <v>307</v>
      </c>
      <c r="F65" s="571">
        <v>0</v>
      </c>
      <c r="G65" s="572">
        <v>0</v>
      </c>
      <c r="H65" s="574">
        <v>0</v>
      </c>
      <c r="I65" s="571">
        <v>1.8</v>
      </c>
      <c r="J65" s="572">
        <v>1.8</v>
      </c>
      <c r="K65" s="575" t="s">
        <v>307</v>
      </c>
    </row>
    <row r="66" spans="1:11" ht="14.4" customHeight="1" thickBot="1" x14ac:dyDescent="0.35">
      <c r="A66" s="588" t="s">
        <v>370</v>
      </c>
      <c r="B66" s="566">
        <v>0</v>
      </c>
      <c r="C66" s="566">
        <v>9.8369999999999997</v>
      </c>
      <c r="D66" s="567">
        <v>9.8369999999999997</v>
      </c>
      <c r="E66" s="576" t="s">
        <v>326</v>
      </c>
      <c r="F66" s="566">
        <v>0</v>
      </c>
      <c r="G66" s="567">
        <v>0</v>
      </c>
      <c r="H66" s="569">
        <v>0</v>
      </c>
      <c r="I66" s="566">
        <v>0</v>
      </c>
      <c r="J66" s="567">
        <v>0</v>
      </c>
      <c r="K66" s="577" t="s">
        <v>307</v>
      </c>
    </row>
    <row r="67" spans="1:11" ht="14.4" customHeight="1" thickBot="1" x14ac:dyDescent="0.35">
      <c r="A67" s="588" t="s">
        <v>371</v>
      </c>
      <c r="B67" s="566">
        <v>0</v>
      </c>
      <c r="C67" s="566">
        <v>61.267000000000003</v>
      </c>
      <c r="D67" s="567">
        <v>61.267000000000003</v>
      </c>
      <c r="E67" s="576" t="s">
        <v>307</v>
      </c>
      <c r="F67" s="566">
        <v>0</v>
      </c>
      <c r="G67" s="567">
        <v>0</v>
      </c>
      <c r="H67" s="569">
        <v>0</v>
      </c>
      <c r="I67" s="566">
        <v>1.8</v>
      </c>
      <c r="J67" s="567">
        <v>1.8</v>
      </c>
      <c r="K67" s="577" t="s">
        <v>307</v>
      </c>
    </row>
    <row r="68" spans="1:11" ht="14.4" customHeight="1" thickBot="1" x14ac:dyDescent="0.35">
      <c r="A68" s="586" t="s">
        <v>29</v>
      </c>
      <c r="B68" s="566">
        <v>985.28526246988395</v>
      </c>
      <c r="C68" s="566">
        <v>866.43000000000097</v>
      </c>
      <c r="D68" s="567">
        <v>-118.855262469883</v>
      </c>
      <c r="E68" s="568">
        <v>0.87936969424199996</v>
      </c>
      <c r="F68" s="566">
        <v>900.27926435130496</v>
      </c>
      <c r="G68" s="567">
        <v>375.11636014637702</v>
      </c>
      <c r="H68" s="569">
        <v>60.493000000000002</v>
      </c>
      <c r="I68" s="566">
        <v>451.21699999999998</v>
      </c>
      <c r="J68" s="567">
        <v>76.100639853622994</v>
      </c>
      <c r="K68" s="570">
        <v>0.50119670403000005</v>
      </c>
    </row>
    <row r="69" spans="1:11" ht="14.4" customHeight="1" thickBot="1" x14ac:dyDescent="0.35">
      <c r="A69" s="587" t="s">
        <v>372</v>
      </c>
      <c r="B69" s="571">
        <v>985.28526246988395</v>
      </c>
      <c r="C69" s="571">
        <v>866.43000000000097</v>
      </c>
      <c r="D69" s="572">
        <v>-118.855262469883</v>
      </c>
      <c r="E69" s="578">
        <v>0.87936969424199996</v>
      </c>
      <c r="F69" s="571">
        <v>900.27926435130496</v>
      </c>
      <c r="G69" s="572">
        <v>375.11636014637702</v>
      </c>
      <c r="H69" s="574">
        <v>60.493000000000002</v>
      </c>
      <c r="I69" s="571">
        <v>451.21699999999998</v>
      </c>
      <c r="J69" s="572">
        <v>76.100639853622994</v>
      </c>
      <c r="K69" s="579">
        <v>0.50119670403000005</v>
      </c>
    </row>
    <row r="70" spans="1:11" ht="14.4" customHeight="1" thickBot="1" x14ac:dyDescent="0.35">
      <c r="A70" s="588" t="s">
        <v>373</v>
      </c>
      <c r="B70" s="566">
        <v>330.48244515580802</v>
      </c>
      <c r="C70" s="566">
        <v>259.96300000000002</v>
      </c>
      <c r="D70" s="567">
        <v>-70.519445155808</v>
      </c>
      <c r="E70" s="568">
        <v>0.78661666848099998</v>
      </c>
      <c r="F70" s="566">
        <v>269.27928422627298</v>
      </c>
      <c r="G70" s="567">
        <v>112.19970176094699</v>
      </c>
      <c r="H70" s="569">
        <v>22.494</v>
      </c>
      <c r="I70" s="566">
        <v>106.261</v>
      </c>
      <c r="J70" s="567">
        <v>-5.9387017609469996</v>
      </c>
      <c r="K70" s="570">
        <v>0.39461260566400003</v>
      </c>
    </row>
    <row r="71" spans="1:11" ht="14.4" customHeight="1" thickBot="1" x14ac:dyDescent="0.35">
      <c r="A71" s="588" t="s">
        <v>374</v>
      </c>
      <c r="B71" s="566">
        <v>77.013848627643</v>
      </c>
      <c r="C71" s="566">
        <v>70.465000000000003</v>
      </c>
      <c r="D71" s="567">
        <v>-6.5488486276430002</v>
      </c>
      <c r="E71" s="568">
        <v>0.914965311507</v>
      </c>
      <c r="F71" s="566">
        <v>76.999997574686006</v>
      </c>
      <c r="G71" s="567">
        <v>32.083332322785999</v>
      </c>
      <c r="H71" s="569">
        <v>5.87</v>
      </c>
      <c r="I71" s="566">
        <v>30.311</v>
      </c>
      <c r="J71" s="567">
        <v>-1.7723323227859999</v>
      </c>
      <c r="K71" s="570">
        <v>0.39364936304800002</v>
      </c>
    </row>
    <row r="72" spans="1:11" ht="14.4" customHeight="1" thickBot="1" x14ac:dyDescent="0.35">
      <c r="A72" s="588" t="s">
        <v>375</v>
      </c>
      <c r="B72" s="566">
        <v>577.78896868643199</v>
      </c>
      <c r="C72" s="566">
        <v>536.00199999999995</v>
      </c>
      <c r="D72" s="567">
        <v>-41.786968686431003</v>
      </c>
      <c r="E72" s="568">
        <v>0.92767780114999998</v>
      </c>
      <c r="F72" s="566">
        <v>553.99998255034495</v>
      </c>
      <c r="G72" s="567">
        <v>230.83332606264401</v>
      </c>
      <c r="H72" s="569">
        <v>32.128999999999998</v>
      </c>
      <c r="I72" s="566">
        <v>314.64499999999998</v>
      </c>
      <c r="J72" s="567">
        <v>83.811673937356005</v>
      </c>
      <c r="K72" s="570">
        <v>0.56795128142600004</v>
      </c>
    </row>
    <row r="73" spans="1:11" ht="14.4" customHeight="1" thickBot="1" x14ac:dyDescent="0.35">
      <c r="A73" s="586" t="s">
        <v>30</v>
      </c>
      <c r="B73" s="566">
        <v>0.28993067455499999</v>
      </c>
      <c r="C73" s="566">
        <v>150.63424000000001</v>
      </c>
      <c r="D73" s="567">
        <v>150.34430932544501</v>
      </c>
      <c r="E73" s="568">
        <v>519.55261453801199</v>
      </c>
      <c r="F73" s="566">
        <v>160.45208961352799</v>
      </c>
      <c r="G73" s="567">
        <v>66.855037338970007</v>
      </c>
      <c r="H73" s="569">
        <v>8.2462099999999996</v>
      </c>
      <c r="I73" s="566">
        <v>46.960099999999997</v>
      </c>
      <c r="J73" s="567">
        <v>-19.894937338969999</v>
      </c>
      <c r="K73" s="570">
        <v>0.29267365799400002</v>
      </c>
    </row>
    <row r="74" spans="1:11" ht="14.4" customHeight="1" thickBot="1" x14ac:dyDescent="0.35">
      <c r="A74" s="587" t="s">
        <v>376</v>
      </c>
      <c r="B74" s="571">
        <v>0.28993067455499999</v>
      </c>
      <c r="C74" s="571">
        <v>150.63424000000001</v>
      </c>
      <c r="D74" s="572">
        <v>150.34430932544501</v>
      </c>
      <c r="E74" s="578">
        <v>519.55261453801199</v>
      </c>
      <c r="F74" s="571">
        <v>160.45208961352799</v>
      </c>
      <c r="G74" s="572">
        <v>66.855037338970007</v>
      </c>
      <c r="H74" s="574">
        <v>8.2462099999999996</v>
      </c>
      <c r="I74" s="571">
        <v>46.960099999999997</v>
      </c>
      <c r="J74" s="572">
        <v>-19.894937338969999</v>
      </c>
      <c r="K74" s="579">
        <v>0.29267365799400002</v>
      </c>
    </row>
    <row r="75" spans="1:11" ht="14.4" customHeight="1" thickBot="1" x14ac:dyDescent="0.35">
      <c r="A75" s="588" t="s">
        <v>377</v>
      </c>
      <c r="B75" s="566">
        <v>0.28993067455499999</v>
      </c>
      <c r="C75" s="566">
        <v>150.63424000000001</v>
      </c>
      <c r="D75" s="567">
        <v>150.34430932544501</v>
      </c>
      <c r="E75" s="568">
        <v>519.55261453801199</v>
      </c>
      <c r="F75" s="566">
        <v>160.45208961352799</v>
      </c>
      <c r="G75" s="567">
        <v>66.855037338970007</v>
      </c>
      <c r="H75" s="569">
        <v>8.2462099999999996</v>
      </c>
      <c r="I75" s="566">
        <v>46.960099999999997</v>
      </c>
      <c r="J75" s="567">
        <v>-19.894937338969999</v>
      </c>
      <c r="K75" s="570">
        <v>0.29267365799400002</v>
      </c>
    </row>
    <row r="76" spans="1:11" ht="14.4" customHeight="1" thickBot="1" x14ac:dyDescent="0.35">
      <c r="A76" s="589" t="s">
        <v>378</v>
      </c>
      <c r="B76" s="571">
        <v>3298.7644503813199</v>
      </c>
      <c r="C76" s="571">
        <v>2643.9469199999999</v>
      </c>
      <c r="D76" s="572">
        <v>-654.81753038131501</v>
      </c>
      <c r="E76" s="578">
        <v>0.80149612370599999</v>
      </c>
      <c r="F76" s="571">
        <v>2642.4908003574901</v>
      </c>
      <c r="G76" s="572">
        <v>1101.0378334822899</v>
      </c>
      <c r="H76" s="574">
        <v>283.69671</v>
      </c>
      <c r="I76" s="571">
        <v>1124.97163</v>
      </c>
      <c r="J76" s="572">
        <v>23.933796517714001</v>
      </c>
      <c r="K76" s="579">
        <v>0.42572395326700002</v>
      </c>
    </row>
    <row r="77" spans="1:11" ht="14.4" customHeight="1" thickBot="1" x14ac:dyDescent="0.35">
      <c r="A77" s="586" t="s">
        <v>32</v>
      </c>
      <c r="B77" s="566">
        <v>1207.37376973659</v>
      </c>
      <c r="C77" s="566">
        <v>634.85298</v>
      </c>
      <c r="D77" s="567">
        <v>-572.52078973658604</v>
      </c>
      <c r="E77" s="568">
        <v>0.52581312921699996</v>
      </c>
      <c r="F77" s="566">
        <v>901.75626412193401</v>
      </c>
      <c r="G77" s="567">
        <v>375.731776717473</v>
      </c>
      <c r="H77" s="569">
        <v>135.20473999999999</v>
      </c>
      <c r="I77" s="566">
        <v>396.10341</v>
      </c>
      <c r="J77" s="567">
        <v>20.371633282527</v>
      </c>
      <c r="K77" s="570">
        <v>0.43925773045299998</v>
      </c>
    </row>
    <row r="78" spans="1:11" ht="14.4" customHeight="1" thickBot="1" x14ac:dyDescent="0.35">
      <c r="A78" s="590" t="s">
        <v>379</v>
      </c>
      <c r="B78" s="566">
        <v>1207.37376973659</v>
      </c>
      <c r="C78" s="566">
        <v>634.85298</v>
      </c>
      <c r="D78" s="567">
        <v>-572.52078973658604</v>
      </c>
      <c r="E78" s="568">
        <v>0.52581312921699996</v>
      </c>
      <c r="F78" s="566">
        <v>901.75626412193401</v>
      </c>
      <c r="G78" s="567">
        <v>375.731776717473</v>
      </c>
      <c r="H78" s="569">
        <v>135.20473999999999</v>
      </c>
      <c r="I78" s="566">
        <v>396.10341</v>
      </c>
      <c r="J78" s="567">
        <v>20.371633282527</v>
      </c>
      <c r="K78" s="570">
        <v>0.43925773045299998</v>
      </c>
    </row>
    <row r="79" spans="1:11" ht="14.4" customHeight="1" thickBot="1" x14ac:dyDescent="0.35">
      <c r="A79" s="588" t="s">
        <v>380</v>
      </c>
      <c r="B79" s="566">
        <v>942.02569722538703</v>
      </c>
      <c r="C79" s="566">
        <v>323.49583000000001</v>
      </c>
      <c r="D79" s="567">
        <v>-618.52986722538606</v>
      </c>
      <c r="E79" s="568">
        <v>0.34340446439200001</v>
      </c>
      <c r="F79" s="566">
        <v>355.27395909866198</v>
      </c>
      <c r="G79" s="567">
        <v>148.03081629110901</v>
      </c>
      <c r="H79" s="569">
        <v>132.05481</v>
      </c>
      <c r="I79" s="566">
        <v>342.49993000000001</v>
      </c>
      <c r="J79" s="567">
        <v>194.469113708891</v>
      </c>
      <c r="K79" s="570">
        <v>0.96404456681499995</v>
      </c>
    </row>
    <row r="80" spans="1:11" ht="14.4" customHeight="1" thickBot="1" x14ac:dyDescent="0.35">
      <c r="A80" s="588" t="s">
        <v>381</v>
      </c>
      <c r="B80" s="566">
        <v>0</v>
      </c>
      <c r="C80" s="566">
        <v>1.331</v>
      </c>
      <c r="D80" s="567">
        <v>1.331</v>
      </c>
      <c r="E80" s="576" t="s">
        <v>326</v>
      </c>
      <c r="F80" s="566">
        <v>1.703490986941</v>
      </c>
      <c r="G80" s="567">
        <v>0.70978791122499996</v>
      </c>
      <c r="H80" s="569">
        <v>0</v>
      </c>
      <c r="I80" s="566">
        <v>0</v>
      </c>
      <c r="J80" s="567">
        <v>-0.70978791122499996</v>
      </c>
      <c r="K80" s="570">
        <v>0</v>
      </c>
    </row>
    <row r="81" spans="1:11" ht="14.4" customHeight="1" thickBot="1" x14ac:dyDescent="0.35">
      <c r="A81" s="588" t="s">
        <v>382</v>
      </c>
      <c r="B81" s="566">
        <v>54.271576825979999</v>
      </c>
      <c r="C81" s="566">
        <v>93.737560000000002</v>
      </c>
      <c r="D81" s="567">
        <v>39.465983174019001</v>
      </c>
      <c r="E81" s="568">
        <v>1.7271943341639999</v>
      </c>
      <c r="F81" s="566">
        <v>85.850568143909996</v>
      </c>
      <c r="G81" s="567">
        <v>35.771070059962</v>
      </c>
      <c r="H81" s="569">
        <v>0.78700000000000003</v>
      </c>
      <c r="I81" s="566">
        <v>31.925080000000001</v>
      </c>
      <c r="J81" s="567">
        <v>-3.8459900599619998</v>
      </c>
      <c r="K81" s="570">
        <v>0.371868010779</v>
      </c>
    </row>
    <row r="82" spans="1:11" ht="14.4" customHeight="1" thickBot="1" x14ac:dyDescent="0.35">
      <c r="A82" s="588" t="s">
        <v>383</v>
      </c>
      <c r="B82" s="566">
        <v>162.999724806541</v>
      </c>
      <c r="C82" s="566">
        <v>137.92957999999999</v>
      </c>
      <c r="D82" s="567">
        <v>-25.070144806540998</v>
      </c>
      <c r="E82" s="568">
        <v>0.84619517096499997</v>
      </c>
      <c r="F82" s="566">
        <v>335.99998941681503</v>
      </c>
      <c r="G82" s="567">
        <v>139.99999559034001</v>
      </c>
      <c r="H82" s="569">
        <v>0</v>
      </c>
      <c r="I82" s="566">
        <v>8.8343699999999998</v>
      </c>
      <c r="J82" s="567">
        <v>-131.16562559034</v>
      </c>
      <c r="K82" s="570">
        <v>2.6292768684999999E-2</v>
      </c>
    </row>
    <row r="83" spans="1:11" ht="14.4" customHeight="1" thickBot="1" x14ac:dyDescent="0.35">
      <c r="A83" s="588" t="s">
        <v>384</v>
      </c>
      <c r="B83" s="566">
        <v>48.076770878677998</v>
      </c>
      <c r="C83" s="566">
        <v>78.359009999999998</v>
      </c>
      <c r="D83" s="567">
        <v>30.282239121320998</v>
      </c>
      <c r="E83" s="568">
        <v>1.6298725677250001</v>
      </c>
      <c r="F83" s="566">
        <v>122.928256475605</v>
      </c>
      <c r="G83" s="567">
        <v>51.220106864835003</v>
      </c>
      <c r="H83" s="569">
        <v>2.36293</v>
      </c>
      <c r="I83" s="566">
        <v>12.84403</v>
      </c>
      <c r="J83" s="567">
        <v>-38.376076864834999</v>
      </c>
      <c r="K83" s="570">
        <v>0.10448395160100001</v>
      </c>
    </row>
    <row r="84" spans="1:11" ht="14.4" customHeight="1" thickBot="1" x14ac:dyDescent="0.35">
      <c r="A84" s="591" t="s">
        <v>33</v>
      </c>
      <c r="B84" s="571">
        <v>0</v>
      </c>
      <c r="C84" s="571">
        <v>67.460999999999999</v>
      </c>
      <c r="D84" s="572">
        <v>67.460999999999999</v>
      </c>
      <c r="E84" s="573" t="s">
        <v>307</v>
      </c>
      <c r="F84" s="571">
        <v>0</v>
      </c>
      <c r="G84" s="572">
        <v>0</v>
      </c>
      <c r="H84" s="574">
        <v>8.4559999999999995</v>
      </c>
      <c r="I84" s="571">
        <v>13.981</v>
      </c>
      <c r="J84" s="572">
        <v>13.981</v>
      </c>
      <c r="K84" s="575" t="s">
        <v>307</v>
      </c>
    </row>
    <row r="85" spans="1:11" ht="14.4" customHeight="1" thickBot="1" x14ac:dyDescent="0.35">
      <c r="A85" s="587" t="s">
        <v>385</v>
      </c>
      <c r="B85" s="571">
        <v>0</v>
      </c>
      <c r="C85" s="571">
        <v>60.194000000000003</v>
      </c>
      <c r="D85" s="572">
        <v>60.194000000000003</v>
      </c>
      <c r="E85" s="573" t="s">
        <v>307</v>
      </c>
      <c r="F85" s="571">
        <v>0</v>
      </c>
      <c r="G85" s="572">
        <v>0</v>
      </c>
      <c r="H85" s="574">
        <v>8.4559999999999995</v>
      </c>
      <c r="I85" s="571">
        <v>13.981</v>
      </c>
      <c r="J85" s="572">
        <v>13.981</v>
      </c>
      <c r="K85" s="575" t="s">
        <v>307</v>
      </c>
    </row>
    <row r="86" spans="1:11" ht="14.4" customHeight="1" thickBot="1" x14ac:dyDescent="0.35">
      <c r="A86" s="588" t="s">
        <v>386</v>
      </c>
      <c r="B86" s="566">
        <v>0</v>
      </c>
      <c r="C86" s="566">
        <v>55.573999999999998</v>
      </c>
      <c r="D86" s="567">
        <v>55.573999999999998</v>
      </c>
      <c r="E86" s="576" t="s">
        <v>307</v>
      </c>
      <c r="F86" s="566">
        <v>0</v>
      </c>
      <c r="G86" s="567">
        <v>0</v>
      </c>
      <c r="H86" s="569">
        <v>8.4559999999999995</v>
      </c>
      <c r="I86" s="566">
        <v>13.981</v>
      </c>
      <c r="J86" s="567">
        <v>13.981</v>
      </c>
      <c r="K86" s="577" t="s">
        <v>307</v>
      </c>
    </row>
    <row r="87" spans="1:11" ht="14.4" customHeight="1" thickBot="1" x14ac:dyDescent="0.35">
      <c r="A87" s="588" t="s">
        <v>387</v>
      </c>
      <c r="B87" s="566">
        <v>0</v>
      </c>
      <c r="C87" s="566">
        <v>4.62</v>
      </c>
      <c r="D87" s="567">
        <v>4.62</v>
      </c>
      <c r="E87" s="576" t="s">
        <v>307</v>
      </c>
      <c r="F87" s="566">
        <v>0</v>
      </c>
      <c r="G87" s="567">
        <v>0</v>
      </c>
      <c r="H87" s="569">
        <v>0</v>
      </c>
      <c r="I87" s="566">
        <v>0</v>
      </c>
      <c r="J87" s="567">
        <v>0</v>
      </c>
      <c r="K87" s="577" t="s">
        <v>307</v>
      </c>
    </row>
    <row r="88" spans="1:11" ht="14.4" customHeight="1" thickBot="1" x14ac:dyDescent="0.35">
      <c r="A88" s="587" t="s">
        <v>388</v>
      </c>
      <c r="B88" s="571">
        <v>0</v>
      </c>
      <c r="C88" s="571">
        <v>7.2670000000000003</v>
      </c>
      <c r="D88" s="572">
        <v>7.2670000000000003</v>
      </c>
      <c r="E88" s="573" t="s">
        <v>326</v>
      </c>
      <c r="F88" s="571">
        <v>0</v>
      </c>
      <c r="G88" s="572">
        <v>0</v>
      </c>
      <c r="H88" s="574">
        <v>0</v>
      </c>
      <c r="I88" s="571">
        <v>0</v>
      </c>
      <c r="J88" s="572">
        <v>0</v>
      </c>
      <c r="K88" s="579">
        <v>0</v>
      </c>
    </row>
    <row r="89" spans="1:11" ht="14.4" customHeight="1" thickBot="1" x14ac:dyDescent="0.35">
      <c r="A89" s="588" t="s">
        <v>389</v>
      </c>
      <c r="B89" s="566">
        <v>0</v>
      </c>
      <c r="C89" s="566">
        <v>7.2670000000000003</v>
      </c>
      <c r="D89" s="567">
        <v>7.2670000000000003</v>
      </c>
      <c r="E89" s="576" t="s">
        <v>326</v>
      </c>
      <c r="F89" s="566">
        <v>0</v>
      </c>
      <c r="G89" s="567">
        <v>0</v>
      </c>
      <c r="H89" s="569">
        <v>0</v>
      </c>
      <c r="I89" s="566">
        <v>0</v>
      </c>
      <c r="J89" s="567">
        <v>0</v>
      </c>
      <c r="K89" s="570">
        <v>0</v>
      </c>
    </row>
    <row r="90" spans="1:11" ht="14.4" customHeight="1" thickBot="1" x14ac:dyDescent="0.35">
      <c r="A90" s="586" t="s">
        <v>34</v>
      </c>
      <c r="B90" s="566">
        <v>2091.3906806447299</v>
      </c>
      <c r="C90" s="566">
        <v>1941.63294</v>
      </c>
      <c r="D90" s="567">
        <v>-149.75774064472901</v>
      </c>
      <c r="E90" s="568">
        <v>0.92839322560299997</v>
      </c>
      <c r="F90" s="566">
        <v>1740.73453623555</v>
      </c>
      <c r="G90" s="567">
        <v>725.306056764814</v>
      </c>
      <c r="H90" s="569">
        <v>140.03596999999999</v>
      </c>
      <c r="I90" s="566">
        <v>714.88721999999996</v>
      </c>
      <c r="J90" s="567">
        <v>-10.418836764812999</v>
      </c>
      <c r="K90" s="570">
        <v>0.41068135612700002</v>
      </c>
    </row>
    <row r="91" spans="1:11" ht="14.4" customHeight="1" thickBot="1" x14ac:dyDescent="0.35">
      <c r="A91" s="587" t="s">
        <v>390</v>
      </c>
      <c r="B91" s="571">
        <v>0.944780010005</v>
      </c>
      <c r="C91" s="571">
        <v>1.194</v>
      </c>
      <c r="D91" s="572">
        <v>0.249219989994</v>
      </c>
      <c r="E91" s="578">
        <v>1.2637862649030001</v>
      </c>
      <c r="F91" s="571">
        <v>0.87865861429600001</v>
      </c>
      <c r="G91" s="572">
        <v>0.36610775595700001</v>
      </c>
      <c r="H91" s="574">
        <v>0.13700000000000001</v>
      </c>
      <c r="I91" s="571">
        <v>1.256</v>
      </c>
      <c r="J91" s="572">
        <v>0.88989224404199996</v>
      </c>
      <c r="K91" s="579">
        <v>1.4294516431790001</v>
      </c>
    </row>
    <row r="92" spans="1:11" ht="14.4" customHeight="1" thickBot="1" x14ac:dyDescent="0.35">
      <c r="A92" s="588" t="s">
        <v>391</v>
      </c>
      <c r="B92" s="566">
        <v>0.944780010005</v>
      </c>
      <c r="C92" s="566">
        <v>1.194</v>
      </c>
      <c r="D92" s="567">
        <v>0.249219989994</v>
      </c>
      <c r="E92" s="568">
        <v>1.2637862649030001</v>
      </c>
      <c r="F92" s="566">
        <v>0.87865861429600001</v>
      </c>
      <c r="G92" s="567">
        <v>0.36610775595700001</v>
      </c>
      <c r="H92" s="569">
        <v>0.13700000000000001</v>
      </c>
      <c r="I92" s="566">
        <v>1.256</v>
      </c>
      <c r="J92" s="567">
        <v>0.88989224404199996</v>
      </c>
      <c r="K92" s="570">
        <v>1.4294516431790001</v>
      </c>
    </row>
    <row r="93" spans="1:11" ht="14.4" customHeight="1" thickBot="1" x14ac:dyDescent="0.35">
      <c r="A93" s="587" t="s">
        <v>392</v>
      </c>
      <c r="B93" s="571">
        <v>37.315353315736999</v>
      </c>
      <c r="C93" s="571">
        <v>29.636900000000001</v>
      </c>
      <c r="D93" s="572">
        <v>-7.6784533157370003</v>
      </c>
      <c r="E93" s="578">
        <v>0.79422804198600006</v>
      </c>
      <c r="F93" s="571">
        <v>30.439567756462001</v>
      </c>
      <c r="G93" s="572">
        <v>12.683153231859</v>
      </c>
      <c r="H93" s="574">
        <v>1.4333800000000001</v>
      </c>
      <c r="I93" s="571">
        <v>12.15851</v>
      </c>
      <c r="J93" s="572">
        <v>-0.52464323185899997</v>
      </c>
      <c r="K93" s="579">
        <v>0.39943109893200002</v>
      </c>
    </row>
    <row r="94" spans="1:11" ht="14.4" customHeight="1" thickBot="1" x14ac:dyDescent="0.35">
      <c r="A94" s="588" t="s">
        <v>393</v>
      </c>
      <c r="B94" s="566">
        <v>14.443235653606999</v>
      </c>
      <c r="C94" s="566">
        <v>13.382899999999999</v>
      </c>
      <c r="D94" s="567">
        <v>-1.0603356536070001</v>
      </c>
      <c r="E94" s="568">
        <v>0.92658600336899999</v>
      </c>
      <c r="F94" s="566">
        <v>13.421645294081999</v>
      </c>
      <c r="G94" s="567">
        <v>5.5923522058669999</v>
      </c>
      <c r="H94" s="569">
        <v>0.89129999999999998</v>
      </c>
      <c r="I94" s="566">
        <v>5.9561000000000002</v>
      </c>
      <c r="J94" s="567">
        <v>0.36374779413199998</v>
      </c>
      <c r="K94" s="570">
        <v>0.44376824670100001</v>
      </c>
    </row>
    <row r="95" spans="1:11" ht="14.4" customHeight="1" thickBot="1" x14ac:dyDescent="0.35">
      <c r="A95" s="588" t="s">
        <v>394</v>
      </c>
      <c r="B95" s="566">
        <v>22.872117662130002</v>
      </c>
      <c r="C95" s="566">
        <v>16.254000000000001</v>
      </c>
      <c r="D95" s="567">
        <v>-6.6181176621300004</v>
      </c>
      <c r="E95" s="568">
        <v>0.71064692129100004</v>
      </c>
      <c r="F95" s="566">
        <v>17.017922462379001</v>
      </c>
      <c r="G95" s="567">
        <v>7.0908010259910004</v>
      </c>
      <c r="H95" s="569">
        <v>0.54208000000000001</v>
      </c>
      <c r="I95" s="566">
        <v>6.2024100000000004</v>
      </c>
      <c r="J95" s="567">
        <v>-0.88839102599099995</v>
      </c>
      <c r="K95" s="570">
        <v>0.364463406958</v>
      </c>
    </row>
    <row r="96" spans="1:11" ht="14.4" customHeight="1" thickBot="1" x14ac:dyDescent="0.35">
      <c r="A96" s="587" t="s">
        <v>395</v>
      </c>
      <c r="B96" s="571">
        <v>57.907926160911003</v>
      </c>
      <c r="C96" s="571">
        <v>80.646569999999997</v>
      </c>
      <c r="D96" s="572">
        <v>22.738643839087999</v>
      </c>
      <c r="E96" s="578">
        <v>1.392668937511</v>
      </c>
      <c r="F96" s="571">
        <v>64.999997952656003</v>
      </c>
      <c r="G96" s="572">
        <v>27.083332480273</v>
      </c>
      <c r="H96" s="574">
        <v>1.41317</v>
      </c>
      <c r="I96" s="571">
        <v>68.44838</v>
      </c>
      <c r="J96" s="572">
        <v>41.365047519725998</v>
      </c>
      <c r="K96" s="579">
        <v>1.053052033168</v>
      </c>
    </row>
    <row r="97" spans="1:11" ht="14.4" customHeight="1" thickBot="1" x14ac:dyDescent="0.35">
      <c r="A97" s="588" t="s">
        <v>396</v>
      </c>
      <c r="B97" s="566">
        <v>11.885925959468</v>
      </c>
      <c r="C97" s="566">
        <v>12.69</v>
      </c>
      <c r="D97" s="567">
        <v>0.80407404053099996</v>
      </c>
      <c r="E97" s="568">
        <v>1.067649255369</v>
      </c>
      <c r="F97" s="566">
        <v>15.999999496038001</v>
      </c>
      <c r="G97" s="567">
        <v>6.666666456682</v>
      </c>
      <c r="H97" s="569">
        <v>0</v>
      </c>
      <c r="I97" s="566">
        <v>8.3699999999999992</v>
      </c>
      <c r="J97" s="567">
        <v>1.703333543317</v>
      </c>
      <c r="K97" s="570">
        <v>0.52312501647700005</v>
      </c>
    </row>
    <row r="98" spans="1:11" ht="14.4" customHeight="1" thickBot="1" x14ac:dyDescent="0.35">
      <c r="A98" s="588" t="s">
        <v>397</v>
      </c>
      <c r="B98" s="566">
        <v>46.022000201442999</v>
      </c>
      <c r="C98" s="566">
        <v>67.956569999999999</v>
      </c>
      <c r="D98" s="567">
        <v>21.934569798556002</v>
      </c>
      <c r="E98" s="568">
        <v>1.476610527629</v>
      </c>
      <c r="F98" s="566">
        <v>48.999998456618002</v>
      </c>
      <c r="G98" s="567">
        <v>20.41666602359</v>
      </c>
      <c r="H98" s="569">
        <v>1.41317</v>
      </c>
      <c r="I98" s="566">
        <v>60.078380000000003</v>
      </c>
      <c r="J98" s="567">
        <v>39.661713976408997</v>
      </c>
      <c r="K98" s="570">
        <v>1.226089426373</v>
      </c>
    </row>
    <row r="99" spans="1:11" ht="14.4" customHeight="1" thickBot="1" x14ac:dyDescent="0.35">
      <c r="A99" s="587" t="s">
        <v>398</v>
      </c>
      <c r="B99" s="571">
        <v>0</v>
      </c>
      <c r="C99" s="571">
        <v>0</v>
      </c>
      <c r="D99" s="572">
        <v>0</v>
      </c>
      <c r="E99" s="578">
        <v>1</v>
      </c>
      <c r="F99" s="571">
        <v>0</v>
      </c>
      <c r="G99" s="572">
        <v>0</v>
      </c>
      <c r="H99" s="574">
        <v>0</v>
      </c>
      <c r="I99" s="571">
        <v>7.6</v>
      </c>
      <c r="J99" s="572">
        <v>7.6</v>
      </c>
      <c r="K99" s="575" t="s">
        <v>326</v>
      </c>
    </row>
    <row r="100" spans="1:11" ht="14.4" customHeight="1" thickBot="1" x14ac:dyDescent="0.35">
      <c r="A100" s="588" t="s">
        <v>399</v>
      </c>
      <c r="B100" s="566">
        <v>0</v>
      </c>
      <c r="C100" s="566">
        <v>0</v>
      </c>
      <c r="D100" s="567">
        <v>0</v>
      </c>
      <c r="E100" s="568">
        <v>1</v>
      </c>
      <c r="F100" s="566">
        <v>0</v>
      </c>
      <c r="G100" s="567">
        <v>0</v>
      </c>
      <c r="H100" s="569">
        <v>0</v>
      </c>
      <c r="I100" s="566">
        <v>7.6</v>
      </c>
      <c r="J100" s="567">
        <v>7.6</v>
      </c>
      <c r="K100" s="577" t="s">
        <v>326</v>
      </c>
    </row>
    <row r="101" spans="1:11" ht="14.4" customHeight="1" thickBot="1" x14ac:dyDescent="0.35">
      <c r="A101" s="587" t="s">
        <v>400</v>
      </c>
      <c r="B101" s="571">
        <v>852.50549711374401</v>
      </c>
      <c r="C101" s="571">
        <v>749.39660000000003</v>
      </c>
      <c r="D101" s="572">
        <v>-103.108897113743</v>
      </c>
      <c r="E101" s="578">
        <v>0.87905192698099999</v>
      </c>
      <c r="F101" s="571">
        <v>792.09001372198099</v>
      </c>
      <c r="G101" s="572">
        <v>330.03750571749202</v>
      </c>
      <c r="H101" s="574">
        <v>77.349339999999998</v>
      </c>
      <c r="I101" s="571">
        <v>388.38011</v>
      </c>
      <c r="J101" s="572">
        <v>58.342604282507999</v>
      </c>
      <c r="K101" s="579">
        <v>0.490323199727</v>
      </c>
    </row>
    <row r="102" spans="1:11" ht="14.4" customHeight="1" thickBot="1" x14ac:dyDescent="0.35">
      <c r="A102" s="588" t="s">
        <v>401</v>
      </c>
      <c r="B102" s="566">
        <v>707.09144454745604</v>
      </c>
      <c r="C102" s="566">
        <v>593.75554</v>
      </c>
      <c r="D102" s="567">
        <v>-113.335904547456</v>
      </c>
      <c r="E102" s="568">
        <v>0.83971535022599997</v>
      </c>
      <c r="F102" s="566">
        <v>636.110810397264</v>
      </c>
      <c r="G102" s="567">
        <v>265.04617099886002</v>
      </c>
      <c r="H102" s="569">
        <v>63.754539999999999</v>
      </c>
      <c r="I102" s="566">
        <v>318.77269000000001</v>
      </c>
      <c r="J102" s="567">
        <v>53.726519001139998</v>
      </c>
      <c r="K102" s="570">
        <v>0.501127609827</v>
      </c>
    </row>
    <row r="103" spans="1:11" ht="14.4" customHeight="1" thickBot="1" x14ac:dyDescent="0.35">
      <c r="A103" s="588" t="s">
        <v>402</v>
      </c>
      <c r="B103" s="566">
        <v>145.41405256628701</v>
      </c>
      <c r="C103" s="566">
        <v>155.64106000000001</v>
      </c>
      <c r="D103" s="567">
        <v>10.227007433712</v>
      </c>
      <c r="E103" s="568">
        <v>1.0703302552480001</v>
      </c>
      <c r="F103" s="566">
        <v>155.97920332471699</v>
      </c>
      <c r="G103" s="567">
        <v>64.991334718632004</v>
      </c>
      <c r="H103" s="569">
        <v>13.594799999999999</v>
      </c>
      <c r="I103" s="566">
        <v>69.607420000000005</v>
      </c>
      <c r="J103" s="567">
        <v>4.6160852813669999</v>
      </c>
      <c r="K103" s="570">
        <v>0.446260902199</v>
      </c>
    </row>
    <row r="104" spans="1:11" ht="14.4" customHeight="1" thickBot="1" x14ac:dyDescent="0.35">
      <c r="A104" s="587" t="s">
        <v>403</v>
      </c>
      <c r="B104" s="571">
        <v>1142.7171240443299</v>
      </c>
      <c r="C104" s="571">
        <v>1078.4852699999999</v>
      </c>
      <c r="D104" s="572">
        <v>-64.231854044330007</v>
      </c>
      <c r="E104" s="578">
        <v>0.94379024108999998</v>
      </c>
      <c r="F104" s="571">
        <v>852.32629819015699</v>
      </c>
      <c r="G104" s="572">
        <v>355.13595757923201</v>
      </c>
      <c r="H104" s="574">
        <v>59.70308</v>
      </c>
      <c r="I104" s="571">
        <v>237.04422</v>
      </c>
      <c r="J104" s="572">
        <v>-118.091737579232</v>
      </c>
      <c r="K104" s="579">
        <v>0.27811440349</v>
      </c>
    </row>
    <row r="105" spans="1:11" ht="14.4" customHeight="1" thickBot="1" x14ac:dyDescent="0.35">
      <c r="A105" s="588" t="s">
        <v>404</v>
      </c>
      <c r="B105" s="566">
        <v>7.8338741739779998</v>
      </c>
      <c r="C105" s="566">
        <v>0</v>
      </c>
      <c r="D105" s="567">
        <v>-7.8338741739779998</v>
      </c>
      <c r="E105" s="568">
        <v>0</v>
      </c>
      <c r="F105" s="566">
        <v>19.999999370047998</v>
      </c>
      <c r="G105" s="567">
        <v>8.3333330708529996</v>
      </c>
      <c r="H105" s="569">
        <v>0</v>
      </c>
      <c r="I105" s="566">
        <v>0</v>
      </c>
      <c r="J105" s="567">
        <v>-8.3333330708529996</v>
      </c>
      <c r="K105" s="570">
        <v>0</v>
      </c>
    </row>
    <row r="106" spans="1:11" ht="14.4" customHeight="1" thickBot="1" x14ac:dyDescent="0.35">
      <c r="A106" s="588" t="s">
        <v>405</v>
      </c>
      <c r="B106" s="566">
        <v>930.042500380805</v>
      </c>
      <c r="C106" s="566">
        <v>925.90891999999997</v>
      </c>
      <c r="D106" s="567">
        <v>-4.1335803808050002</v>
      </c>
      <c r="E106" s="568">
        <v>0.99555549302400004</v>
      </c>
      <c r="F106" s="566">
        <v>659.89001860855603</v>
      </c>
      <c r="G106" s="567">
        <v>274.95417442023199</v>
      </c>
      <c r="H106" s="569">
        <v>47.226779999999998</v>
      </c>
      <c r="I106" s="566">
        <v>145.92383000000001</v>
      </c>
      <c r="J106" s="567">
        <v>-129.03034442023201</v>
      </c>
      <c r="K106" s="570">
        <v>0.22113356147900001</v>
      </c>
    </row>
    <row r="107" spans="1:11" ht="14.4" customHeight="1" thickBot="1" x14ac:dyDescent="0.35">
      <c r="A107" s="588" t="s">
        <v>406</v>
      </c>
      <c r="B107" s="566">
        <v>5.0018220837029999</v>
      </c>
      <c r="C107" s="566">
        <v>3.3915999999999999</v>
      </c>
      <c r="D107" s="567">
        <v>-1.6102220837029999</v>
      </c>
      <c r="E107" s="568">
        <v>0.67807289888400002</v>
      </c>
      <c r="F107" s="566">
        <v>1.999999937004</v>
      </c>
      <c r="G107" s="567">
        <v>0.83333330708499997</v>
      </c>
      <c r="H107" s="569">
        <v>0</v>
      </c>
      <c r="I107" s="566">
        <v>2.6334</v>
      </c>
      <c r="J107" s="567">
        <v>1.8000666929139999</v>
      </c>
      <c r="K107" s="570">
        <v>1.316700041472</v>
      </c>
    </row>
    <row r="108" spans="1:11" ht="14.4" customHeight="1" thickBot="1" x14ac:dyDescent="0.35">
      <c r="A108" s="588" t="s">
        <v>407</v>
      </c>
      <c r="B108" s="566">
        <v>23.527871188203999</v>
      </c>
      <c r="C108" s="566">
        <v>1.6072299999999999</v>
      </c>
      <c r="D108" s="567">
        <v>-21.920641188204002</v>
      </c>
      <c r="E108" s="568">
        <v>6.8311747677000004E-2</v>
      </c>
      <c r="F108" s="566">
        <v>1.9600447279769999</v>
      </c>
      <c r="G108" s="567">
        <v>0.81668530332300004</v>
      </c>
      <c r="H108" s="569">
        <v>0</v>
      </c>
      <c r="I108" s="566">
        <v>30.151209999999999</v>
      </c>
      <c r="J108" s="567">
        <v>29.334524696675999</v>
      </c>
      <c r="K108" s="570">
        <v>15.382919363841999</v>
      </c>
    </row>
    <row r="109" spans="1:11" ht="14.4" customHeight="1" thickBot="1" x14ac:dyDescent="0.35">
      <c r="A109" s="588" t="s">
        <v>408</v>
      </c>
      <c r="B109" s="566">
        <v>176.31105621763999</v>
      </c>
      <c r="C109" s="566">
        <v>147.57751999999999</v>
      </c>
      <c r="D109" s="567">
        <v>-28.733536217640001</v>
      </c>
      <c r="E109" s="568">
        <v>0.83702930017999999</v>
      </c>
      <c r="F109" s="566">
        <v>168.47623554657</v>
      </c>
      <c r="G109" s="567">
        <v>70.198431477737003</v>
      </c>
      <c r="H109" s="569">
        <v>12.4763</v>
      </c>
      <c r="I109" s="566">
        <v>58.33578</v>
      </c>
      <c r="J109" s="567">
        <v>-11.862651477737</v>
      </c>
      <c r="K109" s="570">
        <v>0.34625524371799998</v>
      </c>
    </row>
    <row r="110" spans="1:11" ht="14.4" customHeight="1" thickBot="1" x14ac:dyDescent="0.35">
      <c r="A110" s="587" t="s">
        <v>409</v>
      </c>
      <c r="B110" s="571">
        <v>0</v>
      </c>
      <c r="C110" s="571">
        <v>2.2736000000000001</v>
      </c>
      <c r="D110" s="572">
        <v>2.2736000000000001</v>
      </c>
      <c r="E110" s="573" t="s">
        <v>307</v>
      </c>
      <c r="F110" s="571">
        <v>0</v>
      </c>
      <c r="G110" s="572">
        <v>0</v>
      </c>
      <c r="H110" s="574">
        <v>0</v>
      </c>
      <c r="I110" s="571">
        <v>0</v>
      </c>
      <c r="J110" s="572">
        <v>0</v>
      </c>
      <c r="K110" s="575" t="s">
        <v>307</v>
      </c>
    </row>
    <row r="111" spans="1:11" ht="14.4" customHeight="1" thickBot="1" x14ac:dyDescent="0.35">
      <c r="A111" s="588" t="s">
        <v>410</v>
      </c>
      <c r="B111" s="566">
        <v>0</v>
      </c>
      <c r="C111" s="566">
        <v>2.2736000000000001</v>
      </c>
      <c r="D111" s="567">
        <v>2.2736000000000001</v>
      </c>
      <c r="E111" s="576" t="s">
        <v>307</v>
      </c>
      <c r="F111" s="566">
        <v>0</v>
      </c>
      <c r="G111" s="567">
        <v>0</v>
      </c>
      <c r="H111" s="569">
        <v>0</v>
      </c>
      <c r="I111" s="566">
        <v>0</v>
      </c>
      <c r="J111" s="567">
        <v>0</v>
      </c>
      <c r="K111" s="577" t="s">
        <v>307</v>
      </c>
    </row>
    <row r="112" spans="1:11" ht="14.4" customHeight="1" thickBot="1" x14ac:dyDescent="0.35">
      <c r="A112" s="585" t="s">
        <v>35</v>
      </c>
      <c r="B112" s="566">
        <v>39682.195760504997</v>
      </c>
      <c r="C112" s="566">
        <v>41337.25361</v>
      </c>
      <c r="D112" s="567">
        <v>1655.057849495</v>
      </c>
      <c r="E112" s="568">
        <v>1.041707819282</v>
      </c>
      <c r="F112" s="566">
        <v>40706.998717828203</v>
      </c>
      <c r="G112" s="567">
        <v>16961.249465761699</v>
      </c>
      <c r="H112" s="569">
        <v>3708.7639399999998</v>
      </c>
      <c r="I112" s="566">
        <v>17671.260859999999</v>
      </c>
      <c r="J112" s="567">
        <v>710.01139423827794</v>
      </c>
      <c r="K112" s="570">
        <v>0.43410866476499999</v>
      </c>
    </row>
    <row r="113" spans="1:11" ht="14.4" customHeight="1" thickBot="1" x14ac:dyDescent="0.35">
      <c r="A113" s="591" t="s">
        <v>411</v>
      </c>
      <c r="B113" s="571">
        <v>29446.999999999502</v>
      </c>
      <c r="C113" s="571">
        <v>30704.31</v>
      </c>
      <c r="D113" s="572">
        <v>1257.31000000056</v>
      </c>
      <c r="E113" s="578">
        <v>1.042697388528</v>
      </c>
      <c r="F113" s="571">
        <v>30208.999048489699</v>
      </c>
      <c r="G113" s="572">
        <v>12587.0829368707</v>
      </c>
      <c r="H113" s="574">
        <v>2756.2420000000002</v>
      </c>
      <c r="I113" s="571">
        <v>13128.683999999999</v>
      </c>
      <c r="J113" s="572">
        <v>541.60106312929395</v>
      </c>
      <c r="K113" s="579">
        <v>0.43459513434800001</v>
      </c>
    </row>
    <row r="114" spans="1:11" ht="14.4" customHeight="1" thickBot="1" x14ac:dyDescent="0.35">
      <c r="A114" s="587" t="s">
        <v>412</v>
      </c>
      <c r="B114" s="571">
        <v>29241.999999999502</v>
      </c>
      <c r="C114" s="571">
        <v>30546.615000000002</v>
      </c>
      <c r="D114" s="572">
        <v>1304.61500000055</v>
      </c>
      <c r="E114" s="578">
        <v>1.0446144244569999</v>
      </c>
      <c r="F114" s="571">
        <v>29999.999055072702</v>
      </c>
      <c r="G114" s="572">
        <v>12499.9996062803</v>
      </c>
      <c r="H114" s="574">
        <v>2707.261</v>
      </c>
      <c r="I114" s="571">
        <v>12943.919</v>
      </c>
      <c r="J114" s="572">
        <v>443.91939371971398</v>
      </c>
      <c r="K114" s="579">
        <v>0.43146398025600002</v>
      </c>
    </row>
    <row r="115" spans="1:11" ht="14.4" customHeight="1" thickBot="1" x14ac:dyDescent="0.35">
      <c r="A115" s="588" t="s">
        <v>413</v>
      </c>
      <c r="B115" s="566">
        <v>29241.999999999502</v>
      </c>
      <c r="C115" s="566">
        <v>30546.615000000002</v>
      </c>
      <c r="D115" s="567">
        <v>1304.61500000055</v>
      </c>
      <c r="E115" s="568">
        <v>1.0446144244569999</v>
      </c>
      <c r="F115" s="566">
        <v>29999.999055072702</v>
      </c>
      <c r="G115" s="567">
        <v>12499.9996062803</v>
      </c>
      <c r="H115" s="569">
        <v>2707.261</v>
      </c>
      <c r="I115" s="566">
        <v>12943.919</v>
      </c>
      <c r="J115" s="567">
        <v>443.91939371971398</v>
      </c>
      <c r="K115" s="570">
        <v>0.43146398025600002</v>
      </c>
    </row>
    <row r="116" spans="1:11" ht="14.4" customHeight="1" thickBot="1" x14ac:dyDescent="0.35">
      <c r="A116" s="587" t="s">
        <v>414</v>
      </c>
      <c r="B116" s="571">
        <v>108.999999999998</v>
      </c>
      <c r="C116" s="571">
        <v>107.7</v>
      </c>
      <c r="D116" s="572">
        <v>-1.299999999997</v>
      </c>
      <c r="E116" s="578">
        <v>0.98807339449499998</v>
      </c>
      <c r="F116" s="571">
        <v>114.999996377779</v>
      </c>
      <c r="G116" s="572">
        <v>47.916665157407003</v>
      </c>
      <c r="H116" s="574">
        <v>39.265000000000001</v>
      </c>
      <c r="I116" s="571">
        <v>136.44999999999999</v>
      </c>
      <c r="J116" s="572">
        <v>88.533334842591998</v>
      </c>
      <c r="K116" s="579">
        <v>1.1865217765030001</v>
      </c>
    </row>
    <row r="117" spans="1:11" ht="14.4" customHeight="1" thickBot="1" x14ac:dyDescent="0.35">
      <c r="A117" s="588" t="s">
        <v>415</v>
      </c>
      <c r="B117" s="566">
        <v>108.999999999998</v>
      </c>
      <c r="C117" s="566">
        <v>107.7</v>
      </c>
      <c r="D117" s="567">
        <v>-1.299999999997</v>
      </c>
      <c r="E117" s="568">
        <v>0.98807339449499998</v>
      </c>
      <c r="F117" s="566">
        <v>114.999996377779</v>
      </c>
      <c r="G117" s="567">
        <v>47.916665157407003</v>
      </c>
      <c r="H117" s="569">
        <v>39.265000000000001</v>
      </c>
      <c r="I117" s="566">
        <v>136.44999999999999</v>
      </c>
      <c r="J117" s="567">
        <v>88.533334842591998</v>
      </c>
      <c r="K117" s="570">
        <v>1.1865217765030001</v>
      </c>
    </row>
    <row r="118" spans="1:11" ht="14.4" customHeight="1" thickBot="1" x14ac:dyDescent="0.35">
      <c r="A118" s="587" t="s">
        <v>416</v>
      </c>
      <c r="B118" s="571">
        <v>95.999999999997996</v>
      </c>
      <c r="C118" s="571">
        <v>49.994999999999997</v>
      </c>
      <c r="D118" s="572">
        <v>-46.004999999997999</v>
      </c>
      <c r="E118" s="578">
        <v>0.52078124999999997</v>
      </c>
      <c r="F118" s="571">
        <v>93.999997039226997</v>
      </c>
      <c r="G118" s="572">
        <v>39.166665433010998</v>
      </c>
      <c r="H118" s="574">
        <v>9.7159999999999993</v>
      </c>
      <c r="I118" s="571">
        <v>48.314999999999998</v>
      </c>
      <c r="J118" s="572">
        <v>9.1483345669879998</v>
      </c>
      <c r="K118" s="579">
        <v>0.51398937789099997</v>
      </c>
    </row>
    <row r="119" spans="1:11" ht="14.4" customHeight="1" thickBot="1" x14ac:dyDescent="0.35">
      <c r="A119" s="588" t="s">
        <v>417</v>
      </c>
      <c r="B119" s="566">
        <v>95.999999999997996</v>
      </c>
      <c r="C119" s="566">
        <v>49.994999999999997</v>
      </c>
      <c r="D119" s="567">
        <v>-46.004999999997999</v>
      </c>
      <c r="E119" s="568">
        <v>0.52078124999999997</v>
      </c>
      <c r="F119" s="566">
        <v>93.999997039226997</v>
      </c>
      <c r="G119" s="567">
        <v>39.166665433010998</v>
      </c>
      <c r="H119" s="569">
        <v>9.7159999999999993</v>
      </c>
      <c r="I119" s="566">
        <v>48.314999999999998</v>
      </c>
      <c r="J119" s="567">
        <v>9.1483345669879998</v>
      </c>
      <c r="K119" s="570">
        <v>0.51398937789099997</v>
      </c>
    </row>
    <row r="120" spans="1:11" ht="14.4" customHeight="1" thickBot="1" x14ac:dyDescent="0.35">
      <c r="A120" s="586" t="s">
        <v>418</v>
      </c>
      <c r="B120" s="566">
        <v>9942.1957605055795</v>
      </c>
      <c r="C120" s="566">
        <v>10326.84728</v>
      </c>
      <c r="D120" s="567">
        <v>384.65151949442799</v>
      </c>
      <c r="E120" s="568">
        <v>1.0386887895550001</v>
      </c>
      <c r="F120" s="566">
        <v>10198.9996787562</v>
      </c>
      <c r="G120" s="567">
        <v>4249.5831994817599</v>
      </c>
      <c r="H120" s="569">
        <v>925.35033999999996</v>
      </c>
      <c r="I120" s="566">
        <v>4412.6502600000003</v>
      </c>
      <c r="J120" s="567">
        <v>163.067060518245</v>
      </c>
      <c r="K120" s="570">
        <v>0.432655201391</v>
      </c>
    </row>
    <row r="121" spans="1:11" ht="14.4" customHeight="1" thickBot="1" x14ac:dyDescent="0.35">
      <c r="A121" s="587" t="s">
        <v>419</v>
      </c>
      <c r="B121" s="571">
        <v>2632.19576050572</v>
      </c>
      <c r="C121" s="571">
        <v>2755.4144999999999</v>
      </c>
      <c r="D121" s="572">
        <v>123.218739494278</v>
      </c>
      <c r="E121" s="578">
        <v>1.0468121487549999</v>
      </c>
      <c r="F121" s="571">
        <v>2698.99991498804</v>
      </c>
      <c r="G121" s="572">
        <v>1124.5832979116799</v>
      </c>
      <c r="H121" s="574">
        <v>244.94134</v>
      </c>
      <c r="I121" s="571">
        <v>1168.0454999999999</v>
      </c>
      <c r="J121" s="572">
        <v>43.462202088315998</v>
      </c>
      <c r="K121" s="579">
        <v>0.43276974316</v>
      </c>
    </row>
    <row r="122" spans="1:11" ht="14.4" customHeight="1" thickBot="1" x14ac:dyDescent="0.35">
      <c r="A122" s="588" t="s">
        <v>420</v>
      </c>
      <c r="B122" s="566">
        <v>2632.19576050572</v>
      </c>
      <c r="C122" s="566">
        <v>2755.4144999999999</v>
      </c>
      <c r="D122" s="567">
        <v>123.218739494278</v>
      </c>
      <c r="E122" s="568">
        <v>1.0468121487549999</v>
      </c>
      <c r="F122" s="566">
        <v>2698.99991498804</v>
      </c>
      <c r="G122" s="567">
        <v>1124.5832979116799</v>
      </c>
      <c r="H122" s="569">
        <v>244.94134</v>
      </c>
      <c r="I122" s="566">
        <v>1168.0454999999999</v>
      </c>
      <c r="J122" s="567">
        <v>43.462202088315998</v>
      </c>
      <c r="K122" s="570">
        <v>0.43276974316</v>
      </c>
    </row>
    <row r="123" spans="1:11" ht="14.4" customHeight="1" thickBot="1" x14ac:dyDescent="0.35">
      <c r="A123" s="587" t="s">
        <v>421</v>
      </c>
      <c r="B123" s="571">
        <v>7309.9999999998499</v>
      </c>
      <c r="C123" s="571">
        <v>7571.4327800000001</v>
      </c>
      <c r="D123" s="572">
        <v>261.43278000014999</v>
      </c>
      <c r="E123" s="578">
        <v>1.035763718194</v>
      </c>
      <c r="F123" s="571">
        <v>7499.9997637681799</v>
      </c>
      <c r="G123" s="572">
        <v>3124.9999015700701</v>
      </c>
      <c r="H123" s="574">
        <v>680.40899999999999</v>
      </c>
      <c r="I123" s="571">
        <v>3244.6047600000002</v>
      </c>
      <c r="J123" s="572">
        <v>119.604858429928</v>
      </c>
      <c r="K123" s="579">
        <v>0.43261398162600001</v>
      </c>
    </row>
    <row r="124" spans="1:11" ht="14.4" customHeight="1" thickBot="1" x14ac:dyDescent="0.35">
      <c r="A124" s="588" t="s">
        <v>422</v>
      </c>
      <c r="B124" s="566">
        <v>7309.9999999998499</v>
      </c>
      <c r="C124" s="566">
        <v>7571.4327800000001</v>
      </c>
      <c r="D124" s="567">
        <v>261.43278000014999</v>
      </c>
      <c r="E124" s="568">
        <v>1.035763718194</v>
      </c>
      <c r="F124" s="566">
        <v>7499.9997637681799</v>
      </c>
      <c r="G124" s="567">
        <v>3124.9999015700701</v>
      </c>
      <c r="H124" s="569">
        <v>680.40899999999999</v>
      </c>
      <c r="I124" s="566">
        <v>3244.6047600000002</v>
      </c>
      <c r="J124" s="567">
        <v>119.604858429928</v>
      </c>
      <c r="K124" s="570">
        <v>0.43261398162600001</v>
      </c>
    </row>
    <row r="125" spans="1:11" ht="14.4" customHeight="1" thickBot="1" x14ac:dyDescent="0.35">
      <c r="A125" s="586" t="s">
        <v>423</v>
      </c>
      <c r="B125" s="566">
        <v>292.99999999999397</v>
      </c>
      <c r="C125" s="566">
        <v>306.09633000000002</v>
      </c>
      <c r="D125" s="567">
        <v>13.096330000005</v>
      </c>
      <c r="E125" s="568">
        <v>1.0446973720129999</v>
      </c>
      <c r="F125" s="566">
        <v>298.999990582225</v>
      </c>
      <c r="G125" s="567">
        <v>124.58332940926</v>
      </c>
      <c r="H125" s="569">
        <v>27.171600000000002</v>
      </c>
      <c r="I125" s="566">
        <v>129.92660000000001</v>
      </c>
      <c r="J125" s="567">
        <v>5.3432705907390003</v>
      </c>
      <c r="K125" s="570">
        <v>0.43453713743200001</v>
      </c>
    </row>
    <row r="126" spans="1:11" ht="14.4" customHeight="1" thickBot="1" x14ac:dyDescent="0.35">
      <c r="A126" s="587" t="s">
        <v>424</v>
      </c>
      <c r="B126" s="571">
        <v>292.99999999999397</v>
      </c>
      <c r="C126" s="571">
        <v>306.09633000000002</v>
      </c>
      <c r="D126" s="572">
        <v>13.096330000005</v>
      </c>
      <c r="E126" s="578">
        <v>1.0446973720129999</v>
      </c>
      <c r="F126" s="571">
        <v>298.999990582225</v>
      </c>
      <c r="G126" s="572">
        <v>124.58332940926</v>
      </c>
      <c r="H126" s="574">
        <v>27.171600000000002</v>
      </c>
      <c r="I126" s="571">
        <v>129.92660000000001</v>
      </c>
      <c r="J126" s="572">
        <v>5.3432705907390003</v>
      </c>
      <c r="K126" s="579">
        <v>0.43453713743200001</v>
      </c>
    </row>
    <row r="127" spans="1:11" ht="14.4" customHeight="1" thickBot="1" x14ac:dyDescent="0.35">
      <c r="A127" s="588" t="s">
        <v>425</v>
      </c>
      <c r="B127" s="566">
        <v>292.99999999999397</v>
      </c>
      <c r="C127" s="566">
        <v>306.09633000000002</v>
      </c>
      <c r="D127" s="567">
        <v>13.096330000005</v>
      </c>
      <c r="E127" s="568">
        <v>1.0446973720129999</v>
      </c>
      <c r="F127" s="566">
        <v>298.999990582225</v>
      </c>
      <c r="G127" s="567">
        <v>124.58332940926</v>
      </c>
      <c r="H127" s="569">
        <v>27.171600000000002</v>
      </c>
      <c r="I127" s="566">
        <v>129.92660000000001</v>
      </c>
      <c r="J127" s="567">
        <v>5.3432705907390003</v>
      </c>
      <c r="K127" s="570">
        <v>0.43453713743200001</v>
      </c>
    </row>
    <row r="128" spans="1:11" ht="14.4" customHeight="1" thickBot="1" x14ac:dyDescent="0.35">
      <c r="A128" s="585" t="s">
        <v>426</v>
      </c>
      <c r="B128" s="566">
        <v>0</v>
      </c>
      <c r="C128" s="566">
        <v>64.456850000000003</v>
      </c>
      <c r="D128" s="567">
        <v>64.456850000000003</v>
      </c>
      <c r="E128" s="576" t="s">
        <v>307</v>
      </c>
      <c r="F128" s="566">
        <v>0</v>
      </c>
      <c r="G128" s="567">
        <v>0</v>
      </c>
      <c r="H128" s="569">
        <v>15.9</v>
      </c>
      <c r="I128" s="566">
        <v>34.503</v>
      </c>
      <c r="J128" s="567">
        <v>34.503</v>
      </c>
      <c r="K128" s="577" t="s">
        <v>307</v>
      </c>
    </row>
    <row r="129" spans="1:11" ht="14.4" customHeight="1" thickBot="1" x14ac:dyDescent="0.35">
      <c r="A129" s="586" t="s">
        <v>427</v>
      </c>
      <c r="B129" s="566">
        <v>0</v>
      </c>
      <c r="C129" s="566">
        <v>64.456850000000003</v>
      </c>
      <c r="D129" s="567">
        <v>64.456850000000003</v>
      </c>
      <c r="E129" s="576" t="s">
        <v>307</v>
      </c>
      <c r="F129" s="566">
        <v>0</v>
      </c>
      <c r="G129" s="567">
        <v>0</v>
      </c>
      <c r="H129" s="569">
        <v>15.9</v>
      </c>
      <c r="I129" s="566">
        <v>34.503</v>
      </c>
      <c r="J129" s="567">
        <v>34.503</v>
      </c>
      <c r="K129" s="577" t="s">
        <v>307</v>
      </c>
    </row>
    <row r="130" spans="1:11" ht="14.4" customHeight="1" thickBot="1" x14ac:dyDescent="0.35">
      <c r="A130" s="587" t="s">
        <v>428</v>
      </c>
      <c r="B130" s="571">
        <v>0</v>
      </c>
      <c r="C130" s="571">
        <v>47.798999999999999</v>
      </c>
      <c r="D130" s="572">
        <v>47.798999999999999</v>
      </c>
      <c r="E130" s="573" t="s">
        <v>307</v>
      </c>
      <c r="F130" s="571">
        <v>0</v>
      </c>
      <c r="G130" s="572">
        <v>0</v>
      </c>
      <c r="H130" s="574">
        <v>12.4</v>
      </c>
      <c r="I130" s="571">
        <v>30.003</v>
      </c>
      <c r="J130" s="572">
        <v>30.003</v>
      </c>
      <c r="K130" s="575" t="s">
        <v>307</v>
      </c>
    </row>
    <row r="131" spans="1:11" ht="14.4" customHeight="1" thickBot="1" x14ac:dyDescent="0.35">
      <c r="A131" s="588" t="s">
        <v>429</v>
      </c>
      <c r="B131" s="566">
        <v>0</v>
      </c>
      <c r="C131" s="566">
        <v>1.71435</v>
      </c>
      <c r="D131" s="567">
        <v>1.71435</v>
      </c>
      <c r="E131" s="576" t="s">
        <v>307</v>
      </c>
      <c r="F131" s="566">
        <v>0</v>
      </c>
      <c r="G131" s="567">
        <v>0</v>
      </c>
      <c r="H131" s="569">
        <v>0</v>
      </c>
      <c r="I131" s="566">
        <v>0.66300000000000003</v>
      </c>
      <c r="J131" s="567">
        <v>0.66300000000000003</v>
      </c>
      <c r="K131" s="577" t="s">
        <v>307</v>
      </c>
    </row>
    <row r="132" spans="1:11" ht="14.4" customHeight="1" thickBot="1" x14ac:dyDescent="0.35">
      <c r="A132" s="588" t="s">
        <v>430</v>
      </c>
      <c r="B132" s="566">
        <v>0</v>
      </c>
      <c r="C132" s="566">
        <v>8.4</v>
      </c>
      <c r="D132" s="567">
        <v>8.4</v>
      </c>
      <c r="E132" s="576" t="s">
        <v>307</v>
      </c>
      <c r="F132" s="566">
        <v>0</v>
      </c>
      <c r="G132" s="567">
        <v>0</v>
      </c>
      <c r="H132" s="569">
        <v>10</v>
      </c>
      <c r="I132" s="566">
        <v>23.44</v>
      </c>
      <c r="J132" s="567">
        <v>23.44</v>
      </c>
      <c r="K132" s="577" t="s">
        <v>307</v>
      </c>
    </row>
    <row r="133" spans="1:11" ht="14.4" customHeight="1" thickBot="1" x14ac:dyDescent="0.35">
      <c r="A133" s="588" t="s">
        <v>431</v>
      </c>
      <c r="B133" s="566">
        <v>0</v>
      </c>
      <c r="C133" s="566">
        <v>37.684649999999998</v>
      </c>
      <c r="D133" s="567">
        <v>37.684649999999998</v>
      </c>
      <c r="E133" s="576" t="s">
        <v>307</v>
      </c>
      <c r="F133" s="566">
        <v>0</v>
      </c>
      <c r="G133" s="567">
        <v>0</v>
      </c>
      <c r="H133" s="569">
        <v>2.4</v>
      </c>
      <c r="I133" s="566">
        <v>5.9</v>
      </c>
      <c r="J133" s="567">
        <v>5.9</v>
      </c>
      <c r="K133" s="577" t="s">
        <v>307</v>
      </c>
    </row>
    <row r="134" spans="1:11" ht="14.4" customHeight="1" thickBot="1" x14ac:dyDescent="0.35">
      <c r="A134" s="587" t="s">
        <v>432</v>
      </c>
      <c r="B134" s="571">
        <v>0</v>
      </c>
      <c r="C134" s="571">
        <v>10.65785</v>
      </c>
      <c r="D134" s="572">
        <v>10.65785</v>
      </c>
      <c r="E134" s="573" t="s">
        <v>326</v>
      </c>
      <c r="F134" s="571">
        <v>0</v>
      </c>
      <c r="G134" s="572">
        <v>0</v>
      </c>
      <c r="H134" s="574">
        <v>0</v>
      </c>
      <c r="I134" s="571">
        <v>0</v>
      </c>
      <c r="J134" s="572">
        <v>0</v>
      </c>
      <c r="K134" s="575" t="s">
        <v>307</v>
      </c>
    </row>
    <row r="135" spans="1:11" ht="14.4" customHeight="1" thickBot="1" x14ac:dyDescent="0.35">
      <c r="A135" s="588" t="s">
        <v>433</v>
      </c>
      <c r="B135" s="566">
        <v>0</v>
      </c>
      <c r="C135" s="566">
        <v>10.65785</v>
      </c>
      <c r="D135" s="567">
        <v>10.65785</v>
      </c>
      <c r="E135" s="576" t="s">
        <v>326</v>
      </c>
      <c r="F135" s="566">
        <v>0</v>
      </c>
      <c r="G135" s="567">
        <v>0</v>
      </c>
      <c r="H135" s="569">
        <v>0</v>
      </c>
      <c r="I135" s="566">
        <v>0</v>
      </c>
      <c r="J135" s="567">
        <v>0</v>
      </c>
      <c r="K135" s="577" t="s">
        <v>307</v>
      </c>
    </row>
    <row r="136" spans="1:11" ht="14.4" customHeight="1" thickBot="1" x14ac:dyDescent="0.35">
      <c r="A136" s="590" t="s">
        <v>434</v>
      </c>
      <c r="B136" s="566">
        <v>0</v>
      </c>
      <c r="C136" s="566">
        <v>6</v>
      </c>
      <c r="D136" s="567">
        <v>6</v>
      </c>
      <c r="E136" s="576" t="s">
        <v>307</v>
      </c>
      <c r="F136" s="566">
        <v>0</v>
      </c>
      <c r="G136" s="567">
        <v>0</v>
      </c>
      <c r="H136" s="569">
        <v>3.5</v>
      </c>
      <c r="I136" s="566">
        <v>4.5</v>
      </c>
      <c r="J136" s="567">
        <v>4.5</v>
      </c>
      <c r="K136" s="577" t="s">
        <v>307</v>
      </c>
    </row>
    <row r="137" spans="1:11" ht="14.4" customHeight="1" thickBot="1" x14ac:dyDescent="0.35">
      <c r="A137" s="588" t="s">
        <v>435</v>
      </c>
      <c r="B137" s="566">
        <v>0</v>
      </c>
      <c r="C137" s="566">
        <v>6</v>
      </c>
      <c r="D137" s="567">
        <v>6</v>
      </c>
      <c r="E137" s="576" t="s">
        <v>307</v>
      </c>
      <c r="F137" s="566">
        <v>0</v>
      </c>
      <c r="G137" s="567">
        <v>0</v>
      </c>
      <c r="H137" s="569">
        <v>3.5</v>
      </c>
      <c r="I137" s="566">
        <v>4.5</v>
      </c>
      <c r="J137" s="567">
        <v>4.5</v>
      </c>
      <c r="K137" s="577" t="s">
        <v>307</v>
      </c>
    </row>
    <row r="138" spans="1:11" ht="14.4" customHeight="1" thickBot="1" x14ac:dyDescent="0.35">
      <c r="A138" s="585" t="s">
        <v>436</v>
      </c>
      <c r="B138" s="566">
        <v>2864.9962620438</v>
      </c>
      <c r="C138" s="566">
        <v>3095.2516900000001</v>
      </c>
      <c r="D138" s="567">
        <v>230.25542795620299</v>
      </c>
      <c r="E138" s="568">
        <v>1.080368491577</v>
      </c>
      <c r="F138" s="566">
        <v>2610.0003911916201</v>
      </c>
      <c r="G138" s="567">
        <v>1087.50016299651</v>
      </c>
      <c r="H138" s="569">
        <v>324.97665000000001</v>
      </c>
      <c r="I138" s="566">
        <v>1194.2770499999999</v>
      </c>
      <c r="J138" s="567">
        <v>106.77688700349201</v>
      </c>
      <c r="K138" s="570">
        <v>0.45757734520999999</v>
      </c>
    </row>
    <row r="139" spans="1:11" ht="14.4" customHeight="1" thickBot="1" x14ac:dyDescent="0.35">
      <c r="A139" s="586" t="s">
        <v>437</v>
      </c>
      <c r="B139" s="566">
        <v>2721.9962620438</v>
      </c>
      <c r="C139" s="566">
        <v>2740.549</v>
      </c>
      <c r="D139" s="567">
        <v>18.552737956202002</v>
      </c>
      <c r="E139" s="568">
        <v>1.006815857249</v>
      </c>
      <c r="F139" s="566">
        <v>2610.0003911916201</v>
      </c>
      <c r="G139" s="567">
        <v>1087.50016299651</v>
      </c>
      <c r="H139" s="569">
        <v>226.64599999999999</v>
      </c>
      <c r="I139" s="566">
        <v>1071.5519999999999</v>
      </c>
      <c r="J139" s="567">
        <v>-15.948162996507</v>
      </c>
      <c r="K139" s="570">
        <v>0.410556260304</v>
      </c>
    </row>
    <row r="140" spans="1:11" ht="14.4" customHeight="1" thickBot="1" x14ac:dyDescent="0.35">
      <c r="A140" s="587" t="s">
        <v>438</v>
      </c>
      <c r="B140" s="571">
        <v>2721.9962620438</v>
      </c>
      <c r="C140" s="571">
        <v>2728.049</v>
      </c>
      <c r="D140" s="572">
        <v>6.0527379562019998</v>
      </c>
      <c r="E140" s="578">
        <v>1.002223639334</v>
      </c>
      <c r="F140" s="571">
        <v>2610.0003911916201</v>
      </c>
      <c r="G140" s="572">
        <v>1087.50016299651</v>
      </c>
      <c r="H140" s="574">
        <v>226.64599999999999</v>
      </c>
      <c r="I140" s="571">
        <v>1071.5519999999999</v>
      </c>
      <c r="J140" s="572">
        <v>-15.948162996507</v>
      </c>
      <c r="K140" s="579">
        <v>0.410556260304</v>
      </c>
    </row>
    <row r="141" spans="1:11" ht="14.4" customHeight="1" thickBot="1" x14ac:dyDescent="0.35">
      <c r="A141" s="588" t="s">
        <v>439</v>
      </c>
      <c r="B141" s="566">
        <v>105.995788643487</v>
      </c>
      <c r="C141" s="566">
        <v>108.355</v>
      </c>
      <c r="D141" s="567">
        <v>2.3592113565130002</v>
      </c>
      <c r="E141" s="568">
        <v>1.0222575951990001</v>
      </c>
      <c r="F141" s="566">
        <v>112.99999644077199</v>
      </c>
      <c r="G141" s="567">
        <v>47.083331850321002</v>
      </c>
      <c r="H141" s="569">
        <v>9.3840000000000003</v>
      </c>
      <c r="I141" s="566">
        <v>46.92</v>
      </c>
      <c r="J141" s="567">
        <v>-0.163331850321</v>
      </c>
      <c r="K141" s="570">
        <v>0.41522125201600002</v>
      </c>
    </row>
    <row r="142" spans="1:11" ht="14.4" customHeight="1" thickBot="1" x14ac:dyDescent="0.35">
      <c r="A142" s="588" t="s">
        <v>440</v>
      </c>
      <c r="B142" s="566">
        <v>2013.99999999996</v>
      </c>
      <c r="C142" s="566">
        <v>2017.203</v>
      </c>
      <c r="D142" s="567">
        <v>3.203000000037</v>
      </c>
      <c r="E142" s="568">
        <v>1.001590367428</v>
      </c>
      <c r="F142" s="566">
        <v>2019.99993637486</v>
      </c>
      <c r="G142" s="567">
        <v>841.66664015619097</v>
      </c>
      <c r="H142" s="569">
        <v>178.798</v>
      </c>
      <c r="I142" s="566">
        <v>832.31</v>
      </c>
      <c r="J142" s="567">
        <v>-9.3566401561900001</v>
      </c>
      <c r="K142" s="570">
        <v>0.41203466644300002</v>
      </c>
    </row>
    <row r="143" spans="1:11" ht="14.4" customHeight="1" thickBot="1" x14ac:dyDescent="0.35">
      <c r="A143" s="588" t="s">
        <v>441</v>
      </c>
      <c r="B143" s="566">
        <v>61.000510353907998</v>
      </c>
      <c r="C143" s="566">
        <v>61.295999999999999</v>
      </c>
      <c r="D143" s="567">
        <v>0.29548964609099998</v>
      </c>
      <c r="E143" s="568">
        <v>1.004844052031</v>
      </c>
      <c r="F143" s="566">
        <v>61.000508432537998</v>
      </c>
      <c r="G143" s="567">
        <v>25.416878513556998</v>
      </c>
      <c r="H143" s="569">
        <v>5.1079999999999997</v>
      </c>
      <c r="I143" s="566">
        <v>25.54</v>
      </c>
      <c r="J143" s="567">
        <v>0.12312148644199999</v>
      </c>
      <c r="K143" s="570">
        <v>0.41868503486699998</v>
      </c>
    </row>
    <row r="144" spans="1:11" ht="14.4" customHeight="1" thickBot="1" x14ac:dyDescent="0.35">
      <c r="A144" s="588" t="s">
        <v>442</v>
      </c>
      <c r="B144" s="566">
        <v>2.99996304645</v>
      </c>
      <c r="C144" s="566">
        <v>3.22</v>
      </c>
      <c r="D144" s="567">
        <v>0.22003695354899999</v>
      </c>
      <c r="E144" s="568">
        <v>1.0733465546550001</v>
      </c>
      <c r="F144" s="566">
        <v>2.999962951958</v>
      </c>
      <c r="G144" s="567">
        <v>1.2499845633160001</v>
      </c>
      <c r="H144" s="569">
        <v>0.27500000000000002</v>
      </c>
      <c r="I144" s="566">
        <v>1.375</v>
      </c>
      <c r="J144" s="567">
        <v>0.125015436683</v>
      </c>
      <c r="K144" s="570">
        <v>0.45833899352000002</v>
      </c>
    </row>
    <row r="145" spans="1:11" ht="14.4" customHeight="1" thickBot="1" x14ac:dyDescent="0.35">
      <c r="A145" s="588" t="s">
        <v>443</v>
      </c>
      <c r="B145" s="566">
        <v>537.99999999999</v>
      </c>
      <c r="C145" s="566">
        <v>537.97500000000002</v>
      </c>
      <c r="D145" s="567">
        <v>-2.4999999990000001E-2</v>
      </c>
      <c r="E145" s="568">
        <v>0.99995353159800004</v>
      </c>
      <c r="F145" s="566">
        <v>412.99998699149302</v>
      </c>
      <c r="G145" s="567">
        <v>172.08332791312199</v>
      </c>
      <c r="H145" s="569">
        <v>33.081000000000003</v>
      </c>
      <c r="I145" s="566">
        <v>165.40700000000001</v>
      </c>
      <c r="J145" s="567">
        <v>-6.6763279131219999</v>
      </c>
      <c r="K145" s="570">
        <v>0.40050122326799997</v>
      </c>
    </row>
    <row r="146" spans="1:11" ht="14.4" customHeight="1" thickBot="1" x14ac:dyDescent="0.35">
      <c r="A146" s="587" t="s">
        <v>444</v>
      </c>
      <c r="B146" s="571">
        <v>0</v>
      </c>
      <c r="C146" s="571">
        <v>12.5</v>
      </c>
      <c r="D146" s="572">
        <v>12.5</v>
      </c>
      <c r="E146" s="573" t="s">
        <v>326</v>
      </c>
      <c r="F146" s="571">
        <v>0</v>
      </c>
      <c r="G146" s="572">
        <v>0</v>
      </c>
      <c r="H146" s="574">
        <v>0</v>
      </c>
      <c r="I146" s="571">
        <v>0</v>
      </c>
      <c r="J146" s="572">
        <v>0</v>
      </c>
      <c r="K146" s="575" t="s">
        <v>307</v>
      </c>
    </row>
    <row r="147" spans="1:11" ht="14.4" customHeight="1" thickBot="1" x14ac:dyDescent="0.35">
      <c r="A147" s="588" t="s">
        <v>445</v>
      </c>
      <c r="B147" s="566">
        <v>0</v>
      </c>
      <c r="C147" s="566">
        <v>8</v>
      </c>
      <c r="D147" s="567">
        <v>8</v>
      </c>
      <c r="E147" s="576" t="s">
        <v>326</v>
      </c>
      <c r="F147" s="566">
        <v>0</v>
      </c>
      <c r="G147" s="567">
        <v>0</v>
      </c>
      <c r="H147" s="569">
        <v>0</v>
      </c>
      <c r="I147" s="566">
        <v>0</v>
      </c>
      <c r="J147" s="567">
        <v>0</v>
      </c>
      <c r="K147" s="577" t="s">
        <v>307</v>
      </c>
    </row>
    <row r="148" spans="1:11" ht="14.4" customHeight="1" thickBot="1" x14ac:dyDescent="0.35">
      <c r="A148" s="588" t="s">
        <v>446</v>
      </c>
      <c r="B148" s="566">
        <v>0</v>
      </c>
      <c r="C148" s="566">
        <v>4.5</v>
      </c>
      <c r="D148" s="567">
        <v>4.5</v>
      </c>
      <c r="E148" s="576" t="s">
        <v>326</v>
      </c>
      <c r="F148" s="566">
        <v>0</v>
      </c>
      <c r="G148" s="567">
        <v>0</v>
      </c>
      <c r="H148" s="569">
        <v>0</v>
      </c>
      <c r="I148" s="566">
        <v>0</v>
      </c>
      <c r="J148" s="567">
        <v>0</v>
      </c>
      <c r="K148" s="577" t="s">
        <v>307</v>
      </c>
    </row>
    <row r="149" spans="1:11" ht="14.4" customHeight="1" thickBot="1" x14ac:dyDescent="0.35">
      <c r="A149" s="586" t="s">
        <v>447</v>
      </c>
      <c r="B149" s="566">
        <v>143</v>
      </c>
      <c r="C149" s="566">
        <v>354.70269000000002</v>
      </c>
      <c r="D149" s="567">
        <v>211.70268999999999</v>
      </c>
      <c r="E149" s="568">
        <v>2.4804383916080002</v>
      </c>
      <c r="F149" s="566">
        <v>0</v>
      </c>
      <c r="G149" s="567">
        <v>0</v>
      </c>
      <c r="H149" s="569">
        <v>98.330650000000006</v>
      </c>
      <c r="I149" s="566">
        <v>122.72505</v>
      </c>
      <c r="J149" s="567">
        <v>122.72505</v>
      </c>
      <c r="K149" s="577" t="s">
        <v>307</v>
      </c>
    </row>
    <row r="150" spans="1:11" ht="14.4" customHeight="1" thickBot="1" x14ac:dyDescent="0.35">
      <c r="A150" s="587" t="s">
        <v>448</v>
      </c>
      <c r="B150" s="571">
        <v>143</v>
      </c>
      <c r="C150" s="571">
        <v>264.28627</v>
      </c>
      <c r="D150" s="572">
        <v>121.28627</v>
      </c>
      <c r="E150" s="578">
        <v>1.8481557342649999</v>
      </c>
      <c r="F150" s="571">
        <v>0</v>
      </c>
      <c r="G150" s="572">
        <v>0</v>
      </c>
      <c r="H150" s="574">
        <v>73.090649999999997</v>
      </c>
      <c r="I150" s="571">
        <v>93.371049999999997</v>
      </c>
      <c r="J150" s="572">
        <v>93.371049999999997</v>
      </c>
      <c r="K150" s="575" t="s">
        <v>307</v>
      </c>
    </row>
    <row r="151" spans="1:11" ht="14.4" customHeight="1" thickBot="1" x14ac:dyDescent="0.35">
      <c r="A151" s="588" t="s">
        <v>449</v>
      </c>
      <c r="B151" s="566">
        <v>143</v>
      </c>
      <c r="C151" s="566">
        <v>220.87208999999999</v>
      </c>
      <c r="D151" s="567">
        <v>77.87209</v>
      </c>
      <c r="E151" s="568">
        <v>1.5445600699299999</v>
      </c>
      <c r="F151" s="566">
        <v>0</v>
      </c>
      <c r="G151" s="567">
        <v>0</v>
      </c>
      <c r="H151" s="569">
        <v>73.090649999999997</v>
      </c>
      <c r="I151" s="566">
        <v>73.090649999999997</v>
      </c>
      <c r="J151" s="567">
        <v>73.090649999999997</v>
      </c>
      <c r="K151" s="577" t="s">
        <v>307</v>
      </c>
    </row>
    <row r="152" spans="1:11" ht="14.4" customHeight="1" thickBot="1" x14ac:dyDescent="0.35">
      <c r="A152" s="588" t="s">
        <v>450</v>
      </c>
      <c r="B152" s="566">
        <v>0</v>
      </c>
      <c r="C152" s="566">
        <v>0</v>
      </c>
      <c r="D152" s="567">
        <v>0</v>
      </c>
      <c r="E152" s="568">
        <v>1</v>
      </c>
      <c r="F152" s="566">
        <v>0</v>
      </c>
      <c r="G152" s="567">
        <v>0</v>
      </c>
      <c r="H152" s="569">
        <v>0</v>
      </c>
      <c r="I152" s="566">
        <v>3.1414</v>
      </c>
      <c r="J152" s="567">
        <v>3.1414</v>
      </c>
      <c r="K152" s="577" t="s">
        <v>326</v>
      </c>
    </row>
    <row r="153" spans="1:11" ht="14.4" customHeight="1" thickBot="1" x14ac:dyDescent="0.35">
      <c r="A153" s="588" t="s">
        <v>451</v>
      </c>
      <c r="B153" s="566">
        <v>0</v>
      </c>
      <c r="C153" s="566">
        <v>9.5</v>
      </c>
      <c r="D153" s="567">
        <v>9.5</v>
      </c>
      <c r="E153" s="576" t="s">
        <v>307</v>
      </c>
      <c r="F153" s="566">
        <v>0</v>
      </c>
      <c r="G153" s="567">
        <v>0</v>
      </c>
      <c r="H153" s="569">
        <v>0</v>
      </c>
      <c r="I153" s="566">
        <v>17.138999999999999</v>
      </c>
      <c r="J153" s="567">
        <v>17.138999999999999</v>
      </c>
      <c r="K153" s="577" t="s">
        <v>307</v>
      </c>
    </row>
    <row r="154" spans="1:11" ht="14.4" customHeight="1" thickBot="1" x14ac:dyDescent="0.35">
      <c r="A154" s="588" t="s">
        <v>452</v>
      </c>
      <c r="B154" s="566">
        <v>0</v>
      </c>
      <c r="C154" s="566">
        <v>33.914180000000002</v>
      </c>
      <c r="D154" s="567">
        <v>33.914180000000002</v>
      </c>
      <c r="E154" s="576" t="s">
        <v>326</v>
      </c>
      <c r="F154" s="566">
        <v>0</v>
      </c>
      <c r="G154" s="567">
        <v>0</v>
      </c>
      <c r="H154" s="569">
        <v>0</v>
      </c>
      <c r="I154" s="566">
        <v>0</v>
      </c>
      <c r="J154" s="567">
        <v>0</v>
      </c>
      <c r="K154" s="577" t="s">
        <v>307</v>
      </c>
    </row>
    <row r="155" spans="1:11" ht="14.4" customHeight="1" thickBot="1" x14ac:dyDescent="0.35">
      <c r="A155" s="587" t="s">
        <v>453</v>
      </c>
      <c r="B155" s="571">
        <v>0</v>
      </c>
      <c r="C155" s="571">
        <v>4.1139999999999999</v>
      </c>
      <c r="D155" s="572">
        <v>4.1139999999999999</v>
      </c>
      <c r="E155" s="573" t="s">
        <v>326</v>
      </c>
      <c r="F155" s="571">
        <v>0</v>
      </c>
      <c r="G155" s="572">
        <v>0</v>
      </c>
      <c r="H155" s="574">
        <v>4.1139999999999999</v>
      </c>
      <c r="I155" s="571">
        <v>8.2279999999999998</v>
      </c>
      <c r="J155" s="572">
        <v>8.2279999999999998</v>
      </c>
      <c r="K155" s="575" t="s">
        <v>307</v>
      </c>
    </row>
    <row r="156" spans="1:11" ht="14.4" customHeight="1" thickBot="1" x14ac:dyDescent="0.35">
      <c r="A156" s="588" t="s">
        <v>454</v>
      </c>
      <c r="B156" s="566">
        <v>0</v>
      </c>
      <c r="C156" s="566">
        <v>4.1139999999999999</v>
      </c>
      <c r="D156" s="567">
        <v>4.1139999999999999</v>
      </c>
      <c r="E156" s="576" t="s">
        <v>326</v>
      </c>
      <c r="F156" s="566">
        <v>0</v>
      </c>
      <c r="G156" s="567">
        <v>0</v>
      </c>
      <c r="H156" s="569">
        <v>4.1139999999999999</v>
      </c>
      <c r="I156" s="566">
        <v>8.2279999999999998</v>
      </c>
      <c r="J156" s="567">
        <v>8.2279999999999998</v>
      </c>
      <c r="K156" s="577" t="s">
        <v>307</v>
      </c>
    </row>
    <row r="157" spans="1:11" ht="14.4" customHeight="1" thickBot="1" x14ac:dyDescent="0.35">
      <c r="A157" s="587" t="s">
        <v>455</v>
      </c>
      <c r="B157" s="571">
        <v>0</v>
      </c>
      <c r="C157" s="571">
        <v>4.3319999999999999</v>
      </c>
      <c r="D157" s="572">
        <v>4.3319999999999999</v>
      </c>
      <c r="E157" s="573" t="s">
        <v>307</v>
      </c>
      <c r="F157" s="571">
        <v>0</v>
      </c>
      <c r="G157" s="572">
        <v>0</v>
      </c>
      <c r="H157" s="574">
        <v>21.126000000000001</v>
      </c>
      <c r="I157" s="571">
        <v>21.126000000000001</v>
      </c>
      <c r="J157" s="572">
        <v>21.126000000000001</v>
      </c>
      <c r="K157" s="575" t="s">
        <v>307</v>
      </c>
    </row>
    <row r="158" spans="1:11" ht="14.4" customHeight="1" thickBot="1" x14ac:dyDescent="0.35">
      <c r="A158" s="588" t="s">
        <v>456</v>
      </c>
      <c r="B158" s="566">
        <v>0</v>
      </c>
      <c r="C158" s="566">
        <v>1.452</v>
      </c>
      <c r="D158" s="567">
        <v>1.452</v>
      </c>
      <c r="E158" s="576" t="s">
        <v>307</v>
      </c>
      <c r="F158" s="566">
        <v>0</v>
      </c>
      <c r="G158" s="567">
        <v>0</v>
      </c>
      <c r="H158" s="569">
        <v>21.126000000000001</v>
      </c>
      <c r="I158" s="566">
        <v>21.126000000000001</v>
      </c>
      <c r="J158" s="567">
        <v>21.126000000000001</v>
      </c>
      <c r="K158" s="577" t="s">
        <v>307</v>
      </c>
    </row>
    <row r="159" spans="1:11" ht="14.4" customHeight="1" thickBot="1" x14ac:dyDescent="0.35">
      <c r="A159" s="588" t="s">
        <v>457</v>
      </c>
      <c r="B159" s="566">
        <v>0</v>
      </c>
      <c r="C159" s="566">
        <v>2.88</v>
      </c>
      <c r="D159" s="567">
        <v>2.88</v>
      </c>
      <c r="E159" s="576" t="s">
        <v>326</v>
      </c>
      <c r="F159" s="566">
        <v>0</v>
      </c>
      <c r="G159" s="567">
        <v>0</v>
      </c>
      <c r="H159" s="569">
        <v>0</v>
      </c>
      <c r="I159" s="566">
        <v>0</v>
      </c>
      <c r="J159" s="567">
        <v>0</v>
      </c>
      <c r="K159" s="577" t="s">
        <v>307</v>
      </c>
    </row>
    <row r="160" spans="1:11" ht="14.4" customHeight="1" thickBot="1" x14ac:dyDescent="0.35">
      <c r="A160" s="587" t="s">
        <v>458</v>
      </c>
      <c r="B160" s="571">
        <v>0</v>
      </c>
      <c r="C160" s="571">
        <v>81.970420000000004</v>
      </c>
      <c r="D160" s="572">
        <v>81.970420000000004</v>
      </c>
      <c r="E160" s="573" t="s">
        <v>307</v>
      </c>
      <c r="F160" s="571">
        <v>0</v>
      </c>
      <c r="G160" s="572">
        <v>0</v>
      </c>
      <c r="H160" s="574">
        <v>0</v>
      </c>
      <c r="I160" s="571">
        <v>0</v>
      </c>
      <c r="J160" s="572">
        <v>0</v>
      </c>
      <c r="K160" s="575" t="s">
        <v>307</v>
      </c>
    </row>
    <row r="161" spans="1:11" ht="14.4" customHeight="1" thickBot="1" x14ac:dyDescent="0.35">
      <c r="A161" s="588" t="s">
        <v>459</v>
      </c>
      <c r="B161" s="566">
        <v>0</v>
      </c>
      <c r="C161" s="566">
        <v>28.803799999999999</v>
      </c>
      <c r="D161" s="567">
        <v>28.803799999999999</v>
      </c>
      <c r="E161" s="576" t="s">
        <v>307</v>
      </c>
      <c r="F161" s="566">
        <v>0</v>
      </c>
      <c r="G161" s="567">
        <v>0</v>
      </c>
      <c r="H161" s="569">
        <v>0</v>
      </c>
      <c r="I161" s="566">
        <v>0</v>
      </c>
      <c r="J161" s="567">
        <v>0</v>
      </c>
      <c r="K161" s="577" t="s">
        <v>307</v>
      </c>
    </row>
    <row r="162" spans="1:11" ht="14.4" customHeight="1" thickBot="1" x14ac:dyDescent="0.35">
      <c r="A162" s="588" t="s">
        <v>460</v>
      </c>
      <c r="B162" s="566">
        <v>0</v>
      </c>
      <c r="C162" s="566">
        <v>9.58</v>
      </c>
      <c r="D162" s="567">
        <v>9.58</v>
      </c>
      <c r="E162" s="576" t="s">
        <v>307</v>
      </c>
      <c r="F162" s="566">
        <v>0</v>
      </c>
      <c r="G162" s="567">
        <v>0</v>
      </c>
      <c r="H162" s="569">
        <v>0</v>
      </c>
      <c r="I162" s="566">
        <v>0</v>
      </c>
      <c r="J162" s="567">
        <v>0</v>
      </c>
      <c r="K162" s="577" t="s">
        <v>307</v>
      </c>
    </row>
    <row r="163" spans="1:11" ht="14.4" customHeight="1" thickBot="1" x14ac:dyDescent="0.35">
      <c r="A163" s="588" t="s">
        <v>461</v>
      </c>
      <c r="B163" s="566">
        <v>0</v>
      </c>
      <c r="C163" s="566">
        <v>43.586620000000003</v>
      </c>
      <c r="D163" s="567">
        <v>43.586620000000003</v>
      </c>
      <c r="E163" s="576" t="s">
        <v>326</v>
      </c>
      <c r="F163" s="566">
        <v>0</v>
      </c>
      <c r="G163" s="567">
        <v>0</v>
      </c>
      <c r="H163" s="569">
        <v>0</v>
      </c>
      <c r="I163" s="566">
        <v>0</v>
      </c>
      <c r="J163" s="567">
        <v>0</v>
      </c>
      <c r="K163" s="577" t="s">
        <v>307</v>
      </c>
    </row>
    <row r="164" spans="1:11" ht="14.4" customHeight="1" thickBot="1" x14ac:dyDescent="0.35">
      <c r="A164" s="585" t="s">
        <v>462</v>
      </c>
      <c r="B164" s="566">
        <v>0</v>
      </c>
      <c r="C164" s="566">
        <v>2.6429999999999999E-2</v>
      </c>
      <c r="D164" s="567">
        <v>2.6429999999999999E-2</v>
      </c>
      <c r="E164" s="576" t="s">
        <v>326</v>
      </c>
      <c r="F164" s="566">
        <v>0</v>
      </c>
      <c r="G164" s="567">
        <v>0</v>
      </c>
      <c r="H164" s="569">
        <v>0</v>
      </c>
      <c r="I164" s="566">
        <v>0</v>
      </c>
      <c r="J164" s="567">
        <v>0</v>
      </c>
      <c r="K164" s="577" t="s">
        <v>307</v>
      </c>
    </row>
    <row r="165" spans="1:11" ht="14.4" customHeight="1" thickBot="1" x14ac:dyDescent="0.35">
      <c r="A165" s="586" t="s">
        <v>463</v>
      </c>
      <c r="B165" s="566">
        <v>0</v>
      </c>
      <c r="C165" s="566">
        <v>2.6429999999999999E-2</v>
      </c>
      <c r="D165" s="567">
        <v>2.6429999999999999E-2</v>
      </c>
      <c r="E165" s="576" t="s">
        <v>326</v>
      </c>
      <c r="F165" s="566">
        <v>0</v>
      </c>
      <c r="G165" s="567">
        <v>0</v>
      </c>
      <c r="H165" s="569">
        <v>0</v>
      </c>
      <c r="I165" s="566">
        <v>0</v>
      </c>
      <c r="J165" s="567">
        <v>0</v>
      </c>
      <c r="K165" s="577" t="s">
        <v>307</v>
      </c>
    </row>
    <row r="166" spans="1:11" ht="14.4" customHeight="1" thickBot="1" x14ac:dyDescent="0.35">
      <c r="A166" s="587" t="s">
        <v>464</v>
      </c>
      <c r="B166" s="571">
        <v>0</v>
      </c>
      <c r="C166" s="571">
        <v>2.6429999999999999E-2</v>
      </c>
      <c r="D166" s="572">
        <v>2.6429999999999999E-2</v>
      </c>
      <c r="E166" s="573" t="s">
        <v>326</v>
      </c>
      <c r="F166" s="571">
        <v>0</v>
      </c>
      <c r="G166" s="572">
        <v>0</v>
      </c>
      <c r="H166" s="574">
        <v>0</v>
      </c>
      <c r="I166" s="571">
        <v>0</v>
      </c>
      <c r="J166" s="572">
        <v>0</v>
      </c>
      <c r="K166" s="575" t="s">
        <v>307</v>
      </c>
    </row>
    <row r="167" spans="1:11" ht="14.4" customHeight="1" thickBot="1" x14ac:dyDescent="0.35">
      <c r="A167" s="588" t="s">
        <v>465</v>
      </c>
      <c r="B167" s="566">
        <v>0</v>
      </c>
      <c r="C167" s="566">
        <v>2.6429999999999999E-2</v>
      </c>
      <c r="D167" s="567">
        <v>2.6429999999999999E-2</v>
      </c>
      <c r="E167" s="576" t="s">
        <v>326</v>
      </c>
      <c r="F167" s="566">
        <v>0</v>
      </c>
      <c r="G167" s="567">
        <v>0</v>
      </c>
      <c r="H167" s="569">
        <v>0</v>
      </c>
      <c r="I167" s="566">
        <v>0</v>
      </c>
      <c r="J167" s="567">
        <v>0</v>
      </c>
      <c r="K167" s="577" t="s">
        <v>307</v>
      </c>
    </row>
    <row r="168" spans="1:11" ht="14.4" customHeight="1" thickBot="1" x14ac:dyDescent="0.35">
      <c r="A168" s="584" t="s">
        <v>466</v>
      </c>
      <c r="B168" s="566">
        <v>74347.813103783701</v>
      </c>
      <c r="C168" s="566">
        <v>72338.261620000005</v>
      </c>
      <c r="D168" s="567">
        <v>-2009.55148378374</v>
      </c>
      <c r="E168" s="568">
        <v>0.97297094023399999</v>
      </c>
      <c r="F168" s="566">
        <v>68585.008519716503</v>
      </c>
      <c r="G168" s="567">
        <v>28577.086883215201</v>
      </c>
      <c r="H168" s="569">
        <v>7164.5428099999999</v>
      </c>
      <c r="I168" s="566">
        <v>31953.24627</v>
      </c>
      <c r="J168" s="567">
        <v>3376.1593867847801</v>
      </c>
      <c r="K168" s="570">
        <v>0.46589257564600001</v>
      </c>
    </row>
    <row r="169" spans="1:11" ht="14.4" customHeight="1" thickBot="1" x14ac:dyDescent="0.35">
      <c r="A169" s="585" t="s">
        <v>467</v>
      </c>
      <c r="B169" s="566">
        <v>74255.478623281306</v>
      </c>
      <c r="C169" s="566">
        <v>71969.761180000001</v>
      </c>
      <c r="D169" s="567">
        <v>-2285.7174432812899</v>
      </c>
      <c r="E169" s="568">
        <v>0.96921819796099995</v>
      </c>
      <c r="F169" s="566">
        <v>68492.585828731797</v>
      </c>
      <c r="G169" s="567">
        <v>28538.577428638298</v>
      </c>
      <c r="H169" s="569">
        <v>7150.0841099999998</v>
      </c>
      <c r="I169" s="566">
        <v>31889.07692</v>
      </c>
      <c r="J169" s="567">
        <v>3350.4994913617302</v>
      </c>
      <c r="K169" s="570">
        <v>0.465584362659</v>
      </c>
    </row>
    <row r="170" spans="1:11" ht="14.4" customHeight="1" thickBot="1" x14ac:dyDescent="0.35">
      <c r="A170" s="586" t="s">
        <v>468</v>
      </c>
      <c r="B170" s="566">
        <v>74255.478623281306</v>
      </c>
      <c r="C170" s="566">
        <v>71830.365669999999</v>
      </c>
      <c r="D170" s="567">
        <v>-2425.1129532812902</v>
      </c>
      <c r="E170" s="568">
        <v>0.96734095586900004</v>
      </c>
      <c r="F170" s="566">
        <v>68316.585828731797</v>
      </c>
      <c r="G170" s="567">
        <v>28465.244095304901</v>
      </c>
      <c r="H170" s="569">
        <v>7140.0573999999997</v>
      </c>
      <c r="I170" s="566">
        <v>31842.574570000001</v>
      </c>
      <c r="J170" s="567">
        <v>3377.3304746950798</v>
      </c>
      <c r="K170" s="570">
        <v>0.46610313123399999</v>
      </c>
    </row>
    <row r="171" spans="1:11" ht="14.4" customHeight="1" thickBot="1" x14ac:dyDescent="0.35">
      <c r="A171" s="587" t="s">
        <v>469</v>
      </c>
      <c r="B171" s="571">
        <v>23.478623281265001</v>
      </c>
      <c r="C171" s="571">
        <v>-0.54813999999899998</v>
      </c>
      <c r="D171" s="572">
        <v>-24.026763281265001</v>
      </c>
      <c r="E171" s="578">
        <v>-2.3346343328000001E-2</v>
      </c>
      <c r="F171" s="571">
        <v>1.58582871395</v>
      </c>
      <c r="G171" s="572">
        <v>0.66076196414599997</v>
      </c>
      <c r="H171" s="574">
        <v>0.13883999999999999</v>
      </c>
      <c r="I171" s="571">
        <v>0.13883999999999999</v>
      </c>
      <c r="J171" s="572">
        <v>-0.52192196414600001</v>
      </c>
      <c r="K171" s="579">
        <v>8.7550438945999995E-2</v>
      </c>
    </row>
    <row r="172" spans="1:11" ht="14.4" customHeight="1" thickBot="1" x14ac:dyDescent="0.35">
      <c r="A172" s="588" t="s">
        <v>470</v>
      </c>
      <c r="B172" s="566">
        <v>0</v>
      </c>
      <c r="C172" s="566">
        <v>0</v>
      </c>
      <c r="D172" s="567">
        <v>0</v>
      </c>
      <c r="E172" s="568">
        <v>1</v>
      </c>
      <c r="F172" s="566">
        <v>0</v>
      </c>
      <c r="G172" s="567">
        <v>0</v>
      </c>
      <c r="H172" s="569">
        <v>0.13883999999999999</v>
      </c>
      <c r="I172" s="566">
        <v>0.13883999999999999</v>
      </c>
      <c r="J172" s="567">
        <v>0.13883999999999999</v>
      </c>
      <c r="K172" s="577" t="s">
        <v>326</v>
      </c>
    </row>
    <row r="173" spans="1:11" ht="14.4" customHeight="1" thickBot="1" x14ac:dyDescent="0.35">
      <c r="A173" s="588" t="s">
        <v>471</v>
      </c>
      <c r="B173" s="566">
        <v>16.719649588503</v>
      </c>
      <c r="C173" s="566">
        <v>-2.2264400000000002</v>
      </c>
      <c r="D173" s="567">
        <v>-18.946089588503</v>
      </c>
      <c r="E173" s="568">
        <v>-0.133163077863</v>
      </c>
      <c r="F173" s="566">
        <v>0</v>
      </c>
      <c r="G173" s="567">
        <v>0</v>
      </c>
      <c r="H173" s="569">
        <v>0</v>
      </c>
      <c r="I173" s="566">
        <v>0</v>
      </c>
      <c r="J173" s="567">
        <v>0</v>
      </c>
      <c r="K173" s="577" t="s">
        <v>307</v>
      </c>
    </row>
    <row r="174" spans="1:11" ht="14.4" customHeight="1" thickBot="1" x14ac:dyDescent="0.35">
      <c r="A174" s="588" t="s">
        <v>472</v>
      </c>
      <c r="B174" s="566">
        <v>6.7589736927609998</v>
      </c>
      <c r="C174" s="566">
        <v>1.6782999999999999</v>
      </c>
      <c r="D174" s="567">
        <v>-5.0806736927609997</v>
      </c>
      <c r="E174" s="568">
        <v>0.248306928875</v>
      </c>
      <c r="F174" s="566">
        <v>1.58582871395</v>
      </c>
      <c r="G174" s="567">
        <v>0.66076196414599997</v>
      </c>
      <c r="H174" s="569">
        <v>0</v>
      </c>
      <c r="I174" s="566">
        <v>0</v>
      </c>
      <c r="J174" s="567">
        <v>-0.66076196414599997</v>
      </c>
      <c r="K174" s="570">
        <v>0</v>
      </c>
    </row>
    <row r="175" spans="1:11" ht="14.4" customHeight="1" thickBot="1" x14ac:dyDescent="0.35">
      <c r="A175" s="587" t="s">
        <v>473</v>
      </c>
      <c r="B175" s="571">
        <v>0</v>
      </c>
      <c r="C175" s="571">
        <v>347.82670000000002</v>
      </c>
      <c r="D175" s="572">
        <v>347.82670000000002</v>
      </c>
      <c r="E175" s="573" t="s">
        <v>307</v>
      </c>
      <c r="F175" s="571">
        <v>463.00000000012102</v>
      </c>
      <c r="G175" s="572">
        <v>192.91666666671699</v>
      </c>
      <c r="H175" s="574">
        <v>9.2282799999999998</v>
      </c>
      <c r="I175" s="571">
        <v>13.25928</v>
      </c>
      <c r="J175" s="572">
        <v>-179.657386666717</v>
      </c>
      <c r="K175" s="579">
        <v>2.8637753778999998E-2</v>
      </c>
    </row>
    <row r="176" spans="1:11" ht="14.4" customHeight="1" thickBot="1" x14ac:dyDescent="0.35">
      <c r="A176" s="588" t="s">
        <v>474</v>
      </c>
      <c r="B176" s="566">
        <v>0</v>
      </c>
      <c r="C176" s="566">
        <v>321.26740000000001</v>
      </c>
      <c r="D176" s="567">
        <v>321.26740000000001</v>
      </c>
      <c r="E176" s="576" t="s">
        <v>326</v>
      </c>
      <c r="F176" s="566">
        <v>463.00000000012102</v>
      </c>
      <c r="G176" s="567">
        <v>192.91666666671699</v>
      </c>
      <c r="H176" s="569">
        <v>9.2282799999999998</v>
      </c>
      <c r="I176" s="566">
        <v>13.25928</v>
      </c>
      <c r="J176" s="567">
        <v>-179.657386666717</v>
      </c>
      <c r="K176" s="570">
        <v>2.8637753778999998E-2</v>
      </c>
    </row>
    <row r="177" spans="1:11" ht="14.4" customHeight="1" thickBot="1" x14ac:dyDescent="0.35">
      <c r="A177" s="588" t="s">
        <v>475</v>
      </c>
      <c r="B177" s="566">
        <v>0</v>
      </c>
      <c r="C177" s="566">
        <v>26.5593</v>
      </c>
      <c r="D177" s="567">
        <v>26.5593</v>
      </c>
      <c r="E177" s="576" t="s">
        <v>307</v>
      </c>
      <c r="F177" s="566">
        <v>0</v>
      </c>
      <c r="G177" s="567">
        <v>0</v>
      </c>
      <c r="H177" s="569">
        <v>0</v>
      </c>
      <c r="I177" s="566">
        <v>0</v>
      </c>
      <c r="J177" s="567">
        <v>0</v>
      </c>
      <c r="K177" s="577" t="s">
        <v>307</v>
      </c>
    </row>
    <row r="178" spans="1:11" ht="14.4" customHeight="1" thickBot="1" x14ac:dyDescent="0.35">
      <c r="A178" s="587" t="s">
        <v>476</v>
      </c>
      <c r="B178" s="571">
        <v>0</v>
      </c>
      <c r="C178" s="571">
        <v>885.20786999999996</v>
      </c>
      <c r="D178" s="572">
        <v>885.20786999999996</v>
      </c>
      <c r="E178" s="573" t="s">
        <v>307</v>
      </c>
      <c r="F178" s="571">
        <v>786.00000000020498</v>
      </c>
      <c r="G178" s="572">
        <v>327.500000000086</v>
      </c>
      <c r="H178" s="574">
        <v>0</v>
      </c>
      <c r="I178" s="571">
        <v>0</v>
      </c>
      <c r="J178" s="572">
        <v>-327.500000000086</v>
      </c>
      <c r="K178" s="579">
        <v>0</v>
      </c>
    </row>
    <row r="179" spans="1:11" ht="14.4" customHeight="1" thickBot="1" x14ac:dyDescent="0.35">
      <c r="A179" s="588" t="s">
        <v>477</v>
      </c>
      <c r="B179" s="566">
        <v>0</v>
      </c>
      <c r="C179" s="566">
        <v>885.20786999999996</v>
      </c>
      <c r="D179" s="567">
        <v>885.20786999999996</v>
      </c>
      <c r="E179" s="576" t="s">
        <v>326</v>
      </c>
      <c r="F179" s="566">
        <v>786.00000000020498</v>
      </c>
      <c r="G179" s="567">
        <v>327.500000000086</v>
      </c>
      <c r="H179" s="569">
        <v>0</v>
      </c>
      <c r="I179" s="566">
        <v>0</v>
      </c>
      <c r="J179" s="567">
        <v>-327.500000000086</v>
      </c>
      <c r="K179" s="570">
        <v>0</v>
      </c>
    </row>
    <row r="180" spans="1:11" ht="14.4" customHeight="1" thickBot="1" x14ac:dyDescent="0.35">
      <c r="A180" s="587" t="s">
        <v>478</v>
      </c>
      <c r="B180" s="571">
        <v>74232</v>
      </c>
      <c r="C180" s="571">
        <v>64568.38465</v>
      </c>
      <c r="D180" s="572">
        <v>-9663.6153500000401</v>
      </c>
      <c r="E180" s="578">
        <v>0.86981873922200004</v>
      </c>
      <c r="F180" s="571">
        <v>67066.000000017506</v>
      </c>
      <c r="G180" s="572">
        <v>27944.166666673998</v>
      </c>
      <c r="H180" s="574">
        <v>7111.5875299999998</v>
      </c>
      <c r="I180" s="571">
        <v>30999.21717</v>
      </c>
      <c r="J180" s="572">
        <v>3055.0505033260301</v>
      </c>
      <c r="K180" s="579">
        <v>0.46221956237099998</v>
      </c>
    </row>
    <row r="181" spans="1:11" ht="14.4" customHeight="1" thickBot="1" x14ac:dyDescent="0.35">
      <c r="A181" s="588" t="s">
        <v>479</v>
      </c>
      <c r="B181" s="566">
        <v>22415</v>
      </c>
      <c r="C181" s="566">
        <v>16427.629649999999</v>
      </c>
      <c r="D181" s="567">
        <v>-5987.3703500000202</v>
      </c>
      <c r="E181" s="568">
        <v>0.73288555208499995</v>
      </c>
      <c r="F181" s="566">
        <v>17667.000000004598</v>
      </c>
      <c r="G181" s="567">
        <v>7361.2500000019199</v>
      </c>
      <c r="H181" s="569">
        <v>2176.1587800000002</v>
      </c>
      <c r="I181" s="566">
        <v>8476.9766099999997</v>
      </c>
      <c r="J181" s="567">
        <v>1115.72660999808</v>
      </c>
      <c r="K181" s="570">
        <v>0.47981981151199998</v>
      </c>
    </row>
    <row r="182" spans="1:11" ht="14.4" customHeight="1" thickBot="1" x14ac:dyDescent="0.35">
      <c r="A182" s="588" t="s">
        <v>480</v>
      </c>
      <c r="B182" s="566">
        <v>51817</v>
      </c>
      <c r="C182" s="566">
        <v>48140.754999999997</v>
      </c>
      <c r="D182" s="567">
        <v>-3676.2450000000199</v>
      </c>
      <c r="E182" s="568">
        <v>0.92905330296999999</v>
      </c>
      <c r="F182" s="566">
        <v>49399.0000000129</v>
      </c>
      <c r="G182" s="567">
        <v>20582.916666672001</v>
      </c>
      <c r="H182" s="569">
        <v>4935.42875</v>
      </c>
      <c r="I182" s="566">
        <v>22522.240559999998</v>
      </c>
      <c r="J182" s="567">
        <v>1939.3238933279499</v>
      </c>
      <c r="K182" s="570">
        <v>0.45592503006099999</v>
      </c>
    </row>
    <row r="183" spans="1:11" ht="14.4" customHeight="1" thickBot="1" x14ac:dyDescent="0.35">
      <c r="A183" s="587" t="s">
        <v>481</v>
      </c>
      <c r="B183" s="571">
        <v>0</v>
      </c>
      <c r="C183" s="571">
        <v>6029.4945900000002</v>
      </c>
      <c r="D183" s="572">
        <v>6029.4945900000002</v>
      </c>
      <c r="E183" s="573" t="s">
        <v>307</v>
      </c>
      <c r="F183" s="571">
        <v>0</v>
      </c>
      <c r="G183" s="572">
        <v>0</v>
      </c>
      <c r="H183" s="574">
        <v>19.10275</v>
      </c>
      <c r="I183" s="571">
        <v>829.95928000000004</v>
      </c>
      <c r="J183" s="572">
        <v>829.95928000000004</v>
      </c>
      <c r="K183" s="575" t="s">
        <v>307</v>
      </c>
    </row>
    <row r="184" spans="1:11" ht="14.4" customHeight="1" thickBot="1" x14ac:dyDescent="0.35">
      <c r="A184" s="588" t="s">
        <v>482</v>
      </c>
      <c r="B184" s="566">
        <v>0</v>
      </c>
      <c r="C184" s="566">
        <v>160.95596</v>
      </c>
      <c r="D184" s="567">
        <v>160.95596</v>
      </c>
      <c r="E184" s="576" t="s">
        <v>307</v>
      </c>
      <c r="F184" s="566">
        <v>0</v>
      </c>
      <c r="G184" s="567">
        <v>0</v>
      </c>
      <c r="H184" s="569">
        <v>0</v>
      </c>
      <c r="I184" s="566">
        <v>0</v>
      </c>
      <c r="J184" s="567">
        <v>0</v>
      </c>
      <c r="K184" s="577" t="s">
        <v>307</v>
      </c>
    </row>
    <row r="185" spans="1:11" ht="14.4" customHeight="1" thickBot="1" x14ac:dyDescent="0.35">
      <c r="A185" s="588" t="s">
        <v>483</v>
      </c>
      <c r="B185" s="566">
        <v>0</v>
      </c>
      <c r="C185" s="566">
        <v>5868.53863</v>
      </c>
      <c r="D185" s="567">
        <v>5868.53863</v>
      </c>
      <c r="E185" s="576" t="s">
        <v>307</v>
      </c>
      <c r="F185" s="566">
        <v>0</v>
      </c>
      <c r="G185" s="567">
        <v>0</v>
      </c>
      <c r="H185" s="569">
        <v>19.10275</v>
      </c>
      <c r="I185" s="566">
        <v>829.95928000000004</v>
      </c>
      <c r="J185" s="567">
        <v>829.95928000000004</v>
      </c>
      <c r="K185" s="577" t="s">
        <v>307</v>
      </c>
    </row>
    <row r="186" spans="1:11" ht="14.4" customHeight="1" thickBot="1" x14ac:dyDescent="0.35">
      <c r="A186" s="586" t="s">
        <v>484</v>
      </c>
      <c r="B186" s="566">
        <v>0</v>
      </c>
      <c r="C186" s="566">
        <v>139.39551</v>
      </c>
      <c r="D186" s="567">
        <v>139.39551</v>
      </c>
      <c r="E186" s="576" t="s">
        <v>307</v>
      </c>
      <c r="F186" s="566">
        <v>176.00000000004599</v>
      </c>
      <c r="G186" s="567">
        <v>73.333333333352002</v>
      </c>
      <c r="H186" s="569">
        <v>10.02671</v>
      </c>
      <c r="I186" s="566">
        <v>46.50235</v>
      </c>
      <c r="J186" s="567">
        <v>-26.830983333351998</v>
      </c>
      <c r="K186" s="570">
        <v>0.264217897727</v>
      </c>
    </row>
    <row r="187" spans="1:11" ht="14.4" customHeight="1" thickBot="1" x14ac:dyDescent="0.35">
      <c r="A187" s="587" t="s">
        <v>485</v>
      </c>
      <c r="B187" s="571">
        <v>0</v>
      </c>
      <c r="C187" s="571">
        <v>139.39551</v>
      </c>
      <c r="D187" s="572">
        <v>139.39551</v>
      </c>
      <c r="E187" s="573" t="s">
        <v>307</v>
      </c>
      <c r="F187" s="571">
        <v>176.00000000004599</v>
      </c>
      <c r="G187" s="572">
        <v>73.333333333352002</v>
      </c>
      <c r="H187" s="574">
        <v>10.02671</v>
      </c>
      <c r="I187" s="571">
        <v>46.50235</v>
      </c>
      <c r="J187" s="572">
        <v>-26.830983333351998</v>
      </c>
      <c r="K187" s="579">
        <v>0.264217897727</v>
      </c>
    </row>
    <row r="188" spans="1:11" ht="14.4" customHeight="1" thickBot="1" x14ac:dyDescent="0.35">
      <c r="A188" s="588" t="s">
        <v>486</v>
      </c>
      <c r="B188" s="566">
        <v>0</v>
      </c>
      <c r="C188" s="566">
        <v>139.39551</v>
      </c>
      <c r="D188" s="567">
        <v>139.39551</v>
      </c>
      <c r="E188" s="576" t="s">
        <v>307</v>
      </c>
      <c r="F188" s="566">
        <v>176.00000000004599</v>
      </c>
      <c r="G188" s="567">
        <v>73.333333333352002</v>
      </c>
      <c r="H188" s="569">
        <v>10.02671</v>
      </c>
      <c r="I188" s="566">
        <v>46.50235</v>
      </c>
      <c r="J188" s="567">
        <v>-26.830983333351998</v>
      </c>
      <c r="K188" s="570">
        <v>0.264217897727</v>
      </c>
    </row>
    <row r="189" spans="1:11" ht="14.4" customHeight="1" thickBot="1" x14ac:dyDescent="0.35">
      <c r="A189" s="585" t="s">
        <v>487</v>
      </c>
      <c r="B189" s="566">
        <v>52.334480502433998</v>
      </c>
      <c r="C189" s="566">
        <v>303.53919000000002</v>
      </c>
      <c r="D189" s="567">
        <v>251.204709497566</v>
      </c>
      <c r="E189" s="568">
        <v>5.7999847726749998</v>
      </c>
      <c r="F189" s="566">
        <v>63</v>
      </c>
      <c r="G189" s="567">
        <v>26.25</v>
      </c>
      <c r="H189" s="569">
        <v>12.396699999999999</v>
      </c>
      <c r="I189" s="566">
        <v>53.856349999999999</v>
      </c>
      <c r="J189" s="567">
        <v>27.606349999999999</v>
      </c>
      <c r="K189" s="570">
        <v>0.85486269841200002</v>
      </c>
    </row>
    <row r="190" spans="1:11" ht="14.4" customHeight="1" thickBot="1" x14ac:dyDescent="0.35">
      <c r="A190" s="586" t="s">
        <v>488</v>
      </c>
      <c r="B190" s="566">
        <v>0</v>
      </c>
      <c r="C190" s="566">
        <v>87.337800000000001</v>
      </c>
      <c r="D190" s="567">
        <v>87.337800000000001</v>
      </c>
      <c r="E190" s="576" t="s">
        <v>307</v>
      </c>
      <c r="F190" s="566">
        <v>0</v>
      </c>
      <c r="G190" s="567">
        <v>0</v>
      </c>
      <c r="H190" s="569">
        <v>0</v>
      </c>
      <c r="I190" s="566">
        <v>0</v>
      </c>
      <c r="J190" s="567">
        <v>0</v>
      </c>
      <c r="K190" s="577" t="s">
        <v>307</v>
      </c>
    </row>
    <row r="191" spans="1:11" ht="14.4" customHeight="1" thickBot="1" x14ac:dyDescent="0.35">
      <c r="A191" s="587" t="s">
        <v>489</v>
      </c>
      <c r="B191" s="571">
        <v>0</v>
      </c>
      <c r="C191" s="571">
        <v>87.337800000000001</v>
      </c>
      <c r="D191" s="572">
        <v>87.337800000000001</v>
      </c>
      <c r="E191" s="573" t="s">
        <v>326</v>
      </c>
      <c r="F191" s="571">
        <v>0</v>
      </c>
      <c r="G191" s="572">
        <v>0</v>
      </c>
      <c r="H191" s="574">
        <v>0</v>
      </c>
      <c r="I191" s="571">
        <v>0</v>
      </c>
      <c r="J191" s="572">
        <v>0</v>
      </c>
      <c r="K191" s="575" t="s">
        <v>307</v>
      </c>
    </row>
    <row r="192" spans="1:11" ht="14.4" customHeight="1" thickBot="1" x14ac:dyDescent="0.35">
      <c r="A192" s="588" t="s">
        <v>490</v>
      </c>
      <c r="B192" s="566">
        <v>0</v>
      </c>
      <c r="C192" s="566">
        <v>87.337800000000001</v>
      </c>
      <c r="D192" s="567">
        <v>87.337800000000001</v>
      </c>
      <c r="E192" s="576" t="s">
        <v>326</v>
      </c>
      <c r="F192" s="566">
        <v>0</v>
      </c>
      <c r="G192" s="567">
        <v>0</v>
      </c>
      <c r="H192" s="569">
        <v>0</v>
      </c>
      <c r="I192" s="566">
        <v>0</v>
      </c>
      <c r="J192" s="567">
        <v>0</v>
      </c>
      <c r="K192" s="577" t="s">
        <v>307</v>
      </c>
    </row>
    <row r="193" spans="1:11" ht="14.4" customHeight="1" thickBot="1" x14ac:dyDescent="0.35">
      <c r="A193" s="591" t="s">
        <v>491</v>
      </c>
      <c r="B193" s="571">
        <v>52.334480502433998</v>
      </c>
      <c r="C193" s="571">
        <v>216.20139</v>
      </c>
      <c r="D193" s="572">
        <v>163.86690949756601</v>
      </c>
      <c r="E193" s="578">
        <v>4.131146195096</v>
      </c>
      <c r="F193" s="571">
        <v>63</v>
      </c>
      <c r="G193" s="572">
        <v>26.25</v>
      </c>
      <c r="H193" s="574">
        <v>12.396699999999999</v>
      </c>
      <c r="I193" s="571">
        <v>53.856349999999999</v>
      </c>
      <c r="J193" s="572">
        <v>27.606349999999999</v>
      </c>
      <c r="K193" s="579">
        <v>0.85486269841200002</v>
      </c>
    </row>
    <row r="194" spans="1:11" ht="14.4" customHeight="1" thickBot="1" x14ac:dyDescent="0.35">
      <c r="A194" s="587" t="s">
        <v>492</v>
      </c>
      <c r="B194" s="571">
        <v>0</v>
      </c>
      <c r="C194" s="571">
        <v>59.999119999999998</v>
      </c>
      <c r="D194" s="572">
        <v>59.999119999999998</v>
      </c>
      <c r="E194" s="573" t="s">
        <v>307</v>
      </c>
      <c r="F194" s="571">
        <v>0</v>
      </c>
      <c r="G194" s="572">
        <v>0</v>
      </c>
      <c r="H194" s="574">
        <v>1.0000000000000001E-5</v>
      </c>
      <c r="I194" s="571">
        <v>-4.0000000000000003E-5</v>
      </c>
      <c r="J194" s="572">
        <v>-4.0000000000000003E-5</v>
      </c>
      <c r="K194" s="575" t="s">
        <v>307</v>
      </c>
    </row>
    <row r="195" spans="1:11" ht="14.4" customHeight="1" thickBot="1" x14ac:dyDescent="0.35">
      <c r="A195" s="588" t="s">
        <v>493</v>
      </c>
      <c r="B195" s="566">
        <v>0</v>
      </c>
      <c r="C195" s="566">
        <v>-8.8000000000000003E-4</v>
      </c>
      <c r="D195" s="567">
        <v>-8.8000000000000003E-4</v>
      </c>
      <c r="E195" s="576" t="s">
        <v>307</v>
      </c>
      <c r="F195" s="566">
        <v>0</v>
      </c>
      <c r="G195" s="567">
        <v>0</v>
      </c>
      <c r="H195" s="569">
        <v>1.0000000000000001E-5</v>
      </c>
      <c r="I195" s="566">
        <v>-4.0000000000000003E-5</v>
      </c>
      <c r="J195" s="567">
        <v>-4.0000000000000003E-5</v>
      </c>
      <c r="K195" s="577" t="s">
        <v>307</v>
      </c>
    </row>
    <row r="196" spans="1:11" ht="14.4" customHeight="1" thickBot="1" x14ac:dyDescent="0.35">
      <c r="A196" s="588" t="s">
        <v>494</v>
      </c>
      <c r="B196" s="566">
        <v>0</v>
      </c>
      <c r="C196" s="566">
        <v>60</v>
      </c>
      <c r="D196" s="567">
        <v>60</v>
      </c>
      <c r="E196" s="576" t="s">
        <v>326</v>
      </c>
      <c r="F196" s="566">
        <v>0</v>
      </c>
      <c r="G196" s="567">
        <v>0</v>
      </c>
      <c r="H196" s="569">
        <v>0</v>
      </c>
      <c r="I196" s="566">
        <v>0</v>
      </c>
      <c r="J196" s="567">
        <v>0</v>
      </c>
      <c r="K196" s="577" t="s">
        <v>307</v>
      </c>
    </row>
    <row r="197" spans="1:11" ht="14.4" customHeight="1" thickBot="1" x14ac:dyDescent="0.35">
      <c r="A197" s="587" t="s">
        <v>495</v>
      </c>
      <c r="B197" s="571">
        <v>52.334480502433998</v>
      </c>
      <c r="C197" s="571">
        <v>72.975269999999995</v>
      </c>
      <c r="D197" s="572">
        <v>20.640789497564999</v>
      </c>
      <c r="E197" s="578">
        <v>1.3944013449520001</v>
      </c>
      <c r="F197" s="571">
        <v>63</v>
      </c>
      <c r="G197" s="572">
        <v>26.25</v>
      </c>
      <c r="H197" s="574">
        <v>12.39669</v>
      </c>
      <c r="I197" s="571">
        <v>34.917389999999997</v>
      </c>
      <c r="J197" s="572">
        <v>8.6673899999999993</v>
      </c>
      <c r="K197" s="579">
        <v>0.55424428571399997</v>
      </c>
    </row>
    <row r="198" spans="1:11" ht="14.4" customHeight="1" thickBot="1" x14ac:dyDescent="0.35">
      <c r="A198" s="588" t="s">
        <v>496</v>
      </c>
      <c r="B198" s="566">
        <v>52.334480502433998</v>
      </c>
      <c r="C198" s="566">
        <v>72.975269999999995</v>
      </c>
      <c r="D198" s="567">
        <v>20.640789497564999</v>
      </c>
      <c r="E198" s="568">
        <v>1.3944013449520001</v>
      </c>
      <c r="F198" s="566">
        <v>63</v>
      </c>
      <c r="G198" s="567">
        <v>26.25</v>
      </c>
      <c r="H198" s="569">
        <v>12.39669</v>
      </c>
      <c r="I198" s="566">
        <v>34.917389999999997</v>
      </c>
      <c r="J198" s="567">
        <v>8.6673899999999993</v>
      </c>
      <c r="K198" s="570">
        <v>0.55424428571399997</v>
      </c>
    </row>
    <row r="199" spans="1:11" ht="14.4" customHeight="1" thickBot="1" x14ac:dyDescent="0.35">
      <c r="A199" s="587" t="s">
        <v>497</v>
      </c>
      <c r="B199" s="571">
        <v>0</v>
      </c>
      <c r="C199" s="571">
        <v>83.227000000000004</v>
      </c>
      <c r="D199" s="572">
        <v>83.227000000000004</v>
      </c>
      <c r="E199" s="573" t="s">
        <v>307</v>
      </c>
      <c r="F199" s="571">
        <v>0</v>
      </c>
      <c r="G199" s="572">
        <v>0</v>
      </c>
      <c r="H199" s="574">
        <v>0</v>
      </c>
      <c r="I199" s="571">
        <v>18.939</v>
      </c>
      <c r="J199" s="572">
        <v>18.939</v>
      </c>
      <c r="K199" s="575" t="s">
        <v>307</v>
      </c>
    </row>
    <row r="200" spans="1:11" ht="14.4" customHeight="1" thickBot="1" x14ac:dyDescent="0.35">
      <c r="A200" s="588" t="s">
        <v>498</v>
      </c>
      <c r="B200" s="566">
        <v>0</v>
      </c>
      <c r="C200" s="566">
        <v>83.227000000000004</v>
      </c>
      <c r="D200" s="567">
        <v>83.227000000000004</v>
      </c>
      <c r="E200" s="576" t="s">
        <v>307</v>
      </c>
      <c r="F200" s="566">
        <v>0</v>
      </c>
      <c r="G200" s="567">
        <v>0</v>
      </c>
      <c r="H200" s="569">
        <v>0</v>
      </c>
      <c r="I200" s="566">
        <v>18.939</v>
      </c>
      <c r="J200" s="567">
        <v>18.939</v>
      </c>
      <c r="K200" s="577" t="s">
        <v>307</v>
      </c>
    </row>
    <row r="201" spans="1:11" ht="14.4" customHeight="1" thickBot="1" x14ac:dyDescent="0.35">
      <c r="A201" s="585" t="s">
        <v>499</v>
      </c>
      <c r="B201" s="566">
        <v>0</v>
      </c>
      <c r="C201" s="566">
        <v>5.2500000000000003E-3</v>
      </c>
      <c r="D201" s="567">
        <v>5.2500000000000003E-3</v>
      </c>
      <c r="E201" s="576" t="s">
        <v>326</v>
      </c>
      <c r="F201" s="566">
        <v>0</v>
      </c>
      <c r="G201" s="567">
        <v>0</v>
      </c>
      <c r="H201" s="569">
        <v>0</v>
      </c>
      <c r="I201" s="566">
        <v>0</v>
      </c>
      <c r="J201" s="567">
        <v>0</v>
      </c>
      <c r="K201" s="570">
        <v>0</v>
      </c>
    </row>
    <row r="202" spans="1:11" ht="14.4" customHeight="1" thickBot="1" x14ac:dyDescent="0.35">
      <c r="A202" s="591" t="s">
        <v>500</v>
      </c>
      <c r="B202" s="571">
        <v>0</v>
      </c>
      <c r="C202" s="571">
        <v>5.2500000000000003E-3</v>
      </c>
      <c r="D202" s="572">
        <v>5.2500000000000003E-3</v>
      </c>
      <c r="E202" s="573" t="s">
        <v>326</v>
      </c>
      <c r="F202" s="571">
        <v>0</v>
      </c>
      <c r="G202" s="572">
        <v>0</v>
      </c>
      <c r="H202" s="574">
        <v>0</v>
      </c>
      <c r="I202" s="571">
        <v>0</v>
      </c>
      <c r="J202" s="572">
        <v>0</v>
      </c>
      <c r="K202" s="579">
        <v>0</v>
      </c>
    </row>
    <row r="203" spans="1:11" ht="14.4" customHeight="1" thickBot="1" x14ac:dyDescent="0.35">
      <c r="A203" s="587" t="s">
        <v>501</v>
      </c>
      <c r="B203" s="571">
        <v>0</v>
      </c>
      <c r="C203" s="571">
        <v>5.2500000000000003E-3</v>
      </c>
      <c r="D203" s="572">
        <v>5.2500000000000003E-3</v>
      </c>
      <c r="E203" s="573" t="s">
        <v>326</v>
      </c>
      <c r="F203" s="571">
        <v>0</v>
      </c>
      <c r="G203" s="572">
        <v>0</v>
      </c>
      <c r="H203" s="574">
        <v>0</v>
      </c>
      <c r="I203" s="571">
        <v>0</v>
      </c>
      <c r="J203" s="572">
        <v>0</v>
      </c>
      <c r="K203" s="579">
        <v>0</v>
      </c>
    </row>
    <row r="204" spans="1:11" ht="14.4" customHeight="1" thickBot="1" x14ac:dyDescent="0.35">
      <c r="A204" s="588" t="s">
        <v>502</v>
      </c>
      <c r="B204" s="566">
        <v>0</v>
      </c>
      <c r="C204" s="566">
        <v>5.2500000000000003E-3</v>
      </c>
      <c r="D204" s="567">
        <v>5.2500000000000003E-3</v>
      </c>
      <c r="E204" s="576" t="s">
        <v>326</v>
      </c>
      <c r="F204" s="566">
        <v>0</v>
      </c>
      <c r="G204" s="567">
        <v>0</v>
      </c>
      <c r="H204" s="569">
        <v>0</v>
      </c>
      <c r="I204" s="566">
        <v>0</v>
      </c>
      <c r="J204" s="567">
        <v>0</v>
      </c>
      <c r="K204" s="570">
        <v>0</v>
      </c>
    </row>
    <row r="205" spans="1:11" ht="14.4" customHeight="1" thickBot="1" x14ac:dyDescent="0.35">
      <c r="A205" s="585" t="s">
        <v>503</v>
      </c>
      <c r="B205" s="566">
        <v>40</v>
      </c>
      <c r="C205" s="566">
        <v>64.956000000000003</v>
      </c>
      <c r="D205" s="567">
        <v>24.956</v>
      </c>
      <c r="E205" s="568">
        <v>1.6238999999999999</v>
      </c>
      <c r="F205" s="566">
        <v>29.422690984669</v>
      </c>
      <c r="G205" s="567">
        <v>12.259454576945</v>
      </c>
      <c r="H205" s="569">
        <v>2.0619999999999998</v>
      </c>
      <c r="I205" s="566">
        <v>10.313000000000001</v>
      </c>
      <c r="J205" s="567">
        <v>-1.9464545769449999</v>
      </c>
      <c r="K205" s="570">
        <v>0.35051178715600001</v>
      </c>
    </row>
    <row r="206" spans="1:11" ht="14.4" customHeight="1" thickBot="1" x14ac:dyDescent="0.35">
      <c r="A206" s="591" t="s">
        <v>504</v>
      </c>
      <c r="B206" s="571">
        <v>40</v>
      </c>
      <c r="C206" s="571">
        <v>64.956000000000003</v>
      </c>
      <c r="D206" s="572">
        <v>24.956</v>
      </c>
      <c r="E206" s="578">
        <v>1.6238999999999999</v>
      </c>
      <c r="F206" s="571">
        <v>29.422690984669</v>
      </c>
      <c r="G206" s="572">
        <v>12.259454576945</v>
      </c>
      <c r="H206" s="574">
        <v>2.0619999999999998</v>
      </c>
      <c r="I206" s="571">
        <v>10.313000000000001</v>
      </c>
      <c r="J206" s="572">
        <v>-1.9464545769449999</v>
      </c>
      <c r="K206" s="579">
        <v>0.35051178715600001</v>
      </c>
    </row>
    <row r="207" spans="1:11" ht="14.4" customHeight="1" thickBot="1" x14ac:dyDescent="0.35">
      <c r="A207" s="587" t="s">
        <v>505</v>
      </c>
      <c r="B207" s="571">
        <v>40</v>
      </c>
      <c r="C207" s="571">
        <v>40.200000000000003</v>
      </c>
      <c r="D207" s="572">
        <v>0.19999999999900001</v>
      </c>
      <c r="E207" s="578">
        <v>1.0049999999999999</v>
      </c>
      <c r="F207" s="571">
        <v>0</v>
      </c>
      <c r="G207" s="572">
        <v>0</v>
      </c>
      <c r="H207" s="574">
        <v>0</v>
      </c>
      <c r="I207" s="571">
        <v>0</v>
      </c>
      <c r="J207" s="572">
        <v>0</v>
      </c>
      <c r="K207" s="575" t="s">
        <v>307</v>
      </c>
    </row>
    <row r="208" spans="1:11" ht="14.4" customHeight="1" thickBot="1" x14ac:dyDescent="0.35">
      <c r="A208" s="588" t="s">
        <v>506</v>
      </c>
      <c r="B208" s="566">
        <v>40</v>
      </c>
      <c r="C208" s="566">
        <v>40.200000000000003</v>
      </c>
      <c r="D208" s="567">
        <v>0.19999999999900001</v>
      </c>
      <c r="E208" s="568">
        <v>1.0049999999999999</v>
      </c>
      <c r="F208" s="566">
        <v>0</v>
      </c>
      <c r="G208" s="567">
        <v>0</v>
      </c>
      <c r="H208" s="569">
        <v>0</v>
      </c>
      <c r="I208" s="566">
        <v>0</v>
      </c>
      <c r="J208" s="567">
        <v>0</v>
      </c>
      <c r="K208" s="577" t="s">
        <v>307</v>
      </c>
    </row>
    <row r="209" spans="1:11" ht="14.4" customHeight="1" thickBot="1" x14ac:dyDescent="0.35">
      <c r="A209" s="590" t="s">
        <v>507</v>
      </c>
      <c r="B209" s="566">
        <v>0</v>
      </c>
      <c r="C209" s="566">
        <v>24.756</v>
      </c>
      <c r="D209" s="567">
        <v>24.756</v>
      </c>
      <c r="E209" s="576" t="s">
        <v>307</v>
      </c>
      <c r="F209" s="566">
        <v>29.422690984669</v>
      </c>
      <c r="G209" s="567">
        <v>12.259454576945</v>
      </c>
      <c r="H209" s="569">
        <v>2.0619999999999998</v>
      </c>
      <c r="I209" s="566">
        <v>10.313000000000001</v>
      </c>
      <c r="J209" s="567">
        <v>-1.9464545769449999</v>
      </c>
      <c r="K209" s="570">
        <v>0.35051178715600001</v>
      </c>
    </row>
    <row r="210" spans="1:11" ht="14.4" customHeight="1" thickBot="1" x14ac:dyDescent="0.35">
      <c r="A210" s="588" t="s">
        <v>508</v>
      </c>
      <c r="B210" s="566">
        <v>0</v>
      </c>
      <c r="C210" s="566">
        <v>24.756</v>
      </c>
      <c r="D210" s="567">
        <v>24.756</v>
      </c>
      <c r="E210" s="576" t="s">
        <v>307</v>
      </c>
      <c r="F210" s="566">
        <v>29.422690984669</v>
      </c>
      <c r="G210" s="567">
        <v>12.259454576945</v>
      </c>
      <c r="H210" s="569">
        <v>2.0619999999999998</v>
      </c>
      <c r="I210" s="566">
        <v>10.313000000000001</v>
      </c>
      <c r="J210" s="567">
        <v>-1.9464545769449999</v>
      </c>
      <c r="K210" s="570">
        <v>0.35051178715600001</v>
      </c>
    </row>
    <row r="211" spans="1:11" ht="14.4" customHeight="1" thickBot="1" x14ac:dyDescent="0.35">
      <c r="A211" s="584" t="s">
        <v>509</v>
      </c>
      <c r="B211" s="566">
        <v>6394.0059540686098</v>
      </c>
      <c r="C211" s="566">
        <v>7285.4961999999996</v>
      </c>
      <c r="D211" s="567">
        <v>891.49024593138904</v>
      </c>
      <c r="E211" s="568">
        <v>1.139425933027</v>
      </c>
      <c r="F211" s="566">
        <v>0</v>
      </c>
      <c r="G211" s="567">
        <v>0</v>
      </c>
      <c r="H211" s="569">
        <v>557.19857999999999</v>
      </c>
      <c r="I211" s="566">
        <v>3185.1366700000099</v>
      </c>
      <c r="J211" s="567">
        <v>3185.1366700000099</v>
      </c>
      <c r="K211" s="577" t="s">
        <v>307</v>
      </c>
    </row>
    <row r="212" spans="1:11" ht="14.4" customHeight="1" thickBot="1" x14ac:dyDescent="0.35">
      <c r="A212" s="589" t="s">
        <v>510</v>
      </c>
      <c r="B212" s="571">
        <v>6394.0059540686098</v>
      </c>
      <c r="C212" s="571">
        <v>7285.4961999999996</v>
      </c>
      <c r="D212" s="572">
        <v>891.49024593138904</v>
      </c>
      <c r="E212" s="578">
        <v>1.139425933027</v>
      </c>
      <c r="F212" s="571">
        <v>0</v>
      </c>
      <c r="G212" s="572">
        <v>0</v>
      </c>
      <c r="H212" s="574">
        <v>557.19857999999999</v>
      </c>
      <c r="I212" s="571">
        <v>3185.1366700000099</v>
      </c>
      <c r="J212" s="572">
        <v>3185.1366700000099</v>
      </c>
      <c r="K212" s="575" t="s">
        <v>307</v>
      </c>
    </row>
    <row r="213" spans="1:11" ht="14.4" customHeight="1" thickBot="1" x14ac:dyDescent="0.35">
      <c r="A213" s="591" t="s">
        <v>41</v>
      </c>
      <c r="B213" s="571">
        <v>6394.0059540686098</v>
      </c>
      <c r="C213" s="571">
        <v>7285.4961999999996</v>
      </c>
      <c r="D213" s="572">
        <v>891.49024593138904</v>
      </c>
      <c r="E213" s="578">
        <v>1.139425933027</v>
      </c>
      <c r="F213" s="571">
        <v>0</v>
      </c>
      <c r="G213" s="572">
        <v>0</v>
      </c>
      <c r="H213" s="574">
        <v>557.19857999999999</v>
      </c>
      <c r="I213" s="571">
        <v>3185.1366700000099</v>
      </c>
      <c r="J213" s="572">
        <v>3185.1366700000099</v>
      </c>
      <c r="K213" s="575" t="s">
        <v>307</v>
      </c>
    </row>
    <row r="214" spans="1:11" ht="14.4" customHeight="1" thickBot="1" x14ac:dyDescent="0.35">
      <c r="A214" s="587" t="s">
        <v>511</v>
      </c>
      <c r="B214" s="571">
        <v>53</v>
      </c>
      <c r="C214" s="571">
        <v>71.775000000000006</v>
      </c>
      <c r="D214" s="572">
        <v>18.774999999999999</v>
      </c>
      <c r="E214" s="578">
        <v>1.3542452830180001</v>
      </c>
      <c r="F214" s="571">
        <v>0</v>
      </c>
      <c r="G214" s="572">
        <v>0</v>
      </c>
      <c r="H214" s="574">
        <v>7.5750000000000002</v>
      </c>
      <c r="I214" s="571">
        <v>37.814250000000001</v>
      </c>
      <c r="J214" s="572">
        <v>37.814250000000001</v>
      </c>
      <c r="K214" s="575" t="s">
        <v>307</v>
      </c>
    </row>
    <row r="215" spans="1:11" ht="14.4" customHeight="1" thickBot="1" x14ac:dyDescent="0.35">
      <c r="A215" s="588" t="s">
        <v>512</v>
      </c>
      <c r="B215" s="566">
        <v>53</v>
      </c>
      <c r="C215" s="566">
        <v>71.775000000000006</v>
      </c>
      <c r="D215" s="567">
        <v>18.774999999999999</v>
      </c>
      <c r="E215" s="568">
        <v>1.3542452830180001</v>
      </c>
      <c r="F215" s="566">
        <v>0</v>
      </c>
      <c r="G215" s="567">
        <v>0</v>
      </c>
      <c r="H215" s="569">
        <v>7.5750000000000002</v>
      </c>
      <c r="I215" s="566">
        <v>37.814250000000001</v>
      </c>
      <c r="J215" s="567">
        <v>37.814250000000001</v>
      </c>
      <c r="K215" s="577" t="s">
        <v>307</v>
      </c>
    </row>
    <row r="216" spans="1:11" ht="14.4" customHeight="1" thickBot="1" x14ac:dyDescent="0.35">
      <c r="A216" s="587" t="s">
        <v>513</v>
      </c>
      <c r="B216" s="571">
        <v>42.005954068613001</v>
      </c>
      <c r="C216" s="571">
        <v>48.171720000000001</v>
      </c>
      <c r="D216" s="572">
        <v>6.1657659313859998</v>
      </c>
      <c r="E216" s="578">
        <v>1.146783142249</v>
      </c>
      <c r="F216" s="571">
        <v>0</v>
      </c>
      <c r="G216" s="572">
        <v>0</v>
      </c>
      <c r="H216" s="574">
        <v>4.5657800000000002</v>
      </c>
      <c r="I216" s="571">
        <v>33.627459999999999</v>
      </c>
      <c r="J216" s="572">
        <v>33.627459999999999</v>
      </c>
      <c r="K216" s="575" t="s">
        <v>307</v>
      </c>
    </row>
    <row r="217" spans="1:11" ht="14.4" customHeight="1" thickBot="1" x14ac:dyDescent="0.35">
      <c r="A217" s="588" t="s">
        <v>514</v>
      </c>
      <c r="B217" s="566">
        <v>42.005954068613001</v>
      </c>
      <c r="C217" s="566">
        <v>48.171720000000001</v>
      </c>
      <c r="D217" s="567">
        <v>6.1657659313859998</v>
      </c>
      <c r="E217" s="568">
        <v>1.146783142249</v>
      </c>
      <c r="F217" s="566">
        <v>0</v>
      </c>
      <c r="G217" s="567">
        <v>0</v>
      </c>
      <c r="H217" s="569">
        <v>4.5657800000000002</v>
      </c>
      <c r="I217" s="566">
        <v>33.627459999999999</v>
      </c>
      <c r="J217" s="567">
        <v>33.627459999999999</v>
      </c>
      <c r="K217" s="577" t="s">
        <v>307</v>
      </c>
    </row>
    <row r="218" spans="1:11" ht="14.4" customHeight="1" thickBot="1" x14ac:dyDescent="0.35">
      <c r="A218" s="587" t="s">
        <v>515</v>
      </c>
      <c r="B218" s="571">
        <v>1289</v>
      </c>
      <c r="C218" s="571">
        <v>872.80804000000001</v>
      </c>
      <c r="D218" s="572">
        <v>-416.19195999999999</v>
      </c>
      <c r="E218" s="578">
        <v>0.67712027928600005</v>
      </c>
      <c r="F218" s="571">
        <v>0</v>
      </c>
      <c r="G218" s="572">
        <v>0</v>
      </c>
      <c r="H218" s="574">
        <v>71.254360000000005</v>
      </c>
      <c r="I218" s="571">
        <v>354.59909000000101</v>
      </c>
      <c r="J218" s="572">
        <v>354.59909000000101</v>
      </c>
      <c r="K218" s="575" t="s">
        <v>307</v>
      </c>
    </row>
    <row r="219" spans="1:11" ht="14.4" customHeight="1" thickBot="1" x14ac:dyDescent="0.35">
      <c r="A219" s="588" t="s">
        <v>516</v>
      </c>
      <c r="B219" s="566">
        <v>1289</v>
      </c>
      <c r="C219" s="566">
        <v>872.80804000000001</v>
      </c>
      <c r="D219" s="567">
        <v>-416.19195999999999</v>
      </c>
      <c r="E219" s="568">
        <v>0.67712027928600005</v>
      </c>
      <c r="F219" s="566">
        <v>0</v>
      </c>
      <c r="G219" s="567">
        <v>0</v>
      </c>
      <c r="H219" s="569">
        <v>71.254360000000005</v>
      </c>
      <c r="I219" s="566">
        <v>354.59909000000101</v>
      </c>
      <c r="J219" s="567">
        <v>354.59909000000101</v>
      </c>
      <c r="K219" s="577" t="s">
        <v>307</v>
      </c>
    </row>
    <row r="220" spans="1:11" ht="14.4" customHeight="1" thickBot="1" x14ac:dyDescent="0.35">
      <c r="A220" s="587" t="s">
        <v>517</v>
      </c>
      <c r="B220" s="571">
        <v>0</v>
      </c>
      <c r="C220" s="571">
        <v>9.4220000000000006</v>
      </c>
      <c r="D220" s="572">
        <v>9.4220000000000006</v>
      </c>
      <c r="E220" s="573" t="s">
        <v>326</v>
      </c>
      <c r="F220" s="571">
        <v>0</v>
      </c>
      <c r="G220" s="572">
        <v>0</v>
      </c>
      <c r="H220" s="574">
        <v>0.73199999999999998</v>
      </c>
      <c r="I220" s="571">
        <v>4.2750000000000004</v>
      </c>
      <c r="J220" s="572">
        <v>4.2750000000000004</v>
      </c>
      <c r="K220" s="575" t="s">
        <v>307</v>
      </c>
    </row>
    <row r="221" spans="1:11" ht="14.4" customHeight="1" thickBot="1" x14ac:dyDescent="0.35">
      <c r="A221" s="588" t="s">
        <v>518</v>
      </c>
      <c r="B221" s="566">
        <v>0</v>
      </c>
      <c r="C221" s="566">
        <v>9.4220000000000006</v>
      </c>
      <c r="D221" s="567">
        <v>9.4220000000000006</v>
      </c>
      <c r="E221" s="576" t="s">
        <v>326</v>
      </c>
      <c r="F221" s="566">
        <v>0</v>
      </c>
      <c r="G221" s="567">
        <v>0</v>
      </c>
      <c r="H221" s="569">
        <v>0.73199999999999998</v>
      </c>
      <c r="I221" s="566">
        <v>4.2750000000000004</v>
      </c>
      <c r="J221" s="567">
        <v>4.2750000000000004</v>
      </c>
      <c r="K221" s="577" t="s">
        <v>307</v>
      </c>
    </row>
    <row r="222" spans="1:11" ht="14.4" customHeight="1" thickBot="1" x14ac:dyDescent="0.35">
      <c r="A222" s="587" t="s">
        <v>519</v>
      </c>
      <c r="B222" s="571">
        <v>586</v>
      </c>
      <c r="C222" s="571">
        <v>514.13036999999997</v>
      </c>
      <c r="D222" s="572">
        <v>-71.869629999999006</v>
      </c>
      <c r="E222" s="578">
        <v>0.87735558020399995</v>
      </c>
      <c r="F222" s="571">
        <v>0</v>
      </c>
      <c r="G222" s="572">
        <v>0</v>
      </c>
      <c r="H222" s="574">
        <v>28.03134</v>
      </c>
      <c r="I222" s="571">
        <v>165.48736</v>
      </c>
      <c r="J222" s="572">
        <v>165.48736</v>
      </c>
      <c r="K222" s="575" t="s">
        <v>307</v>
      </c>
    </row>
    <row r="223" spans="1:11" ht="14.4" customHeight="1" thickBot="1" x14ac:dyDescent="0.35">
      <c r="A223" s="588" t="s">
        <v>520</v>
      </c>
      <c r="B223" s="566">
        <v>577</v>
      </c>
      <c r="C223" s="566">
        <v>504.70925999999997</v>
      </c>
      <c r="D223" s="567">
        <v>-72.29074</v>
      </c>
      <c r="E223" s="568">
        <v>0.87471275563200002</v>
      </c>
      <c r="F223" s="566">
        <v>0</v>
      </c>
      <c r="G223" s="567">
        <v>0</v>
      </c>
      <c r="H223" s="569">
        <v>28.03134</v>
      </c>
      <c r="I223" s="566">
        <v>165.48736</v>
      </c>
      <c r="J223" s="567">
        <v>165.48736</v>
      </c>
      <c r="K223" s="577" t="s">
        <v>307</v>
      </c>
    </row>
    <row r="224" spans="1:11" ht="14.4" customHeight="1" thickBot="1" x14ac:dyDescent="0.35">
      <c r="A224" s="588" t="s">
        <v>521</v>
      </c>
      <c r="B224" s="566">
        <v>9</v>
      </c>
      <c r="C224" s="566">
        <v>9.4211100000000005</v>
      </c>
      <c r="D224" s="567">
        <v>0.42110999999999998</v>
      </c>
      <c r="E224" s="568">
        <v>1.0467900000000001</v>
      </c>
      <c r="F224" s="566">
        <v>0</v>
      </c>
      <c r="G224" s="567">
        <v>0</v>
      </c>
      <c r="H224" s="569">
        <v>0</v>
      </c>
      <c r="I224" s="566">
        <v>0</v>
      </c>
      <c r="J224" s="567">
        <v>0</v>
      </c>
      <c r="K224" s="577" t="s">
        <v>307</v>
      </c>
    </row>
    <row r="225" spans="1:11" ht="14.4" customHeight="1" thickBot="1" x14ac:dyDescent="0.35">
      <c r="A225" s="587" t="s">
        <v>522</v>
      </c>
      <c r="B225" s="571">
        <v>0</v>
      </c>
      <c r="C225" s="571">
        <v>1110.79016</v>
      </c>
      <c r="D225" s="572">
        <v>1110.79016</v>
      </c>
      <c r="E225" s="573" t="s">
        <v>326</v>
      </c>
      <c r="F225" s="571">
        <v>0</v>
      </c>
      <c r="G225" s="572">
        <v>0</v>
      </c>
      <c r="H225" s="574">
        <v>82.618009999999998</v>
      </c>
      <c r="I225" s="571">
        <v>692.69079000000204</v>
      </c>
      <c r="J225" s="572">
        <v>692.69079000000204</v>
      </c>
      <c r="K225" s="575" t="s">
        <v>307</v>
      </c>
    </row>
    <row r="226" spans="1:11" ht="14.4" customHeight="1" thickBot="1" x14ac:dyDescent="0.35">
      <c r="A226" s="588" t="s">
        <v>523</v>
      </c>
      <c r="B226" s="566">
        <v>0</v>
      </c>
      <c r="C226" s="566">
        <v>1110.79016</v>
      </c>
      <c r="D226" s="567">
        <v>1110.79016</v>
      </c>
      <c r="E226" s="576" t="s">
        <v>326</v>
      </c>
      <c r="F226" s="566">
        <v>0</v>
      </c>
      <c r="G226" s="567">
        <v>0</v>
      </c>
      <c r="H226" s="569">
        <v>82.618009999999998</v>
      </c>
      <c r="I226" s="566">
        <v>692.69079000000204</v>
      </c>
      <c r="J226" s="567">
        <v>692.69079000000204</v>
      </c>
      <c r="K226" s="577" t="s">
        <v>307</v>
      </c>
    </row>
    <row r="227" spans="1:11" ht="14.4" customHeight="1" thickBot="1" x14ac:dyDescent="0.35">
      <c r="A227" s="587" t="s">
        <v>524</v>
      </c>
      <c r="B227" s="571">
        <v>4424</v>
      </c>
      <c r="C227" s="571">
        <v>4658.3989099999999</v>
      </c>
      <c r="D227" s="572">
        <v>234.39891</v>
      </c>
      <c r="E227" s="578">
        <v>1.052983478752</v>
      </c>
      <c r="F227" s="571">
        <v>0</v>
      </c>
      <c r="G227" s="572">
        <v>0</v>
      </c>
      <c r="H227" s="574">
        <v>362.42209000000003</v>
      </c>
      <c r="I227" s="571">
        <v>1896.6427200000101</v>
      </c>
      <c r="J227" s="572">
        <v>1896.6427200000101</v>
      </c>
      <c r="K227" s="575" t="s">
        <v>307</v>
      </c>
    </row>
    <row r="228" spans="1:11" ht="14.4" customHeight="1" thickBot="1" x14ac:dyDescent="0.35">
      <c r="A228" s="588" t="s">
        <v>525</v>
      </c>
      <c r="B228" s="566">
        <v>4424</v>
      </c>
      <c r="C228" s="566">
        <v>4658.3989099999999</v>
      </c>
      <c r="D228" s="567">
        <v>234.39891</v>
      </c>
      <c r="E228" s="568">
        <v>1.052983478752</v>
      </c>
      <c r="F228" s="566">
        <v>0</v>
      </c>
      <c r="G228" s="567">
        <v>0</v>
      </c>
      <c r="H228" s="569">
        <v>362.42209000000003</v>
      </c>
      <c r="I228" s="566">
        <v>1896.6427200000101</v>
      </c>
      <c r="J228" s="567">
        <v>1896.6427200000101</v>
      </c>
      <c r="K228" s="577" t="s">
        <v>307</v>
      </c>
    </row>
    <row r="229" spans="1:11" ht="14.4" customHeight="1" thickBot="1" x14ac:dyDescent="0.35">
      <c r="A229" s="592" t="s">
        <v>526</v>
      </c>
      <c r="B229" s="571">
        <v>0</v>
      </c>
      <c r="C229" s="571">
        <v>5.9749999999999996</v>
      </c>
      <c r="D229" s="572">
        <v>5.9749999999999996</v>
      </c>
      <c r="E229" s="573" t="s">
        <v>326</v>
      </c>
      <c r="F229" s="571">
        <v>0</v>
      </c>
      <c r="G229" s="572">
        <v>0</v>
      </c>
      <c r="H229" s="574">
        <v>0</v>
      </c>
      <c r="I229" s="571">
        <v>0</v>
      </c>
      <c r="J229" s="572">
        <v>0</v>
      </c>
      <c r="K229" s="579">
        <v>0</v>
      </c>
    </row>
    <row r="230" spans="1:11" ht="14.4" customHeight="1" thickBot="1" x14ac:dyDescent="0.35">
      <c r="A230" s="589" t="s">
        <v>527</v>
      </c>
      <c r="B230" s="571">
        <v>0</v>
      </c>
      <c r="C230" s="571">
        <v>5.9749999999999996</v>
      </c>
      <c r="D230" s="572">
        <v>5.9749999999999996</v>
      </c>
      <c r="E230" s="573" t="s">
        <v>326</v>
      </c>
      <c r="F230" s="571">
        <v>0</v>
      </c>
      <c r="G230" s="572">
        <v>0</v>
      </c>
      <c r="H230" s="574">
        <v>0</v>
      </c>
      <c r="I230" s="571">
        <v>0</v>
      </c>
      <c r="J230" s="572">
        <v>0</v>
      </c>
      <c r="K230" s="579">
        <v>0</v>
      </c>
    </row>
    <row r="231" spans="1:11" ht="14.4" customHeight="1" thickBot="1" x14ac:dyDescent="0.35">
      <c r="A231" s="591" t="s">
        <v>528</v>
      </c>
      <c r="B231" s="571">
        <v>0</v>
      </c>
      <c r="C231" s="571">
        <v>5.9749999999999996</v>
      </c>
      <c r="D231" s="572">
        <v>5.9749999999999996</v>
      </c>
      <c r="E231" s="573" t="s">
        <v>326</v>
      </c>
      <c r="F231" s="571">
        <v>0</v>
      </c>
      <c r="G231" s="572">
        <v>0</v>
      </c>
      <c r="H231" s="574">
        <v>0</v>
      </c>
      <c r="I231" s="571">
        <v>0</v>
      </c>
      <c r="J231" s="572">
        <v>0</v>
      </c>
      <c r="K231" s="579">
        <v>0</v>
      </c>
    </row>
    <row r="232" spans="1:11" ht="14.4" customHeight="1" thickBot="1" x14ac:dyDescent="0.35">
      <c r="A232" s="587" t="s">
        <v>529</v>
      </c>
      <c r="B232" s="571">
        <v>0</v>
      </c>
      <c r="C232" s="571">
        <v>5.9749999999999996</v>
      </c>
      <c r="D232" s="572">
        <v>5.9749999999999996</v>
      </c>
      <c r="E232" s="573" t="s">
        <v>326</v>
      </c>
      <c r="F232" s="571">
        <v>0</v>
      </c>
      <c r="G232" s="572">
        <v>0</v>
      </c>
      <c r="H232" s="574">
        <v>0</v>
      </c>
      <c r="I232" s="571">
        <v>0</v>
      </c>
      <c r="J232" s="572">
        <v>0</v>
      </c>
      <c r="K232" s="579">
        <v>0</v>
      </c>
    </row>
    <row r="233" spans="1:11" ht="14.4" customHeight="1" thickBot="1" x14ac:dyDescent="0.35">
      <c r="A233" s="588" t="s">
        <v>530</v>
      </c>
      <c r="B233" s="566">
        <v>0</v>
      </c>
      <c r="C233" s="566">
        <v>5.9749999999999996</v>
      </c>
      <c r="D233" s="567">
        <v>5.9749999999999996</v>
      </c>
      <c r="E233" s="576" t="s">
        <v>326</v>
      </c>
      <c r="F233" s="566">
        <v>0</v>
      </c>
      <c r="G233" s="567">
        <v>0</v>
      </c>
      <c r="H233" s="569">
        <v>0</v>
      </c>
      <c r="I233" s="566">
        <v>0</v>
      </c>
      <c r="J233" s="567">
        <v>0</v>
      </c>
      <c r="K233" s="570">
        <v>0</v>
      </c>
    </row>
    <row r="234" spans="1:11" ht="14.4" customHeight="1" thickBot="1" x14ac:dyDescent="0.35">
      <c r="A234" s="593"/>
      <c r="B234" s="566">
        <v>12216.4686671774</v>
      </c>
      <c r="C234" s="566">
        <v>8692.9817599999697</v>
      </c>
      <c r="D234" s="567">
        <v>-3523.4869071773901</v>
      </c>
      <c r="E234" s="568">
        <v>0.71157893470099998</v>
      </c>
      <c r="F234" s="566">
        <v>12859.271321677101</v>
      </c>
      <c r="G234" s="567">
        <v>5358.0297173654799</v>
      </c>
      <c r="H234" s="569">
        <v>1376.0534299999999</v>
      </c>
      <c r="I234" s="566">
        <v>4133.0614999999798</v>
      </c>
      <c r="J234" s="567">
        <v>-1224.9682173655001</v>
      </c>
      <c r="K234" s="570">
        <v>0.32140713082400002</v>
      </c>
    </row>
    <row r="235" spans="1:11" ht="14.4" customHeight="1" thickBot="1" x14ac:dyDescent="0.35">
      <c r="A235" s="594" t="s">
        <v>53</v>
      </c>
      <c r="B235" s="580">
        <v>12216.4686671774</v>
      </c>
      <c r="C235" s="580">
        <v>8692.9817599999697</v>
      </c>
      <c r="D235" s="581">
        <v>-3523.4869071773901</v>
      </c>
      <c r="E235" s="582" t="s">
        <v>326</v>
      </c>
      <c r="F235" s="580">
        <v>12859.271321677101</v>
      </c>
      <c r="G235" s="581">
        <v>5358.0297173654799</v>
      </c>
      <c r="H235" s="580">
        <v>1376.0534299999999</v>
      </c>
      <c r="I235" s="580">
        <v>4133.0614999999698</v>
      </c>
      <c r="J235" s="581">
        <v>-1224.9682173655101</v>
      </c>
      <c r="K235" s="583">
        <v>0.32140713082400002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20" customWidth="1"/>
    <col min="2" max="2" width="61.109375" style="320" customWidth="1"/>
    <col min="3" max="3" width="9.5546875" style="238" customWidth="1"/>
    <col min="4" max="4" width="9.5546875" style="321" customWidth="1"/>
    <col min="5" max="5" width="2.21875" style="321" customWidth="1"/>
    <col min="6" max="6" width="9.5546875" style="322" customWidth="1"/>
    <col min="7" max="7" width="9.5546875" style="319" customWidth="1"/>
    <col min="8" max="9" width="9.5546875" style="238" customWidth="1"/>
    <col min="10" max="10" width="0" style="238" hidden="1" customWidth="1"/>
    <col min="11" max="16384" width="8.88671875" style="238"/>
  </cols>
  <sheetData>
    <row r="1" spans="1:10" ht="18.600000000000001" customHeight="1" thickBot="1" x14ac:dyDescent="0.4">
      <c r="A1" s="481" t="s">
        <v>158</v>
      </c>
      <c r="B1" s="482"/>
      <c r="C1" s="482"/>
      <c r="D1" s="482"/>
      <c r="E1" s="482"/>
      <c r="F1" s="482"/>
      <c r="G1" s="453"/>
      <c r="H1" s="483"/>
      <c r="I1" s="483"/>
    </row>
    <row r="2" spans="1:10" ht="14.4" customHeight="1" thickBot="1" x14ac:dyDescent="0.35">
      <c r="A2" s="361" t="s">
        <v>306</v>
      </c>
      <c r="B2" s="318"/>
      <c r="C2" s="318"/>
      <c r="D2" s="318"/>
      <c r="E2" s="318"/>
      <c r="F2" s="318"/>
    </row>
    <row r="3" spans="1:10" ht="14.4" customHeight="1" thickBot="1" x14ac:dyDescent="0.35">
      <c r="A3" s="361"/>
      <c r="B3" s="318"/>
      <c r="C3" s="419">
        <v>2013</v>
      </c>
      <c r="D3" s="420">
        <v>2014</v>
      </c>
      <c r="E3" s="11"/>
      <c r="F3" s="476">
        <v>2015</v>
      </c>
      <c r="G3" s="477"/>
      <c r="H3" s="477"/>
      <c r="I3" s="478"/>
    </row>
    <row r="4" spans="1:10" ht="14.4" customHeight="1" thickBot="1" x14ac:dyDescent="0.35">
      <c r="A4" s="424" t="s">
        <v>0</v>
      </c>
      <c r="B4" s="425" t="s">
        <v>264</v>
      </c>
      <c r="C4" s="479" t="s">
        <v>81</v>
      </c>
      <c r="D4" s="480"/>
      <c r="E4" s="426"/>
      <c r="F4" s="421" t="s">
        <v>81</v>
      </c>
      <c r="G4" s="422" t="s">
        <v>82</v>
      </c>
      <c r="H4" s="422" t="s">
        <v>56</v>
      </c>
      <c r="I4" s="423" t="s">
        <v>83</v>
      </c>
    </row>
    <row r="5" spans="1:10" ht="14.4" customHeight="1" x14ac:dyDescent="0.3">
      <c r="A5" s="595" t="s">
        <v>531</v>
      </c>
      <c r="B5" s="596" t="s">
        <v>532</v>
      </c>
      <c r="C5" s="597" t="s">
        <v>533</v>
      </c>
      <c r="D5" s="597" t="s">
        <v>533</v>
      </c>
      <c r="E5" s="597"/>
      <c r="F5" s="597" t="s">
        <v>533</v>
      </c>
      <c r="G5" s="597" t="s">
        <v>533</v>
      </c>
      <c r="H5" s="597" t="s">
        <v>533</v>
      </c>
      <c r="I5" s="598" t="s">
        <v>533</v>
      </c>
      <c r="J5" s="599" t="s">
        <v>61</v>
      </c>
    </row>
    <row r="6" spans="1:10" ht="14.4" customHeight="1" x14ac:dyDescent="0.3">
      <c r="A6" s="595" t="s">
        <v>531</v>
      </c>
      <c r="B6" s="596" t="s">
        <v>315</v>
      </c>
      <c r="C6" s="597">
        <v>712.413939999999</v>
      </c>
      <c r="D6" s="597">
        <v>689.11659999999995</v>
      </c>
      <c r="E6" s="597"/>
      <c r="F6" s="597">
        <v>842.43921999999998</v>
      </c>
      <c r="G6" s="597">
        <v>732.17536681888578</v>
      </c>
      <c r="H6" s="597">
        <v>110.2638531811142</v>
      </c>
      <c r="I6" s="598">
        <v>1.1505976002172571</v>
      </c>
      <c r="J6" s="599" t="s">
        <v>1</v>
      </c>
    </row>
    <row r="7" spans="1:10" ht="14.4" customHeight="1" x14ac:dyDescent="0.3">
      <c r="A7" s="595" t="s">
        <v>531</v>
      </c>
      <c r="B7" s="596" t="s">
        <v>316</v>
      </c>
      <c r="C7" s="597">
        <v>89.055059999999003</v>
      </c>
      <c r="D7" s="597">
        <v>48.530270000000002</v>
      </c>
      <c r="E7" s="597"/>
      <c r="F7" s="597">
        <v>67.249600000000001</v>
      </c>
      <c r="G7" s="597">
        <v>76.121485172388745</v>
      </c>
      <c r="H7" s="597">
        <v>-8.871885172388744</v>
      </c>
      <c r="I7" s="598">
        <v>0.88345097113782001</v>
      </c>
      <c r="J7" s="599" t="s">
        <v>1</v>
      </c>
    </row>
    <row r="8" spans="1:10" ht="14.4" customHeight="1" x14ac:dyDescent="0.3">
      <c r="A8" s="595" t="s">
        <v>531</v>
      </c>
      <c r="B8" s="596" t="s">
        <v>317</v>
      </c>
      <c r="C8" s="597">
        <v>11.14995</v>
      </c>
      <c r="D8" s="597">
        <v>13.552499999999998</v>
      </c>
      <c r="E8" s="597"/>
      <c r="F8" s="597">
        <v>10.36464</v>
      </c>
      <c r="G8" s="597">
        <v>10.760819416660834</v>
      </c>
      <c r="H8" s="597">
        <v>-0.39617941666083389</v>
      </c>
      <c r="I8" s="598">
        <v>0.96318315536013599</v>
      </c>
      <c r="J8" s="599" t="s">
        <v>1</v>
      </c>
    </row>
    <row r="9" spans="1:10" ht="14.4" customHeight="1" x14ac:dyDescent="0.3">
      <c r="A9" s="595" t="s">
        <v>531</v>
      </c>
      <c r="B9" s="596" t="s">
        <v>318</v>
      </c>
      <c r="C9" s="597">
        <v>101.353479999998</v>
      </c>
      <c r="D9" s="597">
        <v>65.661399999999986</v>
      </c>
      <c r="E9" s="597"/>
      <c r="F9" s="597">
        <v>57.512650000000001</v>
      </c>
      <c r="G9" s="597">
        <v>61.375017448174582</v>
      </c>
      <c r="H9" s="597">
        <v>-3.8623674481745809</v>
      </c>
      <c r="I9" s="598">
        <v>0.93706938737026046</v>
      </c>
      <c r="J9" s="599" t="s">
        <v>1</v>
      </c>
    </row>
    <row r="10" spans="1:10" ht="14.4" customHeight="1" x14ac:dyDescent="0.3">
      <c r="A10" s="595" t="s">
        <v>531</v>
      </c>
      <c r="B10" s="596" t="s">
        <v>319</v>
      </c>
      <c r="C10" s="597">
        <v>8.6480899999989997</v>
      </c>
      <c r="D10" s="597">
        <v>3.91662</v>
      </c>
      <c r="E10" s="597"/>
      <c r="F10" s="597">
        <v>3.4618599999999997</v>
      </c>
      <c r="G10" s="597">
        <v>2.7898598188295836</v>
      </c>
      <c r="H10" s="597">
        <v>0.67200018117041616</v>
      </c>
      <c r="I10" s="598">
        <v>1.2408723824168115</v>
      </c>
      <c r="J10" s="599" t="s">
        <v>1</v>
      </c>
    </row>
    <row r="11" spans="1:10" ht="14.4" customHeight="1" x14ac:dyDescent="0.3">
      <c r="A11" s="595" t="s">
        <v>531</v>
      </c>
      <c r="B11" s="596" t="s">
        <v>534</v>
      </c>
      <c r="C11" s="597">
        <v>101.73084</v>
      </c>
      <c r="D11" s="597" t="s">
        <v>533</v>
      </c>
      <c r="E11" s="597"/>
      <c r="F11" s="597" t="s">
        <v>533</v>
      </c>
      <c r="G11" s="597" t="s">
        <v>533</v>
      </c>
      <c r="H11" s="597" t="s">
        <v>533</v>
      </c>
      <c r="I11" s="598" t="s">
        <v>533</v>
      </c>
      <c r="J11" s="599" t="s">
        <v>1</v>
      </c>
    </row>
    <row r="12" spans="1:10" ht="14.4" customHeight="1" x14ac:dyDescent="0.3">
      <c r="A12" s="595" t="s">
        <v>531</v>
      </c>
      <c r="B12" s="596" t="s">
        <v>320</v>
      </c>
      <c r="C12" s="597">
        <v>126.38699999999901</v>
      </c>
      <c r="D12" s="597">
        <v>127.8366</v>
      </c>
      <c r="E12" s="597"/>
      <c r="F12" s="597">
        <v>138.16306</v>
      </c>
      <c r="G12" s="597">
        <v>189.93020819654501</v>
      </c>
      <c r="H12" s="597">
        <v>-51.767148196545008</v>
      </c>
      <c r="I12" s="598">
        <v>0.72744120754622177</v>
      </c>
      <c r="J12" s="599" t="s">
        <v>1</v>
      </c>
    </row>
    <row r="13" spans="1:10" ht="14.4" customHeight="1" x14ac:dyDescent="0.3">
      <c r="A13" s="595" t="s">
        <v>531</v>
      </c>
      <c r="B13" s="596" t="s">
        <v>535</v>
      </c>
      <c r="C13" s="597">
        <v>1150.7383599999939</v>
      </c>
      <c r="D13" s="597">
        <v>948.61398999999983</v>
      </c>
      <c r="E13" s="597"/>
      <c r="F13" s="597">
        <v>1119.19103</v>
      </c>
      <c r="G13" s="597">
        <v>1073.1527568714846</v>
      </c>
      <c r="H13" s="597">
        <v>46.038273128515357</v>
      </c>
      <c r="I13" s="598">
        <v>1.0429000185050343</v>
      </c>
      <c r="J13" s="599" t="s">
        <v>536</v>
      </c>
    </row>
    <row r="15" spans="1:10" ht="14.4" customHeight="1" x14ac:dyDescent="0.3">
      <c r="A15" s="595" t="s">
        <v>531</v>
      </c>
      <c r="B15" s="596" t="s">
        <v>532</v>
      </c>
      <c r="C15" s="597" t="s">
        <v>533</v>
      </c>
      <c r="D15" s="597" t="s">
        <v>533</v>
      </c>
      <c r="E15" s="597"/>
      <c r="F15" s="597" t="s">
        <v>533</v>
      </c>
      <c r="G15" s="597" t="s">
        <v>533</v>
      </c>
      <c r="H15" s="597" t="s">
        <v>533</v>
      </c>
      <c r="I15" s="598" t="s">
        <v>533</v>
      </c>
      <c r="J15" s="599" t="s">
        <v>61</v>
      </c>
    </row>
    <row r="16" spans="1:10" ht="14.4" customHeight="1" x14ac:dyDescent="0.3">
      <c r="A16" s="595" t="s">
        <v>537</v>
      </c>
      <c r="B16" s="596" t="s">
        <v>538</v>
      </c>
      <c r="C16" s="597" t="s">
        <v>533</v>
      </c>
      <c r="D16" s="597" t="s">
        <v>533</v>
      </c>
      <c r="E16" s="597"/>
      <c r="F16" s="597" t="s">
        <v>533</v>
      </c>
      <c r="G16" s="597" t="s">
        <v>533</v>
      </c>
      <c r="H16" s="597" t="s">
        <v>533</v>
      </c>
      <c r="I16" s="598" t="s">
        <v>533</v>
      </c>
      <c r="J16" s="599" t="s">
        <v>0</v>
      </c>
    </row>
    <row r="17" spans="1:10" ht="14.4" customHeight="1" x14ac:dyDescent="0.3">
      <c r="A17" s="595" t="s">
        <v>537</v>
      </c>
      <c r="B17" s="596" t="s">
        <v>315</v>
      </c>
      <c r="C17" s="597">
        <v>67.498609999999999</v>
      </c>
      <c r="D17" s="597">
        <v>69.320459999999997</v>
      </c>
      <c r="E17" s="597"/>
      <c r="F17" s="597">
        <v>75.774420000000006</v>
      </c>
      <c r="G17" s="597">
        <v>81.393645515912922</v>
      </c>
      <c r="H17" s="597">
        <v>-5.6192255159129161</v>
      </c>
      <c r="I17" s="598">
        <v>0.93096235608694633</v>
      </c>
      <c r="J17" s="599" t="s">
        <v>1</v>
      </c>
    </row>
    <row r="18" spans="1:10" ht="14.4" customHeight="1" x14ac:dyDescent="0.3">
      <c r="A18" s="595" t="s">
        <v>537</v>
      </c>
      <c r="B18" s="596" t="s">
        <v>316</v>
      </c>
      <c r="C18" s="597">
        <v>18.643540000000002</v>
      </c>
      <c r="D18" s="597">
        <v>0</v>
      </c>
      <c r="E18" s="597"/>
      <c r="F18" s="597" t="s">
        <v>533</v>
      </c>
      <c r="G18" s="597" t="s">
        <v>533</v>
      </c>
      <c r="H18" s="597" t="s">
        <v>533</v>
      </c>
      <c r="I18" s="598" t="s">
        <v>533</v>
      </c>
      <c r="J18" s="599" t="s">
        <v>1</v>
      </c>
    </row>
    <row r="19" spans="1:10" ht="14.4" customHeight="1" x14ac:dyDescent="0.3">
      <c r="A19" s="595" t="s">
        <v>537</v>
      </c>
      <c r="B19" s="596" t="s">
        <v>317</v>
      </c>
      <c r="C19" s="597" t="s">
        <v>533</v>
      </c>
      <c r="D19" s="597" t="s">
        <v>533</v>
      </c>
      <c r="E19" s="597"/>
      <c r="F19" s="597">
        <v>2.3759999999999999</v>
      </c>
      <c r="G19" s="597">
        <v>0</v>
      </c>
      <c r="H19" s="597">
        <v>2.3759999999999999</v>
      </c>
      <c r="I19" s="598" t="s">
        <v>533</v>
      </c>
      <c r="J19" s="599" t="s">
        <v>1</v>
      </c>
    </row>
    <row r="20" spans="1:10" ht="14.4" customHeight="1" x14ac:dyDescent="0.3">
      <c r="A20" s="595" t="s">
        <v>537</v>
      </c>
      <c r="B20" s="596" t="s">
        <v>318</v>
      </c>
      <c r="C20" s="597">
        <v>3.453779999999</v>
      </c>
      <c r="D20" s="597">
        <v>5.4076699999999995</v>
      </c>
      <c r="E20" s="597"/>
      <c r="F20" s="597">
        <v>4.4219799999999996</v>
      </c>
      <c r="G20" s="597">
        <v>6.5680290831150003</v>
      </c>
      <c r="H20" s="597">
        <v>-2.1460490831150008</v>
      </c>
      <c r="I20" s="598">
        <v>0.67325828555905232</v>
      </c>
      <c r="J20" s="599" t="s">
        <v>1</v>
      </c>
    </row>
    <row r="21" spans="1:10" ht="14.4" customHeight="1" x14ac:dyDescent="0.3">
      <c r="A21" s="595" t="s">
        <v>537</v>
      </c>
      <c r="B21" s="596" t="s">
        <v>319</v>
      </c>
      <c r="C21" s="597">
        <v>0.51483000000000001</v>
      </c>
      <c r="D21" s="597">
        <v>1.2802199999999999</v>
      </c>
      <c r="E21" s="597"/>
      <c r="F21" s="597">
        <v>1.12666</v>
      </c>
      <c r="G21" s="597">
        <v>0.70957450476749995</v>
      </c>
      <c r="H21" s="597">
        <v>0.41708549523250005</v>
      </c>
      <c r="I21" s="598">
        <v>1.5877966195659226</v>
      </c>
      <c r="J21" s="599" t="s">
        <v>1</v>
      </c>
    </row>
    <row r="22" spans="1:10" ht="14.4" customHeight="1" x14ac:dyDescent="0.3">
      <c r="A22" s="595" t="s">
        <v>537</v>
      </c>
      <c r="B22" s="596" t="s">
        <v>320</v>
      </c>
      <c r="C22" s="597">
        <v>61.327049999999005</v>
      </c>
      <c r="D22" s="597">
        <v>61.130700000000004</v>
      </c>
      <c r="E22" s="597"/>
      <c r="F22" s="597">
        <v>67.051779999999994</v>
      </c>
      <c r="G22" s="597">
        <v>62.848686927913342</v>
      </c>
      <c r="H22" s="597">
        <v>4.2030930720866522</v>
      </c>
      <c r="I22" s="598">
        <v>1.066876386405774</v>
      </c>
      <c r="J22" s="599" t="s">
        <v>1</v>
      </c>
    </row>
    <row r="23" spans="1:10" ht="14.4" customHeight="1" x14ac:dyDescent="0.3">
      <c r="A23" s="595" t="s">
        <v>537</v>
      </c>
      <c r="B23" s="596" t="s">
        <v>539</v>
      </c>
      <c r="C23" s="597">
        <v>151.43780999999802</v>
      </c>
      <c r="D23" s="597">
        <v>137.13905</v>
      </c>
      <c r="E23" s="597"/>
      <c r="F23" s="597">
        <v>150.75084000000001</v>
      </c>
      <c r="G23" s="597">
        <v>151.51993603170877</v>
      </c>
      <c r="H23" s="597">
        <v>-0.76909603170875585</v>
      </c>
      <c r="I23" s="598">
        <v>0.99492412647568829</v>
      </c>
      <c r="J23" s="599" t="s">
        <v>540</v>
      </c>
    </row>
    <row r="24" spans="1:10" ht="14.4" customHeight="1" x14ac:dyDescent="0.3">
      <c r="A24" s="595" t="s">
        <v>533</v>
      </c>
      <c r="B24" s="596" t="s">
        <v>533</v>
      </c>
      <c r="C24" s="597" t="s">
        <v>533</v>
      </c>
      <c r="D24" s="597" t="s">
        <v>533</v>
      </c>
      <c r="E24" s="597"/>
      <c r="F24" s="597" t="s">
        <v>533</v>
      </c>
      <c r="G24" s="597" t="s">
        <v>533</v>
      </c>
      <c r="H24" s="597" t="s">
        <v>533</v>
      </c>
      <c r="I24" s="598" t="s">
        <v>533</v>
      </c>
      <c r="J24" s="599" t="s">
        <v>541</v>
      </c>
    </row>
    <row r="25" spans="1:10" ht="14.4" customHeight="1" x14ac:dyDescent="0.3">
      <c r="A25" s="595" t="s">
        <v>542</v>
      </c>
      <c r="B25" s="596" t="s">
        <v>543</v>
      </c>
      <c r="C25" s="597" t="s">
        <v>533</v>
      </c>
      <c r="D25" s="597" t="s">
        <v>533</v>
      </c>
      <c r="E25" s="597"/>
      <c r="F25" s="597" t="s">
        <v>533</v>
      </c>
      <c r="G25" s="597" t="s">
        <v>533</v>
      </c>
      <c r="H25" s="597" t="s">
        <v>533</v>
      </c>
      <c r="I25" s="598" t="s">
        <v>533</v>
      </c>
      <c r="J25" s="599" t="s">
        <v>0</v>
      </c>
    </row>
    <row r="26" spans="1:10" ht="14.4" customHeight="1" x14ac:dyDescent="0.3">
      <c r="A26" s="595" t="s">
        <v>542</v>
      </c>
      <c r="B26" s="596" t="s">
        <v>315</v>
      </c>
      <c r="C26" s="597">
        <v>59.588519999998994</v>
      </c>
      <c r="D26" s="597">
        <v>53.777930000000005</v>
      </c>
      <c r="E26" s="597"/>
      <c r="F26" s="597">
        <v>60.662540000000007</v>
      </c>
      <c r="G26" s="597">
        <v>54.185954105831257</v>
      </c>
      <c r="H26" s="597">
        <v>6.4765858941687497</v>
      </c>
      <c r="I26" s="598">
        <v>1.1195251795607262</v>
      </c>
      <c r="J26" s="599" t="s">
        <v>1</v>
      </c>
    </row>
    <row r="27" spans="1:10" ht="14.4" customHeight="1" x14ac:dyDescent="0.3">
      <c r="A27" s="595" t="s">
        <v>542</v>
      </c>
      <c r="B27" s="596" t="s">
        <v>316</v>
      </c>
      <c r="C27" s="597">
        <v>2.9588599999999996</v>
      </c>
      <c r="D27" s="597">
        <v>0.19825999999999999</v>
      </c>
      <c r="E27" s="597"/>
      <c r="F27" s="597">
        <v>0</v>
      </c>
      <c r="G27" s="597">
        <v>1.1219752935441667</v>
      </c>
      <c r="H27" s="597">
        <v>-1.1219752935441667</v>
      </c>
      <c r="I27" s="598">
        <v>0</v>
      </c>
      <c r="J27" s="599" t="s">
        <v>1</v>
      </c>
    </row>
    <row r="28" spans="1:10" ht="14.4" customHeight="1" x14ac:dyDescent="0.3">
      <c r="A28" s="595" t="s">
        <v>542</v>
      </c>
      <c r="B28" s="596" t="s">
        <v>318</v>
      </c>
      <c r="C28" s="597">
        <v>10.001439999999</v>
      </c>
      <c r="D28" s="597">
        <v>6.2273899999999998</v>
      </c>
      <c r="E28" s="597"/>
      <c r="F28" s="597">
        <v>12.147649999999999</v>
      </c>
      <c r="G28" s="597">
        <v>4.26694228068125</v>
      </c>
      <c r="H28" s="597">
        <v>7.8807077193187487</v>
      </c>
      <c r="I28" s="598">
        <v>2.8469215660588998</v>
      </c>
      <c r="J28" s="599" t="s">
        <v>1</v>
      </c>
    </row>
    <row r="29" spans="1:10" ht="14.4" customHeight="1" x14ac:dyDescent="0.3">
      <c r="A29" s="595" t="s">
        <v>542</v>
      </c>
      <c r="B29" s="596" t="s">
        <v>319</v>
      </c>
      <c r="C29" s="597">
        <v>0.26654999999899998</v>
      </c>
      <c r="D29" s="597">
        <v>0.54123999999999994</v>
      </c>
      <c r="E29" s="597"/>
      <c r="F29" s="597">
        <v>0.47004999999999997</v>
      </c>
      <c r="G29" s="597">
        <v>0.43777096651374997</v>
      </c>
      <c r="H29" s="597">
        <v>3.2279033486249997E-2</v>
      </c>
      <c r="I29" s="598">
        <v>1.0737349800588847</v>
      </c>
      <c r="J29" s="599" t="s">
        <v>1</v>
      </c>
    </row>
    <row r="30" spans="1:10" ht="14.4" customHeight="1" x14ac:dyDescent="0.3">
      <c r="A30" s="595" t="s">
        <v>542</v>
      </c>
      <c r="B30" s="596" t="s">
        <v>544</v>
      </c>
      <c r="C30" s="597">
        <v>72.815369999996989</v>
      </c>
      <c r="D30" s="597">
        <v>60.744820000000004</v>
      </c>
      <c r="E30" s="597"/>
      <c r="F30" s="597">
        <v>73.280240000000006</v>
      </c>
      <c r="G30" s="597">
        <v>60.012642646570427</v>
      </c>
      <c r="H30" s="597">
        <v>13.267597353429579</v>
      </c>
      <c r="I30" s="598">
        <v>1.2210800386106275</v>
      </c>
      <c r="J30" s="599" t="s">
        <v>540</v>
      </c>
    </row>
    <row r="31" spans="1:10" ht="14.4" customHeight="1" x14ac:dyDescent="0.3">
      <c r="A31" s="595" t="s">
        <v>533</v>
      </c>
      <c r="B31" s="596" t="s">
        <v>533</v>
      </c>
      <c r="C31" s="597" t="s">
        <v>533</v>
      </c>
      <c r="D31" s="597" t="s">
        <v>533</v>
      </c>
      <c r="E31" s="597"/>
      <c r="F31" s="597" t="s">
        <v>533</v>
      </c>
      <c r="G31" s="597" t="s">
        <v>533</v>
      </c>
      <c r="H31" s="597" t="s">
        <v>533</v>
      </c>
      <c r="I31" s="598" t="s">
        <v>533</v>
      </c>
      <c r="J31" s="599" t="s">
        <v>541</v>
      </c>
    </row>
    <row r="32" spans="1:10" ht="14.4" customHeight="1" x14ac:dyDescent="0.3">
      <c r="A32" s="595" t="s">
        <v>545</v>
      </c>
      <c r="B32" s="596" t="s">
        <v>546</v>
      </c>
      <c r="C32" s="597" t="s">
        <v>533</v>
      </c>
      <c r="D32" s="597" t="s">
        <v>533</v>
      </c>
      <c r="E32" s="597"/>
      <c r="F32" s="597" t="s">
        <v>533</v>
      </c>
      <c r="G32" s="597" t="s">
        <v>533</v>
      </c>
      <c r="H32" s="597" t="s">
        <v>533</v>
      </c>
      <c r="I32" s="598" t="s">
        <v>533</v>
      </c>
      <c r="J32" s="599" t="s">
        <v>0</v>
      </c>
    </row>
    <row r="33" spans="1:10" ht="14.4" customHeight="1" x14ac:dyDescent="0.3">
      <c r="A33" s="595" t="s">
        <v>545</v>
      </c>
      <c r="B33" s="596" t="s">
        <v>315</v>
      </c>
      <c r="C33" s="597">
        <v>585.32681000000002</v>
      </c>
      <c r="D33" s="597">
        <v>566.01820999999995</v>
      </c>
      <c r="E33" s="597"/>
      <c r="F33" s="597">
        <v>706.00225999999998</v>
      </c>
      <c r="G33" s="597">
        <v>596.59576719714164</v>
      </c>
      <c r="H33" s="597">
        <v>109.40649280285834</v>
      </c>
      <c r="I33" s="598">
        <v>1.1833846279480986</v>
      </c>
      <c r="J33" s="599" t="s">
        <v>1</v>
      </c>
    </row>
    <row r="34" spans="1:10" ht="14.4" customHeight="1" x14ac:dyDescent="0.3">
      <c r="A34" s="595" t="s">
        <v>545</v>
      </c>
      <c r="B34" s="596" t="s">
        <v>316</v>
      </c>
      <c r="C34" s="597">
        <v>67.452659999999</v>
      </c>
      <c r="D34" s="597">
        <v>48.332010000000004</v>
      </c>
      <c r="E34" s="597"/>
      <c r="F34" s="597">
        <v>67.249600000000001</v>
      </c>
      <c r="G34" s="597">
        <v>74.999509878844577</v>
      </c>
      <c r="H34" s="597">
        <v>-7.7499098788445764</v>
      </c>
      <c r="I34" s="598">
        <v>0.89666719300747555</v>
      </c>
      <c r="J34" s="599" t="s">
        <v>1</v>
      </c>
    </row>
    <row r="35" spans="1:10" ht="14.4" customHeight="1" x14ac:dyDescent="0.3">
      <c r="A35" s="595" t="s">
        <v>545</v>
      </c>
      <c r="B35" s="596" t="s">
        <v>317</v>
      </c>
      <c r="C35" s="597">
        <v>11.14995</v>
      </c>
      <c r="D35" s="597">
        <v>13.552499999999998</v>
      </c>
      <c r="E35" s="597"/>
      <c r="F35" s="597">
        <v>7.9886400000000002</v>
      </c>
      <c r="G35" s="597">
        <v>10.760819416660834</v>
      </c>
      <c r="H35" s="597">
        <v>-2.7721794166608333</v>
      </c>
      <c r="I35" s="598">
        <v>0.74238212636774625</v>
      </c>
      <c r="J35" s="599" t="s">
        <v>1</v>
      </c>
    </row>
    <row r="36" spans="1:10" ht="14.4" customHeight="1" x14ac:dyDescent="0.3">
      <c r="A36" s="595" t="s">
        <v>545</v>
      </c>
      <c r="B36" s="596" t="s">
        <v>318</v>
      </c>
      <c r="C36" s="597">
        <v>87.898260000000008</v>
      </c>
      <c r="D36" s="597">
        <v>54.02633999999999</v>
      </c>
      <c r="E36" s="597"/>
      <c r="F36" s="597">
        <v>40.943020000000004</v>
      </c>
      <c r="G36" s="597">
        <v>50.540046084378332</v>
      </c>
      <c r="H36" s="597">
        <v>-9.5970260843783279</v>
      </c>
      <c r="I36" s="598">
        <v>0.81011046035937984</v>
      </c>
      <c r="J36" s="599" t="s">
        <v>1</v>
      </c>
    </row>
    <row r="37" spans="1:10" ht="14.4" customHeight="1" x14ac:dyDescent="0.3">
      <c r="A37" s="595" t="s">
        <v>545</v>
      </c>
      <c r="B37" s="596" t="s">
        <v>319</v>
      </c>
      <c r="C37" s="597">
        <v>7.8667099999999994</v>
      </c>
      <c r="D37" s="597">
        <v>2.0951599999999999</v>
      </c>
      <c r="E37" s="597"/>
      <c r="F37" s="597">
        <v>1.8651499999999999</v>
      </c>
      <c r="G37" s="597">
        <v>1.6425143475483335</v>
      </c>
      <c r="H37" s="597">
        <v>0.22263565245166639</v>
      </c>
      <c r="I37" s="598">
        <v>1.1355456363495267</v>
      </c>
      <c r="J37" s="599" t="s">
        <v>1</v>
      </c>
    </row>
    <row r="38" spans="1:10" ht="14.4" customHeight="1" x14ac:dyDescent="0.3">
      <c r="A38" s="595" t="s">
        <v>545</v>
      </c>
      <c r="B38" s="596" t="s">
        <v>320</v>
      </c>
      <c r="C38" s="597">
        <v>65.059950000000001</v>
      </c>
      <c r="D38" s="597">
        <v>66.7059</v>
      </c>
      <c r="E38" s="597"/>
      <c r="F38" s="597">
        <v>71.111280000000008</v>
      </c>
      <c r="G38" s="597">
        <v>127.08152126863168</v>
      </c>
      <c r="H38" s="597">
        <v>-55.970241268631668</v>
      </c>
      <c r="I38" s="598">
        <v>0.55957214935821553</v>
      </c>
      <c r="J38" s="599" t="s">
        <v>1</v>
      </c>
    </row>
    <row r="39" spans="1:10" ht="14.4" customHeight="1" x14ac:dyDescent="0.3">
      <c r="A39" s="595" t="s">
        <v>545</v>
      </c>
      <c r="B39" s="596" t="s">
        <v>547</v>
      </c>
      <c r="C39" s="597">
        <v>824.75433999999905</v>
      </c>
      <c r="D39" s="597">
        <v>750.73011999999994</v>
      </c>
      <c r="E39" s="597"/>
      <c r="F39" s="597">
        <v>895.15994999999998</v>
      </c>
      <c r="G39" s="597">
        <v>861.62017819320545</v>
      </c>
      <c r="H39" s="597">
        <v>33.539771806794533</v>
      </c>
      <c r="I39" s="598">
        <v>1.0389264001188163</v>
      </c>
      <c r="J39" s="599" t="s">
        <v>540</v>
      </c>
    </row>
    <row r="40" spans="1:10" ht="14.4" customHeight="1" x14ac:dyDescent="0.3">
      <c r="A40" s="595" t="s">
        <v>533</v>
      </c>
      <c r="B40" s="596" t="s">
        <v>533</v>
      </c>
      <c r="C40" s="597" t="s">
        <v>533</v>
      </c>
      <c r="D40" s="597" t="s">
        <v>533</v>
      </c>
      <c r="E40" s="597"/>
      <c r="F40" s="597" t="s">
        <v>533</v>
      </c>
      <c r="G40" s="597" t="s">
        <v>533</v>
      </c>
      <c r="H40" s="597" t="s">
        <v>533</v>
      </c>
      <c r="I40" s="598" t="s">
        <v>533</v>
      </c>
      <c r="J40" s="599" t="s">
        <v>541</v>
      </c>
    </row>
    <row r="41" spans="1:10" ht="14.4" customHeight="1" x14ac:dyDescent="0.3">
      <c r="A41" s="595" t="s">
        <v>548</v>
      </c>
      <c r="B41" s="596" t="s">
        <v>549</v>
      </c>
      <c r="C41" s="597" t="s">
        <v>533</v>
      </c>
      <c r="D41" s="597" t="s">
        <v>533</v>
      </c>
      <c r="E41" s="597"/>
      <c r="F41" s="597" t="s">
        <v>533</v>
      </c>
      <c r="G41" s="597" t="s">
        <v>533</v>
      </c>
      <c r="H41" s="597" t="s">
        <v>533</v>
      </c>
      <c r="I41" s="598" t="s">
        <v>533</v>
      </c>
      <c r="J41" s="599" t="s">
        <v>0</v>
      </c>
    </row>
    <row r="42" spans="1:10" ht="14.4" customHeight="1" x14ac:dyDescent="0.3">
      <c r="A42" s="595" t="s">
        <v>548</v>
      </c>
      <c r="B42" s="596" t="s">
        <v>534</v>
      </c>
      <c r="C42" s="597">
        <v>101.73084</v>
      </c>
      <c r="D42" s="597" t="s">
        <v>533</v>
      </c>
      <c r="E42" s="597"/>
      <c r="F42" s="597" t="s">
        <v>533</v>
      </c>
      <c r="G42" s="597" t="s">
        <v>533</v>
      </c>
      <c r="H42" s="597" t="s">
        <v>533</v>
      </c>
      <c r="I42" s="598" t="s">
        <v>533</v>
      </c>
      <c r="J42" s="599" t="s">
        <v>1</v>
      </c>
    </row>
    <row r="43" spans="1:10" ht="14.4" customHeight="1" x14ac:dyDescent="0.3">
      <c r="A43" s="595" t="s">
        <v>548</v>
      </c>
      <c r="B43" s="596" t="s">
        <v>550</v>
      </c>
      <c r="C43" s="597">
        <v>101.73084</v>
      </c>
      <c r="D43" s="597" t="s">
        <v>533</v>
      </c>
      <c r="E43" s="597"/>
      <c r="F43" s="597" t="s">
        <v>533</v>
      </c>
      <c r="G43" s="597" t="s">
        <v>533</v>
      </c>
      <c r="H43" s="597" t="s">
        <v>533</v>
      </c>
      <c r="I43" s="598" t="s">
        <v>533</v>
      </c>
      <c r="J43" s="599" t="s">
        <v>540</v>
      </c>
    </row>
    <row r="44" spans="1:10" ht="14.4" customHeight="1" x14ac:dyDescent="0.3">
      <c r="A44" s="595" t="s">
        <v>533</v>
      </c>
      <c r="B44" s="596" t="s">
        <v>533</v>
      </c>
      <c r="C44" s="597" t="s">
        <v>533</v>
      </c>
      <c r="D44" s="597" t="s">
        <v>533</v>
      </c>
      <c r="E44" s="597"/>
      <c r="F44" s="597" t="s">
        <v>533</v>
      </c>
      <c r="G44" s="597" t="s">
        <v>533</v>
      </c>
      <c r="H44" s="597" t="s">
        <v>533</v>
      </c>
      <c r="I44" s="598" t="s">
        <v>533</v>
      </c>
      <c r="J44" s="599" t="s">
        <v>541</v>
      </c>
    </row>
    <row r="45" spans="1:10" ht="14.4" customHeight="1" x14ac:dyDescent="0.3">
      <c r="A45" s="595" t="s">
        <v>531</v>
      </c>
      <c r="B45" s="596" t="s">
        <v>535</v>
      </c>
      <c r="C45" s="597">
        <v>1150.7383599999941</v>
      </c>
      <c r="D45" s="597">
        <v>948.61398999999994</v>
      </c>
      <c r="E45" s="597"/>
      <c r="F45" s="597">
        <v>1119.1910300000002</v>
      </c>
      <c r="G45" s="597">
        <v>1073.1527568714846</v>
      </c>
      <c r="H45" s="597">
        <v>46.038273128515584</v>
      </c>
      <c r="I45" s="598">
        <v>1.0429000185050346</v>
      </c>
      <c r="J45" s="599" t="s">
        <v>536</v>
      </c>
    </row>
  </sheetData>
  <mergeCells count="3">
    <mergeCell ref="F3:I3"/>
    <mergeCell ref="C4:D4"/>
    <mergeCell ref="A1:I1"/>
  </mergeCells>
  <conditionalFormatting sqref="F14 F46:F65537">
    <cfRule type="cellIs" dxfId="56" priority="18" stopIfTrue="1" operator="greaterThan">
      <formula>1</formula>
    </cfRule>
  </conditionalFormatting>
  <conditionalFormatting sqref="H5:H13">
    <cfRule type="expression" dxfId="55" priority="14">
      <formula>$H5&gt;0</formula>
    </cfRule>
  </conditionalFormatting>
  <conditionalFormatting sqref="I5:I13">
    <cfRule type="expression" dxfId="54" priority="15">
      <formula>$I5&gt;1</formula>
    </cfRule>
  </conditionalFormatting>
  <conditionalFormatting sqref="B5:B13">
    <cfRule type="expression" dxfId="53" priority="11">
      <formula>OR($J5="NS",$J5="SumaNS",$J5="Účet")</formula>
    </cfRule>
  </conditionalFormatting>
  <conditionalFormatting sqref="B5:D13 F5:I13">
    <cfRule type="expression" dxfId="52" priority="17">
      <formula>AND($J5&lt;&gt;"",$J5&lt;&gt;"mezeraKL")</formula>
    </cfRule>
  </conditionalFormatting>
  <conditionalFormatting sqref="B5:D13 F5:I13">
    <cfRule type="expression" dxfId="5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3 B5:D13">
    <cfRule type="expression" dxfId="50" priority="13">
      <formula>OR($J5="SumaNS",$J5="NS")</formula>
    </cfRule>
  </conditionalFormatting>
  <conditionalFormatting sqref="A5:A13">
    <cfRule type="expression" dxfId="49" priority="9">
      <formula>AND($J5&lt;&gt;"mezeraKL",$J5&lt;&gt;"")</formula>
    </cfRule>
  </conditionalFormatting>
  <conditionalFormatting sqref="A5:A13">
    <cfRule type="expression" dxfId="48" priority="10">
      <formula>AND($J5&lt;&gt;"",$J5&lt;&gt;"mezeraKL")</formula>
    </cfRule>
  </conditionalFormatting>
  <conditionalFormatting sqref="H15:H45">
    <cfRule type="expression" dxfId="47" priority="5">
      <formula>$H15&gt;0</formula>
    </cfRule>
  </conditionalFormatting>
  <conditionalFormatting sqref="A15:A45">
    <cfRule type="expression" dxfId="46" priority="2">
      <formula>AND($J15&lt;&gt;"mezeraKL",$J15&lt;&gt;"")</formula>
    </cfRule>
  </conditionalFormatting>
  <conditionalFormatting sqref="I15:I45">
    <cfRule type="expression" dxfId="45" priority="6">
      <formula>$I15&gt;1</formula>
    </cfRule>
  </conditionalFormatting>
  <conditionalFormatting sqref="B15:B45">
    <cfRule type="expression" dxfId="44" priority="1">
      <formula>OR($J15="NS",$J15="SumaNS",$J15="Účet")</formula>
    </cfRule>
  </conditionalFormatting>
  <conditionalFormatting sqref="A15:D45 F15:I45">
    <cfRule type="expression" dxfId="43" priority="8">
      <formula>AND($J15&lt;&gt;"",$J15&lt;&gt;"mezeraKL")</formula>
    </cfRule>
  </conditionalFormatting>
  <conditionalFormatting sqref="B15:D45 F15:I45">
    <cfRule type="expression" dxfId="4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5 F15:I45">
    <cfRule type="expression" dxfId="4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8" hidden="1" customWidth="1" outlineLevel="1"/>
    <col min="2" max="2" width="28.33203125" style="238" hidden="1" customWidth="1" outlineLevel="1"/>
    <col min="3" max="3" width="5.33203125" style="321" bestFit="1" customWidth="1" collapsed="1"/>
    <col min="4" max="4" width="18.77734375" style="325" customWidth="1"/>
    <col min="5" max="5" width="9" style="321" bestFit="1" customWidth="1"/>
    <col min="6" max="6" width="18.77734375" style="325" customWidth="1"/>
    <col min="7" max="7" width="5" style="321" customWidth="1"/>
    <col min="8" max="8" width="12.44140625" style="321" hidden="1" customWidth="1" outlineLevel="1"/>
    <col min="9" max="9" width="8.5546875" style="321" hidden="1" customWidth="1" outlineLevel="1"/>
    <col min="10" max="10" width="25.77734375" style="321" customWidth="1" collapsed="1"/>
    <col min="11" max="11" width="8.77734375" style="321" customWidth="1"/>
    <col min="12" max="13" width="7.77734375" style="319" customWidth="1"/>
    <col min="14" max="14" width="11.109375" style="319" customWidth="1"/>
    <col min="15" max="16384" width="8.88671875" style="238"/>
  </cols>
  <sheetData>
    <row r="1" spans="1:14" ht="18.600000000000001" customHeight="1" thickBot="1" x14ac:dyDescent="0.4">
      <c r="A1" s="488" t="s">
        <v>181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4.4" customHeight="1" thickBot="1" x14ac:dyDescent="0.35">
      <c r="A2" s="361" t="s">
        <v>306</v>
      </c>
      <c r="B2" s="66"/>
      <c r="C2" s="323"/>
      <c r="D2" s="323"/>
      <c r="E2" s="323"/>
      <c r="F2" s="323"/>
      <c r="G2" s="323"/>
      <c r="H2" s="323"/>
      <c r="I2" s="323"/>
      <c r="J2" s="323"/>
      <c r="K2" s="323"/>
      <c r="L2" s="324"/>
      <c r="M2" s="324"/>
      <c r="N2" s="324"/>
    </row>
    <row r="3" spans="1:14" ht="14.4" customHeight="1" thickBot="1" x14ac:dyDescent="0.35">
      <c r="A3" s="66"/>
      <c r="B3" s="66"/>
      <c r="C3" s="484"/>
      <c r="D3" s="485"/>
      <c r="E3" s="485"/>
      <c r="F3" s="485"/>
      <c r="G3" s="485"/>
      <c r="H3" s="485"/>
      <c r="I3" s="485"/>
      <c r="J3" s="486" t="s">
        <v>142</v>
      </c>
      <c r="K3" s="487"/>
      <c r="L3" s="192">
        <f>IF(M3&lt;&gt;0,N3/M3,0)</f>
        <v>148.05670014811139</v>
      </c>
      <c r="M3" s="192">
        <f>SUBTOTAL(9,M5:M1048576)</f>
        <v>7152.7</v>
      </c>
      <c r="N3" s="193">
        <f>SUBTOTAL(9,N5:N1048576)</f>
        <v>1059005.1591493962</v>
      </c>
    </row>
    <row r="4" spans="1:14" s="320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8</v>
      </c>
      <c r="H4" s="601" t="s">
        <v>9</v>
      </c>
      <c r="I4" s="601" t="s">
        <v>10</v>
      </c>
      <c r="J4" s="602" t="s">
        <v>11</v>
      </c>
      <c r="K4" s="602" t="s">
        <v>12</v>
      </c>
      <c r="L4" s="603" t="s">
        <v>165</v>
      </c>
      <c r="M4" s="603" t="s">
        <v>13</v>
      </c>
      <c r="N4" s="604" t="s">
        <v>176</v>
      </c>
    </row>
    <row r="5" spans="1:14" ht="14.4" customHeight="1" x14ac:dyDescent="0.3">
      <c r="A5" s="605" t="s">
        <v>531</v>
      </c>
      <c r="B5" s="606" t="s">
        <v>532</v>
      </c>
      <c r="C5" s="607" t="s">
        <v>537</v>
      </c>
      <c r="D5" s="608" t="s">
        <v>1103</v>
      </c>
      <c r="E5" s="607" t="s">
        <v>551</v>
      </c>
      <c r="F5" s="608" t="s">
        <v>1106</v>
      </c>
      <c r="G5" s="607" t="s">
        <v>552</v>
      </c>
      <c r="H5" s="607" t="s">
        <v>553</v>
      </c>
      <c r="I5" s="607" t="s">
        <v>553</v>
      </c>
      <c r="J5" s="607" t="s">
        <v>554</v>
      </c>
      <c r="K5" s="607" t="s">
        <v>555</v>
      </c>
      <c r="L5" s="609">
        <v>171.60000000000002</v>
      </c>
      <c r="M5" s="609">
        <v>4</v>
      </c>
      <c r="N5" s="610">
        <v>686.40000000000009</v>
      </c>
    </row>
    <row r="6" spans="1:14" ht="14.4" customHeight="1" x14ac:dyDescent="0.3">
      <c r="A6" s="611" t="s">
        <v>531</v>
      </c>
      <c r="B6" s="612" t="s">
        <v>532</v>
      </c>
      <c r="C6" s="613" t="s">
        <v>537</v>
      </c>
      <c r="D6" s="614" t="s">
        <v>1103</v>
      </c>
      <c r="E6" s="613" t="s">
        <v>551</v>
      </c>
      <c r="F6" s="614" t="s">
        <v>1106</v>
      </c>
      <c r="G6" s="613" t="s">
        <v>552</v>
      </c>
      <c r="H6" s="613" t="s">
        <v>556</v>
      </c>
      <c r="I6" s="613" t="s">
        <v>556</v>
      </c>
      <c r="J6" s="613" t="s">
        <v>557</v>
      </c>
      <c r="K6" s="613" t="s">
        <v>558</v>
      </c>
      <c r="L6" s="615">
        <v>222.19999999999993</v>
      </c>
      <c r="M6" s="615">
        <v>1</v>
      </c>
      <c r="N6" s="616">
        <v>222.19999999999993</v>
      </c>
    </row>
    <row r="7" spans="1:14" ht="14.4" customHeight="1" x14ac:dyDescent="0.3">
      <c r="A7" s="611" t="s">
        <v>531</v>
      </c>
      <c r="B7" s="612" t="s">
        <v>532</v>
      </c>
      <c r="C7" s="613" t="s">
        <v>537</v>
      </c>
      <c r="D7" s="614" t="s">
        <v>1103</v>
      </c>
      <c r="E7" s="613" t="s">
        <v>551</v>
      </c>
      <c r="F7" s="614" t="s">
        <v>1106</v>
      </c>
      <c r="G7" s="613" t="s">
        <v>552</v>
      </c>
      <c r="H7" s="613" t="s">
        <v>559</v>
      </c>
      <c r="I7" s="613" t="s">
        <v>560</v>
      </c>
      <c r="J7" s="613" t="s">
        <v>561</v>
      </c>
      <c r="K7" s="613" t="s">
        <v>562</v>
      </c>
      <c r="L7" s="615">
        <v>87.072124039321253</v>
      </c>
      <c r="M7" s="615">
        <v>4</v>
      </c>
      <c r="N7" s="616">
        <v>348.28849615728501</v>
      </c>
    </row>
    <row r="8" spans="1:14" ht="14.4" customHeight="1" x14ac:dyDescent="0.3">
      <c r="A8" s="611" t="s">
        <v>531</v>
      </c>
      <c r="B8" s="612" t="s">
        <v>532</v>
      </c>
      <c r="C8" s="613" t="s">
        <v>537</v>
      </c>
      <c r="D8" s="614" t="s">
        <v>1103</v>
      </c>
      <c r="E8" s="613" t="s">
        <v>551</v>
      </c>
      <c r="F8" s="614" t="s">
        <v>1106</v>
      </c>
      <c r="G8" s="613" t="s">
        <v>552</v>
      </c>
      <c r="H8" s="613" t="s">
        <v>563</v>
      </c>
      <c r="I8" s="613" t="s">
        <v>564</v>
      </c>
      <c r="J8" s="613" t="s">
        <v>565</v>
      </c>
      <c r="K8" s="613" t="s">
        <v>566</v>
      </c>
      <c r="L8" s="615">
        <v>96.82</v>
      </c>
      <c r="M8" s="615">
        <v>2</v>
      </c>
      <c r="N8" s="616">
        <v>193.64</v>
      </c>
    </row>
    <row r="9" spans="1:14" ht="14.4" customHeight="1" x14ac:dyDescent="0.3">
      <c r="A9" s="611" t="s">
        <v>531</v>
      </c>
      <c r="B9" s="612" t="s">
        <v>532</v>
      </c>
      <c r="C9" s="613" t="s">
        <v>537</v>
      </c>
      <c r="D9" s="614" t="s">
        <v>1103</v>
      </c>
      <c r="E9" s="613" t="s">
        <v>551</v>
      </c>
      <c r="F9" s="614" t="s">
        <v>1106</v>
      </c>
      <c r="G9" s="613" t="s">
        <v>552</v>
      </c>
      <c r="H9" s="613" t="s">
        <v>567</v>
      </c>
      <c r="I9" s="613" t="s">
        <v>568</v>
      </c>
      <c r="J9" s="613" t="s">
        <v>569</v>
      </c>
      <c r="K9" s="613" t="s">
        <v>570</v>
      </c>
      <c r="L9" s="615">
        <v>79.918531612480137</v>
      </c>
      <c r="M9" s="615">
        <v>23</v>
      </c>
      <c r="N9" s="616">
        <v>1838.1262270870432</v>
      </c>
    </row>
    <row r="10" spans="1:14" ht="14.4" customHeight="1" x14ac:dyDescent="0.3">
      <c r="A10" s="611" t="s">
        <v>531</v>
      </c>
      <c r="B10" s="612" t="s">
        <v>532</v>
      </c>
      <c r="C10" s="613" t="s">
        <v>537</v>
      </c>
      <c r="D10" s="614" t="s">
        <v>1103</v>
      </c>
      <c r="E10" s="613" t="s">
        <v>551</v>
      </c>
      <c r="F10" s="614" t="s">
        <v>1106</v>
      </c>
      <c r="G10" s="613" t="s">
        <v>552</v>
      </c>
      <c r="H10" s="613" t="s">
        <v>571</v>
      </c>
      <c r="I10" s="613" t="s">
        <v>572</v>
      </c>
      <c r="J10" s="613" t="s">
        <v>573</v>
      </c>
      <c r="K10" s="613" t="s">
        <v>574</v>
      </c>
      <c r="L10" s="615">
        <v>39.26995156983935</v>
      </c>
      <c r="M10" s="615">
        <v>2</v>
      </c>
      <c r="N10" s="616">
        <v>78.5399031396787</v>
      </c>
    </row>
    <row r="11" spans="1:14" ht="14.4" customHeight="1" x14ac:dyDescent="0.3">
      <c r="A11" s="611" t="s">
        <v>531</v>
      </c>
      <c r="B11" s="612" t="s">
        <v>532</v>
      </c>
      <c r="C11" s="613" t="s">
        <v>537</v>
      </c>
      <c r="D11" s="614" t="s">
        <v>1103</v>
      </c>
      <c r="E11" s="613" t="s">
        <v>551</v>
      </c>
      <c r="F11" s="614" t="s">
        <v>1106</v>
      </c>
      <c r="G11" s="613" t="s">
        <v>552</v>
      </c>
      <c r="H11" s="613" t="s">
        <v>575</v>
      </c>
      <c r="I11" s="613" t="s">
        <v>189</v>
      </c>
      <c r="J11" s="613" t="s">
        <v>576</v>
      </c>
      <c r="K11" s="613"/>
      <c r="L11" s="615">
        <v>97.320374713272784</v>
      </c>
      <c r="M11" s="615">
        <v>21</v>
      </c>
      <c r="N11" s="616">
        <v>2043.7278689787286</v>
      </c>
    </row>
    <row r="12" spans="1:14" ht="14.4" customHeight="1" x14ac:dyDescent="0.3">
      <c r="A12" s="611" t="s">
        <v>531</v>
      </c>
      <c r="B12" s="612" t="s">
        <v>532</v>
      </c>
      <c r="C12" s="613" t="s">
        <v>537</v>
      </c>
      <c r="D12" s="614" t="s">
        <v>1103</v>
      </c>
      <c r="E12" s="613" t="s">
        <v>551</v>
      </c>
      <c r="F12" s="614" t="s">
        <v>1106</v>
      </c>
      <c r="G12" s="613" t="s">
        <v>552</v>
      </c>
      <c r="H12" s="613" t="s">
        <v>577</v>
      </c>
      <c r="I12" s="613" t="s">
        <v>189</v>
      </c>
      <c r="J12" s="613" t="s">
        <v>578</v>
      </c>
      <c r="K12" s="613"/>
      <c r="L12" s="615">
        <v>218.19999999999996</v>
      </c>
      <c r="M12" s="615">
        <v>1</v>
      </c>
      <c r="N12" s="616">
        <v>218.19999999999996</v>
      </c>
    </row>
    <row r="13" spans="1:14" ht="14.4" customHeight="1" x14ac:dyDescent="0.3">
      <c r="A13" s="611" t="s">
        <v>531</v>
      </c>
      <c r="B13" s="612" t="s">
        <v>532</v>
      </c>
      <c r="C13" s="613" t="s">
        <v>537</v>
      </c>
      <c r="D13" s="614" t="s">
        <v>1103</v>
      </c>
      <c r="E13" s="613" t="s">
        <v>551</v>
      </c>
      <c r="F13" s="614" t="s">
        <v>1106</v>
      </c>
      <c r="G13" s="613" t="s">
        <v>552</v>
      </c>
      <c r="H13" s="613" t="s">
        <v>579</v>
      </c>
      <c r="I13" s="613" t="s">
        <v>580</v>
      </c>
      <c r="J13" s="613" t="s">
        <v>581</v>
      </c>
      <c r="K13" s="613" t="s">
        <v>582</v>
      </c>
      <c r="L13" s="615">
        <v>35.710000000000008</v>
      </c>
      <c r="M13" s="615">
        <v>5</v>
      </c>
      <c r="N13" s="616">
        <v>178.55000000000004</v>
      </c>
    </row>
    <row r="14" spans="1:14" ht="14.4" customHeight="1" x14ac:dyDescent="0.3">
      <c r="A14" s="611" t="s">
        <v>531</v>
      </c>
      <c r="B14" s="612" t="s">
        <v>532</v>
      </c>
      <c r="C14" s="613" t="s">
        <v>537</v>
      </c>
      <c r="D14" s="614" t="s">
        <v>1103</v>
      </c>
      <c r="E14" s="613" t="s">
        <v>551</v>
      </c>
      <c r="F14" s="614" t="s">
        <v>1106</v>
      </c>
      <c r="G14" s="613" t="s">
        <v>552</v>
      </c>
      <c r="H14" s="613" t="s">
        <v>583</v>
      </c>
      <c r="I14" s="613" t="s">
        <v>584</v>
      </c>
      <c r="J14" s="613" t="s">
        <v>585</v>
      </c>
      <c r="K14" s="613" t="s">
        <v>586</v>
      </c>
      <c r="L14" s="615">
        <v>208.69049388512255</v>
      </c>
      <c r="M14" s="615">
        <v>1</v>
      </c>
      <c r="N14" s="616">
        <v>208.69049388512255</v>
      </c>
    </row>
    <row r="15" spans="1:14" ht="14.4" customHeight="1" x14ac:dyDescent="0.3">
      <c r="A15" s="611" t="s">
        <v>531</v>
      </c>
      <c r="B15" s="612" t="s">
        <v>532</v>
      </c>
      <c r="C15" s="613" t="s">
        <v>537</v>
      </c>
      <c r="D15" s="614" t="s">
        <v>1103</v>
      </c>
      <c r="E15" s="613" t="s">
        <v>551</v>
      </c>
      <c r="F15" s="614" t="s">
        <v>1106</v>
      </c>
      <c r="G15" s="613" t="s">
        <v>552</v>
      </c>
      <c r="H15" s="613" t="s">
        <v>587</v>
      </c>
      <c r="I15" s="613" t="s">
        <v>189</v>
      </c>
      <c r="J15" s="613" t="s">
        <v>588</v>
      </c>
      <c r="K15" s="613"/>
      <c r="L15" s="615">
        <v>37.022919689131733</v>
      </c>
      <c r="M15" s="615">
        <v>78</v>
      </c>
      <c r="N15" s="616">
        <v>2887.7877357522752</v>
      </c>
    </row>
    <row r="16" spans="1:14" ht="14.4" customHeight="1" x14ac:dyDescent="0.3">
      <c r="A16" s="611" t="s">
        <v>531</v>
      </c>
      <c r="B16" s="612" t="s">
        <v>532</v>
      </c>
      <c r="C16" s="613" t="s">
        <v>537</v>
      </c>
      <c r="D16" s="614" t="s">
        <v>1103</v>
      </c>
      <c r="E16" s="613" t="s">
        <v>551</v>
      </c>
      <c r="F16" s="614" t="s">
        <v>1106</v>
      </c>
      <c r="G16" s="613" t="s">
        <v>552</v>
      </c>
      <c r="H16" s="613" t="s">
        <v>589</v>
      </c>
      <c r="I16" s="613" t="s">
        <v>590</v>
      </c>
      <c r="J16" s="613" t="s">
        <v>591</v>
      </c>
      <c r="K16" s="613" t="s">
        <v>592</v>
      </c>
      <c r="L16" s="615">
        <v>62.986372074716122</v>
      </c>
      <c r="M16" s="615">
        <v>3</v>
      </c>
      <c r="N16" s="616">
        <v>188.95911622414837</v>
      </c>
    </row>
    <row r="17" spans="1:14" ht="14.4" customHeight="1" x14ac:dyDescent="0.3">
      <c r="A17" s="611" t="s">
        <v>531</v>
      </c>
      <c r="B17" s="612" t="s">
        <v>532</v>
      </c>
      <c r="C17" s="613" t="s">
        <v>537</v>
      </c>
      <c r="D17" s="614" t="s">
        <v>1103</v>
      </c>
      <c r="E17" s="613" t="s">
        <v>551</v>
      </c>
      <c r="F17" s="614" t="s">
        <v>1106</v>
      </c>
      <c r="G17" s="613" t="s">
        <v>552</v>
      </c>
      <c r="H17" s="613" t="s">
        <v>593</v>
      </c>
      <c r="I17" s="613" t="s">
        <v>594</v>
      </c>
      <c r="J17" s="613" t="s">
        <v>595</v>
      </c>
      <c r="K17" s="613" t="s">
        <v>596</v>
      </c>
      <c r="L17" s="615">
        <v>50.88981350989004</v>
      </c>
      <c r="M17" s="615">
        <v>3</v>
      </c>
      <c r="N17" s="616">
        <v>152.66944052967011</v>
      </c>
    </row>
    <row r="18" spans="1:14" ht="14.4" customHeight="1" x14ac:dyDescent="0.3">
      <c r="A18" s="611" t="s">
        <v>531</v>
      </c>
      <c r="B18" s="612" t="s">
        <v>532</v>
      </c>
      <c r="C18" s="613" t="s">
        <v>537</v>
      </c>
      <c r="D18" s="614" t="s">
        <v>1103</v>
      </c>
      <c r="E18" s="613" t="s">
        <v>551</v>
      </c>
      <c r="F18" s="614" t="s">
        <v>1106</v>
      </c>
      <c r="G18" s="613" t="s">
        <v>552</v>
      </c>
      <c r="H18" s="613" t="s">
        <v>597</v>
      </c>
      <c r="I18" s="613" t="s">
        <v>189</v>
      </c>
      <c r="J18" s="613" t="s">
        <v>598</v>
      </c>
      <c r="K18" s="613"/>
      <c r="L18" s="615">
        <v>41.365900669098799</v>
      </c>
      <c r="M18" s="615">
        <v>12</v>
      </c>
      <c r="N18" s="616">
        <v>496.39080802918556</v>
      </c>
    </row>
    <row r="19" spans="1:14" ht="14.4" customHeight="1" x14ac:dyDescent="0.3">
      <c r="A19" s="611" t="s">
        <v>531</v>
      </c>
      <c r="B19" s="612" t="s">
        <v>532</v>
      </c>
      <c r="C19" s="613" t="s">
        <v>537</v>
      </c>
      <c r="D19" s="614" t="s">
        <v>1103</v>
      </c>
      <c r="E19" s="613" t="s">
        <v>551</v>
      </c>
      <c r="F19" s="614" t="s">
        <v>1106</v>
      </c>
      <c r="G19" s="613" t="s">
        <v>552</v>
      </c>
      <c r="H19" s="613" t="s">
        <v>599</v>
      </c>
      <c r="I19" s="613" t="s">
        <v>599</v>
      </c>
      <c r="J19" s="613" t="s">
        <v>600</v>
      </c>
      <c r="K19" s="613" t="s">
        <v>601</v>
      </c>
      <c r="L19" s="615">
        <v>75.532366508734597</v>
      </c>
      <c r="M19" s="615">
        <v>8</v>
      </c>
      <c r="N19" s="616">
        <v>604.25893206987678</v>
      </c>
    </row>
    <row r="20" spans="1:14" ht="14.4" customHeight="1" x14ac:dyDescent="0.3">
      <c r="A20" s="611" t="s">
        <v>531</v>
      </c>
      <c r="B20" s="612" t="s">
        <v>532</v>
      </c>
      <c r="C20" s="613" t="s">
        <v>537</v>
      </c>
      <c r="D20" s="614" t="s">
        <v>1103</v>
      </c>
      <c r="E20" s="613" t="s">
        <v>551</v>
      </c>
      <c r="F20" s="614" t="s">
        <v>1106</v>
      </c>
      <c r="G20" s="613" t="s">
        <v>552</v>
      </c>
      <c r="H20" s="613" t="s">
        <v>602</v>
      </c>
      <c r="I20" s="613" t="s">
        <v>603</v>
      </c>
      <c r="J20" s="613" t="s">
        <v>604</v>
      </c>
      <c r="K20" s="613" t="s">
        <v>605</v>
      </c>
      <c r="L20" s="615">
        <v>65.144556567417538</v>
      </c>
      <c r="M20" s="615">
        <v>70</v>
      </c>
      <c r="N20" s="616">
        <v>4560.1189597192279</v>
      </c>
    </row>
    <row r="21" spans="1:14" ht="14.4" customHeight="1" x14ac:dyDescent="0.3">
      <c r="A21" s="611" t="s">
        <v>531</v>
      </c>
      <c r="B21" s="612" t="s">
        <v>532</v>
      </c>
      <c r="C21" s="613" t="s">
        <v>537</v>
      </c>
      <c r="D21" s="614" t="s">
        <v>1103</v>
      </c>
      <c r="E21" s="613" t="s">
        <v>551</v>
      </c>
      <c r="F21" s="614" t="s">
        <v>1106</v>
      </c>
      <c r="G21" s="613" t="s">
        <v>552</v>
      </c>
      <c r="H21" s="613" t="s">
        <v>606</v>
      </c>
      <c r="I21" s="613" t="s">
        <v>189</v>
      </c>
      <c r="J21" s="613" t="s">
        <v>607</v>
      </c>
      <c r="K21" s="613" t="s">
        <v>608</v>
      </c>
      <c r="L21" s="615">
        <v>23.700350357502153</v>
      </c>
      <c r="M21" s="615">
        <v>138</v>
      </c>
      <c r="N21" s="616">
        <v>3270.6483493352971</v>
      </c>
    </row>
    <row r="22" spans="1:14" ht="14.4" customHeight="1" x14ac:dyDescent="0.3">
      <c r="A22" s="611" t="s">
        <v>531</v>
      </c>
      <c r="B22" s="612" t="s">
        <v>532</v>
      </c>
      <c r="C22" s="613" t="s">
        <v>537</v>
      </c>
      <c r="D22" s="614" t="s">
        <v>1103</v>
      </c>
      <c r="E22" s="613" t="s">
        <v>551</v>
      </c>
      <c r="F22" s="614" t="s">
        <v>1106</v>
      </c>
      <c r="G22" s="613" t="s">
        <v>552</v>
      </c>
      <c r="H22" s="613" t="s">
        <v>609</v>
      </c>
      <c r="I22" s="613" t="s">
        <v>189</v>
      </c>
      <c r="J22" s="613" t="s">
        <v>610</v>
      </c>
      <c r="K22" s="613" t="s">
        <v>611</v>
      </c>
      <c r="L22" s="615">
        <v>199.67000000000004</v>
      </c>
      <c r="M22" s="615">
        <v>1</v>
      </c>
      <c r="N22" s="616">
        <v>199.67000000000004</v>
      </c>
    </row>
    <row r="23" spans="1:14" ht="14.4" customHeight="1" x14ac:dyDescent="0.3">
      <c r="A23" s="611" t="s">
        <v>531</v>
      </c>
      <c r="B23" s="612" t="s">
        <v>532</v>
      </c>
      <c r="C23" s="613" t="s">
        <v>537</v>
      </c>
      <c r="D23" s="614" t="s">
        <v>1103</v>
      </c>
      <c r="E23" s="613" t="s">
        <v>551</v>
      </c>
      <c r="F23" s="614" t="s">
        <v>1106</v>
      </c>
      <c r="G23" s="613" t="s">
        <v>552</v>
      </c>
      <c r="H23" s="613" t="s">
        <v>612</v>
      </c>
      <c r="I23" s="613" t="s">
        <v>613</v>
      </c>
      <c r="J23" s="613" t="s">
        <v>614</v>
      </c>
      <c r="K23" s="613"/>
      <c r="L23" s="615">
        <v>268.41180399691126</v>
      </c>
      <c r="M23" s="615">
        <v>3</v>
      </c>
      <c r="N23" s="616">
        <v>805.23541199073372</v>
      </c>
    </row>
    <row r="24" spans="1:14" ht="14.4" customHeight="1" x14ac:dyDescent="0.3">
      <c r="A24" s="611" t="s">
        <v>531</v>
      </c>
      <c r="B24" s="612" t="s">
        <v>532</v>
      </c>
      <c r="C24" s="613" t="s">
        <v>537</v>
      </c>
      <c r="D24" s="614" t="s">
        <v>1103</v>
      </c>
      <c r="E24" s="613" t="s">
        <v>551</v>
      </c>
      <c r="F24" s="614" t="s">
        <v>1106</v>
      </c>
      <c r="G24" s="613" t="s">
        <v>552</v>
      </c>
      <c r="H24" s="613" t="s">
        <v>615</v>
      </c>
      <c r="I24" s="613" t="s">
        <v>189</v>
      </c>
      <c r="J24" s="613" t="s">
        <v>616</v>
      </c>
      <c r="K24" s="613"/>
      <c r="L24" s="615">
        <v>179.77685953396059</v>
      </c>
      <c r="M24" s="615">
        <v>1</v>
      </c>
      <c r="N24" s="616">
        <v>179.77685953396059</v>
      </c>
    </row>
    <row r="25" spans="1:14" ht="14.4" customHeight="1" x14ac:dyDescent="0.3">
      <c r="A25" s="611" t="s">
        <v>531</v>
      </c>
      <c r="B25" s="612" t="s">
        <v>532</v>
      </c>
      <c r="C25" s="613" t="s">
        <v>537</v>
      </c>
      <c r="D25" s="614" t="s">
        <v>1103</v>
      </c>
      <c r="E25" s="613" t="s">
        <v>551</v>
      </c>
      <c r="F25" s="614" t="s">
        <v>1106</v>
      </c>
      <c r="G25" s="613" t="s">
        <v>552</v>
      </c>
      <c r="H25" s="613" t="s">
        <v>617</v>
      </c>
      <c r="I25" s="613" t="s">
        <v>189</v>
      </c>
      <c r="J25" s="613" t="s">
        <v>618</v>
      </c>
      <c r="K25" s="613"/>
      <c r="L25" s="615">
        <v>36.056991735695824</v>
      </c>
      <c r="M25" s="615">
        <v>1</v>
      </c>
      <c r="N25" s="616">
        <v>36.056991735695824</v>
      </c>
    </row>
    <row r="26" spans="1:14" ht="14.4" customHeight="1" x14ac:dyDescent="0.3">
      <c r="A26" s="611" t="s">
        <v>531</v>
      </c>
      <c r="B26" s="612" t="s">
        <v>532</v>
      </c>
      <c r="C26" s="613" t="s">
        <v>537</v>
      </c>
      <c r="D26" s="614" t="s">
        <v>1103</v>
      </c>
      <c r="E26" s="613" t="s">
        <v>551</v>
      </c>
      <c r="F26" s="614" t="s">
        <v>1106</v>
      </c>
      <c r="G26" s="613" t="s">
        <v>552</v>
      </c>
      <c r="H26" s="613" t="s">
        <v>619</v>
      </c>
      <c r="I26" s="613" t="s">
        <v>620</v>
      </c>
      <c r="J26" s="613" t="s">
        <v>621</v>
      </c>
      <c r="K26" s="613" t="s">
        <v>622</v>
      </c>
      <c r="L26" s="615">
        <v>32.83</v>
      </c>
      <c r="M26" s="615">
        <v>1</v>
      </c>
      <c r="N26" s="616">
        <v>32.83</v>
      </c>
    </row>
    <row r="27" spans="1:14" ht="14.4" customHeight="1" x14ac:dyDescent="0.3">
      <c r="A27" s="611" t="s">
        <v>531</v>
      </c>
      <c r="B27" s="612" t="s">
        <v>532</v>
      </c>
      <c r="C27" s="613" t="s">
        <v>537</v>
      </c>
      <c r="D27" s="614" t="s">
        <v>1103</v>
      </c>
      <c r="E27" s="613" t="s">
        <v>551</v>
      </c>
      <c r="F27" s="614" t="s">
        <v>1106</v>
      </c>
      <c r="G27" s="613" t="s">
        <v>552</v>
      </c>
      <c r="H27" s="613" t="s">
        <v>623</v>
      </c>
      <c r="I27" s="613" t="s">
        <v>624</v>
      </c>
      <c r="J27" s="613" t="s">
        <v>625</v>
      </c>
      <c r="K27" s="613" t="s">
        <v>626</v>
      </c>
      <c r="L27" s="615">
        <v>84.548666666666662</v>
      </c>
      <c r="M27" s="615">
        <v>3</v>
      </c>
      <c r="N27" s="616">
        <v>253.64599999999999</v>
      </c>
    </row>
    <row r="28" spans="1:14" ht="14.4" customHeight="1" x14ac:dyDescent="0.3">
      <c r="A28" s="611" t="s">
        <v>531</v>
      </c>
      <c r="B28" s="612" t="s">
        <v>532</v>
      </c>
      <c r="C28" s="613" t="s">
        <v>537</v>
      </c>
      <c r="D28" s="614" t="s">
        <v>1103</v>
      </c>
      <c r="E28" s="613" t="s">
        <v>551</v>
      </c>
      <c r="F28" s="614" t="s">
        <v>1106</v>
      </c>
      <c r="G28" s="613" t="s">
        <v>552</v>
      </c>
      <c r="H28" s="613" t="s">
        <v>627</v>
      </c>
      <c r="I28" s="613" t="s">
        <v>628</v>
      </c>
      <c r="J28" s="613" t="s">
        <v>629</v>
      </c>
      <c r="K28" s="613" t="s">
        <v>630</v>
      </c>
      <c r="L28" s="615">
        <v>664.74999999999989</v>
      </c>
      <c r="M28" s="615">
        <v>1</v>
      </c>
      <c r="N28" s="616">
        <v>664.74999999999989</v>
      </c>
    </row>
    <row r="29" spans="1:14" ht="14.4" customHeight="1" x14ac:dyDescent="0.3">
      <c r="A29" s="611" t="s">
        <v>531</v>
      </c>
      <c r="B29" s="612" t="s">
        <v>532</v>
      </c>
      <c r="C29" s="613" t="s">
        <v>537</v>
      </c>
      <c r="D29" s="614" t="s">
        <v>1103</v>
      </c>
      <c r="E29" s="613" t="s">
        <v>551</v>
      </c>
      <c r="F29" s="614" t="s">
        <v>1106</v>
      </c>
      <c r="G29" s="613" t="s">
        <v>552</v>
      </c>
      <c r="H29" s="613" t="s">
        <v>631</v>
      </c>
      <c r="I29" s="613" t="s">
        <v>189</v>
      </c>
      <c r="J29" s="613" t="s">
        <v>632</v>
      </c>
      <c r="K29" s="613"/>
      <c r="L29" s="615">
        <v>84.751898505313832</v>
      </c>
      <c r="M29" s="615">
        <v>21</v>
      </c>
      <c r="N29" s="616">
        <v>1779.7898686115905</v>
      </c>
    </row>
    <row r="30" spans="1:14" ht="14.4" customHeight="1" x14ac:dyDescent="0.3">
      <c r="A30" s="611" t="s">
        <v>531</v>
      </c>
      <c r="B30" s="612" t="s">
        <v>532</v>
      </c>
      <c r="C30" s="613" t="s">
        <v>537</v>
      </c>
      <c r="D30" s="614" t="s">
        <v>1103</v>
      </c>
      <c r="E30" s="613" t="s">
        <v>551</v>
      </c>
      <c r="F30" s="614" t="s">
        <v>1106</v>
      </c>
      <c r="G30" s="613" t="s">
        <v>552</v>
      </c>
      <c r="H30" s="613" t="s">
        <v>633</v>
      </c>
      <c r="I30" s="613" t="s">
        <v>189</v>
      </c>
      <c r="J30" s="613" t="s">
        <v>634</v>
      </c>
      <c r="K30" s="613"/>
      <c r="L30" s="615">
        <v>56.330794066719136</v>
      </c>
      <c r="M30" s="615">
        <v>50</v>
      </c>
      <c r="N30" s="616">
        <v>2816.5397033359568</v>
      </c>
    </row>
    <row r="31" spans="1:14" ht="14.4" customHeight="1" x14ac:dyDescent="0.3">
      <c r="A31" s="611" t="s">
        <v>531</v>
      </c>
      <c r="B31" s="612" t="s">
        <v>532</v>
      </c>
      <c r="C31" s="613" t="s">
        <v>537</v>
      </c>
      <c r="D31" s="614" t="s">
        <v>1103</v>
      </c>
      <c r="E31" s="613" t="s">
        <v>551</v>
      </c>
      <c r="F31" s="614" t="s">
        <v>1106</v>
      </c>
      <c r="G31" s="613" t="s">
        <v>552</v>
      </c>
      <c r="H31" s="613" t="s">
        <v>635</v>
      </c>
      <c r="I31" s="613" t="s">
        <v>636</v>
      </c>
      <c r="J31" s="613" t="s">
        <v>637</v>
      </c>
      <c r="K31" s="613" t="s">
        <v>638</v>
      </c>
      <c r="L31" s="615">
        <v>1901.9099999999996</v>
      </c>
      <c r="M31" s="615">
        <v>1</v>
      </c>
      <c r="N31" s="616">
        <v>1901.9099999999996</v>
      </c>
    </row>
    <row r="32" spans="1:14" ht="14.4" customHeight="1" x14ac:dyDescent="0.3">
      <c r="A32" s="611" t="s">
        <v>531</v>
      </c>
      <c r="B32" s="612" t="s">
        <v>532</v>
      </c>
      <c r="C32" s="613" t="s">
        <v>537</v>
      </c>
      <c r="D32" s="614" t="s">
        <v>1103</v>
      </c>
      <c r="E32" s="613" t="s">
        <v>551</v>
      </c>
      <c r="F32" s="614" t="s">
        <v>1106</v>
      </c>
      <c r="G32" s="613" t="s">
        <v>552</v>
      </c>
      <c r="H32" s="613" t="s">
        <v>639</v>
      </c>
      <c r="I32" s="613" t="s">
        <v>189</v>
      </c>
      <c r="J32" s="613" t="s">
        <v>640</v>
      </c>
      <c r="K32" s="613"/>
      <c r="L32" s="615">
        <v>82.510793393043812</v>
      </c>
      <c r="M32" s="615">
        <v>112</v>
      </c>
      <c r="N32" s="616">
        <v>9241.2088600209063</v>
      </c>
    </row>
    <row r="33" spans="1:14" ht="14.4" customHeight="1" x14ac:dyDescent="0.3">
      <c r="A33" s="611" t="s">
        <v>531</v>
      </c>
      <c r="B33" s="612" t="s">
        <v>532</v>
      </c>
      <c r="C33" s="613" t="s">
        <v>537</v>
      </c>
      <c r="D33" s="614" t="s">
        <v>1103</v>
      </c>
      <c r="E33" s="613" t="s">
        <v>551</v>
      </c>
      <c r="F33" s="614" t="s">
        <v>1106</v>
      </c>
      <c r="G33" s="613" t="s">
        <v>552</v>
      </c>
      <c r="H33" s="613" t="s">
        <v>641</v>
      </c>
      <c r="I33" s="613" t="s">
        <v>189</v>
      </c>
      <c r="J33" s="613" t="s">
        <v>642</v>
      </c>
      <c r="K33" s="613"/>
      <c r="L33" s="615">
        <v>147.43224741396415</v>
      </c>
      <c r="M33" s="615">
        <v>2</v>
      </c>
      <c r="N33" s="616">
        <v>294.8644948279283</v>
      </c>
    </row>
    <row r="34" spans="1:14" ht="14.4" customHeight="1" x14ac:dyDescent="0.3">
      <c r="A34" s="611" t="s">
        <v>531</v>
      </c>
      <c r="B34" s="612" t="s">
        <v>532</v>
      </c>
      <c r="C34" s="613" t="s">
        <v>537</v>
      </c>
      <c r="D34" s="614" t="s">
        <v>1103</v>
      </c>
      <c r="E34" s="613" t="s">
        <v>551</v>
      </c>
      <c r="F34" s="614" t="s">
        <v>1106</v>
      </c>
      <c r="G34" s="613" t="s">
        <v>552</v>
      </c>
      <c r="H34" s="613" t="s">
        <v>643</v>
      </c>
      <c r="I34" s="613" t="s">
        <v>189</v>
      </c>
      <c r="J34" s="613" t="s">
        <v>644</v>
      </c>
      <c r="K34" s="613"/>
      <c r="L34" s="615">
        <v>48.265961323937304</v>
      </c>
      <c r="M34" s="615">
        <v>395</v>
      </c>
      <c r="N34" s="616">
        <v>19065.054722955236</v>
      </c>
    </row>
    <row r="35" spans="1:14" ht="14.4" customHeight="1" x14ac:dyDescent="0.3">
      <c r="A35" s="611" t="s">
        <v>531</v>
      </c>
      <c r="B35" s="612" t="s">
        <v>532</v>
      </c>
      <c r="C35" s="613" t="s">
        <v>537</v>
      </c>
      <c r="D35" s="614" t="s">
        <v>1103</v>
      </c>
      <c r="E35" s="613" t="s">
        <v>551</v>
      </c>
      <c r="F35" s="614" t="s">
        <v>1106</v>
      </c>
      <c r="G35" s="613" t="s">
        <v>552</v>
      </c>
      <c r="H35" s="613" t="s">
        <v>645</v>
      </c>
      <c r="I35" s="613" t="s">
        <v>189</v>
      </c>
      <c r="J35" s="613" t="s">
        <v>646</v>
      </c>
      <c r="K35" s="613"/>
      <c r="L35" s="615">
        <v>44.640326618470318</v>
      </c>
      <c r="M35" s="615">
        <v>3</v>
      </c>
      <c r="N35" s="616">
        <v>133.92097985541096</v>
      </c>
    </row>
    <row r="36" spans="1:14" ht="14.4" customHeight="1" x14ac:dyDescent="0.3">
      <c r="A36" s="611" t="s">
        <v>531</v>
      </c>
      <c r="B36" s="612" t="s">
        <v>532</v>
      </c>
      <c r="C36" s="613" t="s">
        <v>537</v>
      </c>
      <c r="D36" s="614" t="s">
        <v>1103</v>
      </c>
      <c r="E36" s="613" t="s">
        <v>551</v>
      </c>
      <c r="F36" s="614" t="s">
        <v>1106</v>
      </c>
      <c r="G36" s="613" t="s">
        <v>552</v>
      </c>
      <c r="H36" s="613" t="s">
        <v>647</v>
      </c>
      <c r="I36" s="613" t="s">
        <v>189</v>
      </c>
      <c r="J36" s="613" t="s">
        <v>648</v>
      </c>
      <c r="K36" s="613"/>
      <c r="L36" s="615">
        <v>120.00691915792103</v>
      </c>
      <c r="M36" s="615">
        <v>2</v>
      </c>
      <c r="N36" s="616">
        <v>240.01383831584207</v>
      </c>
    </row>
    <row r="37" spans="1:14" ht="14.4" customHeight="1" x14ac:dyDescent="0.3">
      <c r="A37" s="611" t="s">
        <v>531</v>
      </c>
      <c r="B37" s="612" t="s">
        <v>532</v>
      </c>
      <c r="C37" s="613" t="s">
        <v>537</v>
      </c>
      <c r="D37" s="614" t="s">
        <v>1103</v>
      </c>
      <c r="E37" s="613" t="s">
        <v>551</v>
      </c>
      <c r="F37" s="614" t="s">
        <v>1106</v>
      </c>
      <c r="G37" s="613" t="s">
        <v>552</v>
      </c>
      <c r="H37" s="613" t="s">
        <v>649</v>
      </c>
      <c r="I37" s="613" t="s">
        <v>189</v>
      </c>
      <c r="J37" s="613" t="s">
        <v>650</v>
      </c>
      <c r="K37" s="613"/>
      <c r="L37" s="615">
        <v>148.00966182651138</v>
      </c>
      <c r="M37" s="615">
        <v>1</v>
      </c>
      <c r="N37" s="616">
        <v>148.00966182651138</v>
      </c>
    </row>
    <row r="38" spans="1:14" ht="14.4" customHeight="1" x14ac:dyDescent="0.3">
      <c r="A38" s="611" t="s">
        <v>531</v>
      </c>
      <c r="B38" s="612" t="s">
        <v>532</v>
      </c>
      <c r="C38" s="613" t="s">
        <v>537</v>
      </c>
      <c r="D38" s="614" t="s">
        <v>1103</v>
      </c>
      <c r="E38" s="613" t="s">
        <v>551</v>
      </c>
      <c r="F38" s="614" t="s">
        <v>1106</v>
      </c>
      <c r="G38" s="613" t="s">
        <v>552</v>
      </c>
      <c r="H38" s="613" t="s">
        <v>651</v>
      </c>
      <c r="I38" s="613" t="s">
        <v>189</v>
      </c>
      <c r="J38" s="613" t="s">
        <v>652</v>
      </c>
      <c r="K38" s="613" t="s">
        <v>653</v>
      </c>
      <c r="L38" s="615">
        <v>75.020430929007574</v>
      </c>
      <c r="M38" s="615">
        <v>1</v>
      </c>
      <c r="N38" s="616">
        <v>75.020430929007574</v>
      </c>
    </row>
    <row r="39" spans="1:14" ht="14.4" customHeight="1" x14ac:dyDescent="0.3">
      <c r="A39" s="611" t="s">
        <v>531</v>
      </c>
      <c r="B39" s="612" t="s">
        <v>532</v>
      </c>
      <c r="C39" s="613" t="s">
        <v>537</v>
      </c>
      <c r="D39" s="614" t="s">
        <v>1103</v>
      </c>
      <c r="E39" s="613" t="s">
        <v>551</v>
      </c>
      <c r="F39" s="614" t="s">
        <v>1106</v>
      </c>
      <c r="G39" s="613" t="s">
        <v>552</v>
      </c>
      <c r="H39" s="613" t="s">
        <v>654</v>
      </c>
      <c r="I39" s="613" t="s">
        <v>655</v>
      </c>
      <c r="J39" s="613" t="s">
        <v>656</v>
      </c>
      <c r="K39" s="613" t="s">
        <v>657</v>
      </c>
      <c r="L39" s="615">
        <v>65.340000000000018</v>
      </c>
      <c r="M39" s="615">
        <v>1</v>
      </c>
      <c r="N39" s="616">
        <v>65.340000000000018</v>
      </c>
    </row>
    <row r="40" spans="1:14" ht="14.4" customHeight="1" x14ac:dyDescent="0.3">
      <c r="A40" s="611" t="s">
        <v>531</v>
      </c>
      <c r="B40" s="612" t="s">
        <v>532</v>
      </c>
      <c r="C40" s="613" t="s">
        <v>537</v>
      </c>
      <c r="D40" s="614" t="s">
        <v>1103</v>
      </c>
      <c r="E40" s="613" t="s">
        <v>551</v>
      </c>
      <c r="F40" s="614" t="s">
        <v>1106</v>
      </c>
      <c r="G40" s="613" t="s">
        <v>552</v>
      </c>
      <c r="H40" s="613" t="s">
        <v>658</v>
      </c>
      <c r="I40" s="613" t="s">
        <v>189</v>
      </c>
      <c r="J40" s="613" t="s">
        <v>659</v>
      </c>
      <c r="K40" s="613"/>
      <c r="L40" s="615">
        <v>331.66</v>
      </c>
      <c r="M40" s="615">
        <v>1</v>
      </c>
      <c r="N40" s="616">
        <v>331.66</v>
      </c>
    </row>
    <row r="41" spans="1:14" ht="14.4" customHeight="1" x14ac:dyDescent="0.3">
      <c r="A41" s="611" t="s">
        <v>531</v>
      </c>
      <c r="B41" s="612" t="s">
        <v>532</v>
      </c>
      <c r="C41" s="613" t="s">
        <v>537</v>
      </c>
      <c r="D41" s="614" t="s">
        <v>1103</v>
      </c>
      <c r="E41" s="613" t="s">
        <v>551</v>
      </c>
      <c r="F41" s="614" t="s">
        <v>1106</v>
      </c>
      <c r="G41" s="613" t="s">
        <v>552</v>
      </c>
      <c r="H41" s="613" t="s">
        <v>660</v>
      </c>
      <c r="I41" s="613" t="s">
        <v>660</v>
      </c>
      <c r="J41" s="613" t="s">
        <v>661</v>
      </c>
      <c r="K41" s="613" t="s">
        <v>662</v>
      </c>
      <c r="L41" s="615">
        <v>58.210005777615009</v>
      </c>
      <c r="M41" s="615">
        <v>240</v>
      </c>
      <c r="N41" s="616">
        <v>13970.401386627602</v>
      </c>
    </row>
    <row r="42" spans="1:14" ht="14.4" customHeight="1" x14ac:dyDescent="0.3">
      <c r="A42" s="611" t="s">
        <v>531</v>
      </c>
      <c r="B42" s="612" t="s">
        <v>532</v>
      </c>
      <c r="C42" s="613" t="s">
        <v>537</v>
      </c>
      <c r="D42" s="614" t="s">
        <v>1103</v>
      </c>
      <c r="E42" s="613" t="s">
        <v>551</v>
      </c>
      <c r="F42" s="614" t="s">
        <v>1106</v>
      </c>
      <c r="G42" s="613" t="s">
        <v>552</v>
      </c>
      <c r="H42" s="613" t="s">
        <v>663</v>
      </c>
      <c r="I42" s="613" t="s">
        <v>189</v>
      </c>
      <c r="J42" s="613" t="s">
        <v>664</v>
      </c>
      <c r="K42" s="613"/>
      <c r="L42" s="615">
        <v>37.364767003071528</v>
      </c>
      <c r="M42" s="615">
        <v>4</v>
      </c>
      <c r="N42" s="616">
        <v>149.45906801228611</v>
      </c>
    </row>
    <row r="43" spans="1:14" ht="14.4" customHeight="1" x14ac:dyDescent="0.3">
      <c r="A43" s="611" t="s">
        <v>531</v>
      </c>
      <c r="B43" s="612" t="s">
        <v>532</v>
      </c>
      <c r="C43" s="613" t="s">
        <v>537</v>
      </c>
      <c r="D43" s="614" t="s">
        <v>1103</v>
      </c>
      <c r="E43" s="613" t="s">
        <v>551</v>
      </c>
      <c r="F43" s="614" t="s">
        <v>1106</v>
      </c>
      <c r="G43" s="613" t="s">
        <v>552</v>
      </c>
      <c r="H43" s="613" t="s">
        <v>665</v>
      </c>
      <c r="I43" s="613" t="s">
        <v>189</v>
      </c>
      <c r="J43" s="613" t="s">
        <v>666</v>
      </c>
      <c r="K43" s="613"/>
      <c r="L43" s="615">
        <v>155.27175801194576</v>
      </c>
      <c r="M43" s="615">
        <v>32</v>
      </c>
      <c r="N43" s="616">
        <v>4968.6962563822644</v>
      </c>
    </row>
    <row r="44" spans="1:14" ht="14.4" customHeight="1" x14ac:dyDescent="0.3">
      <c r="A44" s="611" t="s">
        <v>531</v>
      </c>
      <c r="B44" s="612" t="s">
        <v>532</v>
      </c>
      <c r="C44" s="613" t="s">
        <v>537</v>
      </c>
      <c r="D44" s="614" t="s">
        <v>1103</v>
      </c>
      <c r="E44" s="613" t="s">
        <v>551</v>
      </c>
      <c r="F44" s="614" t="s">
        <v>1106</v>
      </c>
      <c r="G44" s="613" t="s">
        <v>552</v>
      </c>
      <c r="H44" s="613" t="s">
        <v>667</v>
      </c>
      <c r="I44" s="613" t="s">
        <v>667</v>
      </c>
      <c r="J44" s="613" t="s">
        <v>668</v>
      </c>
      <c r="K44" s="613" t="s">
        <v>669</v>
      </c>
      <c r="L44" s="615">
        <v>48.679942664589007</v>
      </c>
      <c r="M44" s="615">
        <v>5</v>
      </c>
      <c r="N44" s="616">
        <v>243.39971332294505</v>
      </c>
    </row>
    <row r="45" spans="1:14" ht="14.4" customHeight="1" x14ac:dyDescent="0.3">
      <c r="A45" s="611" t="s">
        <v>531</v>
      </c>
      <c r="B45" s="612" t="s">
        <v>532</v>
      </c>
      <c r="C45" s="613" t="s">
        <v>537</v>
      </c>
      <c r="D45" s="614" t="s">
        <v>1103</v>
      </c>
      <c r="E45" s="613" t="s">
        <v>670</v>
      </c>
      <c r="F45" s="614" t="s">
        <v>1107</v>
      </c>
      <c r="G45" s="613" t="s">
        <v>552</v>
      </c>
      <c r="H45" s="613" t="s">
        <v>671</v>
      </c>
      <c r="I45" s="613" t="s">
        <v>672</v>
      </c>
      <c r="J45" s="613" t="s">
        <v>673</v>
      </c>
      <c r="K45" s="613" t="s">
        <v>674</v>
      </c>
      <c r="L45" s="615">
        <v>40.25</v>
      </c>
      <c r="M45" s="615">
        <v>3</v>
      </c>
      <c r="N45" s="616">
        <v>120.75</v>
      </c>
    </row>
    <row r="46" spans="1:14" ht="14.4" customHeight="1" x14ac:dyDescent="0.3">
      <c r="A46" s="611" t="s">
        <v>531</v>
      </c>
      <c r="B46" s="612" t="s">
        <v>532</v>
      </c>
      <c r="C46" s="613" t="s">
        <v>537</v>
      </c>
      <c r="D46" s="614" t="s">
        <v>1103</v>
      </c>
      <c r="E46" s="613" t="s">
        <v>670</v>
      </c>
      <c r="F46" s="614" t="s">
        <v>1107</v>
      </c>
      <c r="G46" s="613" t="s">
        <v>552</v>
      </c>
      <c r="H46" s="613" t="s">
        <v>675</v>
      </c>
      <c r="I46" s="613" t="s">
        <v>676</v>
      </c>
      <c r="J46" s="613" t="s">
        <v>677</v>
      </c>
      <c r="K46" s="613" t="s">
        <v>678</v>
      </c>
      <c r="L46" s="615">
        <v>82.969826283948393</v>
      </c>
      <c r="M46" s="615">
        <v>2</v>
      </c>
      <c r="N46" s="616">
        <v>165.93965256789679</v>
      </c>
    </row>
    <row r="47" spans="1:14" ht="14.4" customHeight="1" x14ac:dyDescent="0.3">
      <c r="A47" s="611" t="s">
        <v>531</v>
      </c>
      <c r="B47" s="612" t="s">
        <v>532</v>
      </c>
      <c r="C47" s="613" t="s">
        <v>537</v>
      </c>
      <c r="D47" s="614" t="s">
        <v>1103</v>
      </c>
      <c r="E47" s="613" t="s">
        <v>670</v>
      </c>
      <c r="F47" s="614" t="s">
        <v>1107</v>
      </c>
      <c r="G47" s="613" t="s">
        <v>552</v>
      </c>
      <c r="H47" s="613" t="s">
        <v>679</v>
      </c>
      <c r="I47" s="613" t="s">
        <v>680</v>
      </c>
      <c r="J47" s="613" t="s">
        <v>681</v>
      </c>
      <c r="K47" s="613" t="s">
        <v>682</v>
      </c>
      <c r="L47" s="615">
        <v>23.56</v>
      </c>
      <c r="M47" s="615">
        <v>1</v>
      </c>
      <c r="N47" s="616">
        <v>23.56</v>
      </c>
    </row>
    <row r="48" spans="1:14" ht="14.4" customHeight="1" x14ac:dyDescent="0.3">
      <c r="A48" s="611" t="s">
        <v>531</v>
      </c>
      <c r="B48" s="612" t="s">
        <v>532</v>
      </c>
      <c r="C48" s="613" t="s">
        <v>537</v>
      </c>
      <c r="D48" s="614" t="s">
        <v>1103</v>
      </c>
      <c r="E48" s="613" t="s">
        <v>670</v>
      </c>
      <c r="F48" s="614" t="s">
        <v>1107</v>
      </c>
      <c r="G48" s="613" t="s">
        <v>552</v>
      </c>
      <c r="H48" s="613" t="s">
        <v>683</v>
      </c>
      <c r="I48" s="613" t="s">
        <v>684</v>
      </c>
      <c r="J48" s="613" t="s">
        <v>685</v>
      </c>
      <c r="K48" s="613" t="s">
        <v>686</v>
      </c>
      <c r="L48" s="615">
        <v>49.211209719129272</v>
      </c>
      <c r="M48" s="615">
        <v>42</v>
      </c>
      <c r="N48" s="616">
        <v>2066.8708082034295</v>
      </c>
    </row>
    <row r="49" spans="1:14" ht="14.4" customHeight="1" x14ac:dyDescent="0.3">
      <c r="A49" s="611" t="s">
        <v>531</v>
      </c>
      <c r="B49" s="612" t="s">
        <v>532</v>
      </c>
      <c r="C49" s="613" t="s">
        <v>537</v>
      </c>
      <c r="D49" s="614" t="s">
        <v>1103</v>
      </c>
      <c r="E49" s="613" t="s">
        <v>670</v>
      </c>
      <c r="F49" s="614" t="s">
        <v>1107</v>
      </c>
      <c r="G49" s="613" t="s">
        <v>687</v>
      </c>
      <c r="H49" s="613" t="s">
        <v>688</v>
      </c>
      <c r="I49" s="613" t="s">
        <v>689</v>
      </c>
      <c r="J49" s="613" t="s">
        <v>690</v>
      </c>
      <c r="K49" s="613" t="s">
        <v>691</v>
      </c>
      <c r="L49" s="615">
        <v>138.3461897530575</v>
      </c>
      <c r="M49" s="615">
        <v>13</v>
      </c>
      <c r="N49" s="616">
        <v>1798.5004667897474</v>
      </c>
    </row>
    <row r="50" spans="1:14" ht="14.4" customHeight="1" x14ac:dyDescent="0.3">
      <c r="A50" s="611" t="s">
        <v>531</v>
      </c>
      <c r="B50" s="612" t="s">
        <v>532</v>
      </c>
      <c r="C50" s="613" t="s">
        <v>537</v>
      </c>
      <c r="D50" s="614" t="s">
        <v>1103</v>
      </c>
      <c r="E50" s="613" t="s">
        <v>670</v>
      </c>
      <c r="F50" s="614" t="s">
        <v>1107</v>
      </c>
      <c r="G50" s="613" t="s">
        <v>687</v>
      </c>
      <c r="H50" s="613" t="s">
        <v>692</v>
      </c>
      <c r="I50" s="613" t="s">
        <v>693</v>
      </c>
      <c r="J50" s="613" t="s">
        <v>694</v>
      </c>
      <c r="K50" s="613" t="s">
        <v>695</v>
      </c>
      <c r="L50" s="615">
        <v>61.589194362383068</v>
      </c>
      <c r="M50" s="615">
        <v>4</v>
      </c>
      <c r="N50" s="616">
        <v>246.35677744953227</v>
      </c>
    </row>
    <row r="51" spans="1:14" ht="14.4" customHeight="1" x14ac:dyDescent="0.3">
      <c r="A51" s="611" t="s">
        <v>531</v>
      </c>
      <c r="B51" s="612" t="s">
        <v>532</v>
      </c>
      <c r="C51" s="613" t="s">
        <v>537</v>
      </c>
      <c r="D51" s="614" t="s">
        <v>1103</v>
      </c>
      <c r="E51" s="613" t="s">
        <v>696</v>
      </c>
      <c r="F51" s="614" t="s">
        <v>1108</v>
      </c>
      <c r="G51" s="613" t="s">
        <v>552</v>
      </c>
      <c r="H51" s="613" t="s">
        <v>697</v>
      </c>
      <c r="I51" s="613" t="s">
        <v>698</v>
      </c>
      <c r="J51" s="613" t="s">
        <v>699</v>
      </c>
      <c r="K51" s="613" t="s">
        <v>700</v>
      </c>
      <c r="L51" s="615">
        <v>94.899373595964889</v>
      </c>
      <c r="M51" s="615">
        <v>1</v>
      </c>
      <c r="N51" s="616">
        <v>94.899373595964889</v>
      </c>
    </row>
    <row r="52" spans="1:14" ht="14.4" customHeight="1" x14ac:dyDescent="0.3">
      <c r="A52" s="611" t="s">
        <v>531</v>
      </c>
      <c r="B52" s="612" t="s">
        <v>532</v>
      </c>
      <c r="C52" s="613" t="s">
        <v>537</v>
      </c>
      <c r="D52" s="614" t="s">
        <v>1103</v>
      </c>
      <c r="E52" s="613" t="s">
        <v>696</v>
      </c>
      <c r="F52" s="614" t="s">
        <v>1108</v>
      </c>
      <c r="G52" s="613" t="s">
        <v>552</v>
      </c>
      <c r="H52" s="613" t="s">
        <v>701</v>
      </c>
      <c r="I52" s="613" t="s">
        <v>702</v>
      </c>
      <c r="J52" s="613" t="s">
        <v>703</v>
      </c>
      <c r="K52" s="613" t="s">
        <v>704</v>
      </c>
      <c r="L52" s="615">
        <v>94.63567891278629</v>
      </c>
      <c r="M52" s="615">
        <v>10</v>
      </c>
      <c r="N52" s="616">
        <v>946.35678912786295</v>
      </c>
    </row>
    <row r="53" spans="1:14" ht="14.4" customHeight="1" x14ac:dyDescent="0.3">
      <c r="A53" s="611" t="s">
        <v>531</v>
      </c>
      <c r="B53" s="612" t="s">
        <v>532</v>
      </c>
      <c r="C53" s="613" t="s">
        <v>537</v>
      </c>
      <c r="D53" s="614" t="s">
        <v>1103</v>
      </c>
      <c r="E53" s="613" t="s">
        <v>696</v>
      </c>
      <c r="F53" s="614" t="s">
        <v>1108</v>
      </c>
      <c r="G53" s="613" t="s">
        <v>552</v>
      </c>
      <c r="H53" s="613" t="s">
        <v>705</v>
      </c>
      <c r="I53" s="613" t="s">
        <v>706</v>
      </c>
      <c r="J53" s="613" t="s">
        <v>707</v>
      </c>
      <c r="K53" s="613" t="s">
        <v>708</v>
      </c>
      <c r="L53" s="615">
        <v>85.400000000000063</v>
      </c>
      <c r="M53" s="615">
        <v>1</v>
      </c>
      <c r="N53" s="616">
        <v>85.400000000000063</v>
      </c>
    </row>
    <row r="54" spans="1:14" ht="14.4" customHeight="1" x14ac:dyDescent="0.3">
      <c r="A54" s="611" t="s">
        <v>531</v>
      </c>
      <c r="B54" s="612" t="s">
        <v>532</v>
      </c>
      <c r="C54" s="613" t="s">
        <v>537</v>
      </c>
      <c r="D54" s="614" t="s">
        <v>1103</v>
      </c>
      <c r="E54" s="613" t="s">
        <v>709</v>
      </c>
      <c r="F54" s="614" t="s">
        <v>1109</v>
      </c>
      <c r="G54" s="613"/>
      <c r="H54" s="613"/>
      <c r="I54" s="613" t="s">
        <v>710</v>
      </c>
      <c r="J54" s="613" t="s">
        <v>711</v>
      </c>
      <c r="K54" s="613"/>
      <c r="L54" s="615">
        <v>1188</v>
      </c>
      <c r="M54" s="615">
        <v>2</v>
      </c>
      <c r="N54" s="616">
        <v>2376</v>
      </c>
    </row>
    <row r="55" spans="1:14" ht="14.4" customHeight="1" x14ac:dyDescent="0.3">
      <c r="A55" s="611" t="s">
        <v>531</v>
      </c>
      <c r="B55" s="612" t="s">
        <v>532</v>
      </c>
      <c r="C55" s="613" t="s">
        <v>542</v>
      </c>
      <c r="D55" s="614" t="s">
        <v>1104</v>
      </c>
      <c r="E55" s="613" t="s">
        <v>551</v>
      </c>
      <c r="F55" s="614" t="s">
        <v>1106</v>
      </c>
      <c r="G55" s="613" t="s">
        <v>552</v>
      </c>
      <c r="H55" s="613" t="s">
        <v>553</v>
      </c>
      <c r="I55" s="613" t="s">
        <v>553</v>
      </c>
      <c r="J55" s="613" t="s">
        <v>554</v>
      </c>
      <c r="K55" s="613" t="s">
        <v>555</v>
      </c>
      <c r="L55" s="615">
        <v>171.6</v>
      </c>
      <c r="M55" s="615">
        <v>6</v>
      </c>
      <c r="N55" s="616">
        <v>1029.5999999999999</v>
      </c>
    </row>
    <row r="56" spans="1:14" ht="14.4" customHeight="1" x14ac:dyDescent="0.3">
      <c r="A56" s="611" t="s">
        <v>531</v>
      </c>
      <c r="B56" s="612" t="s">
        <v>532</v>
      </c>
      <c r="C56" s="613" t="s">
        <v>542</v>
      </c>
      <c r="D56" s="614" t="s">
        <v>1104</v>
      </c>
      <c r="E56" s="613" t="s">
        <v>551</v>
      </c>
      <c r="F56" s="614" t="s">
        <v>1106</v>
      </c>
      <c r="G56" s="613" t="s">
        <v>552</v>
      </c>
      <c r="H56" s="613" t="s">
        <v>556</v>
      </c>
      <c r="I56" s="613" t="s">
        <v>556</v>
      </c>
      <c r="J56" s="613" t="s">
        <v>557</v>
      </c>
      <c r="K56" s="613" t="s">
        <v>558</v>
      </c>
      <c r="L56" s="615">
        <v>223.46250000000001</v>
      </c>
      <c r="M56" s="615">
        <v>8</v>
      </c>
      <c r="N56" s="616">
        <v>1787.7</v>
      </c>
    </row>
    <row r="57" spans="1:14" ht="14.4" customHeight="1" x14ac:dyDescent="0.3">
      <c r="A57" s="611" t="s">
        <v>531</v>
      </c>
      <c r="B57" s="612" t="s">
        <v>532</v>
      </c>
      <c r="C57" s="613" t="s">
        <v>542</v>
      </c>
      <c r="D57" s="614" t="s">
        <v>1104</v>
      </c>
      <c r="E57" s="613" t="s">
        <v>551</v>
      </c>
      <c r="F57" s="614" t="s">
        <v>1106</v>
      </c>
      <c r="G57" s="613" t="s">
        <v>552</v>
      </c>
      <c r="H57" s="613" t="s">
        <v>559</v>
      </c>
      <c r="I57" s="613" t="s">
        <v>560</v>
      </c>
      <c r="J57" s="613" t="s">
        <v>561</v>
      </c>
      <c r="K57" s="613" t="s">
        <v>562</v>
      </c>
      <c r="L57" s="615">
        <v>87.030000000000015</v>
      </c>
      <c r="M57" s="615">
        <v>2</v>
      </c>
      <c r="N57" s="616">
        <v>174.06000000000003</v>
      </c>
    </row>
    <row r="58" spans="1:14" ht="14.4" customHeight="1" x14ac:dyDescent="0.3">
      <c r="A58" s="611" t="s">
        <v>531</v>
      </c>
      <c r="B58" s="612" t="s">
        <v>532</v>
      </c>
      <c r="C58" s="613" t="s">
        <v>542</v>
      </c>
      <c r="D58" s="614" t="s">
        <v>1104</v>
      </c>
      <c r="E58" s="613" t="s">
        <v>551</v>
      </c>
      <c r="F58" s="614" t="s">
        <v>1106</v>
      </c>
      <c r="G58" s="613" t="s">
        <v>552</v>
      </c>
      <c r="H58" s="613" t="s">
        <v>563</v>
      </c>
      <c r="I58" s="613" t="s">
        <v>564</v>
      </c>
      <c r="J58" s="613" t="s">
        <v>565</v>
      </c>
      <c r="K58" s="613" t="s">
        <v>566</v>
      </c>
      <c r="L58" s="615">
        <v>96.819559954538946</v>
      </c>
      <c r="M58" s="615">
        <v>4</v>
      </c>
      <c r="N58" s="616">
        <v>387.27823981815578</v>
      </c>
    </row>
    <row r="59" spans="1:14" ht="14.4" customHeight="1" x14ac:dyDescent="0.3">
      <c r="A59" s="611" t="s">
        <v>531</v>
      </c>
      <c r="B59" s="612" t="s">
        <v>532</v>
      </c>
      <c r="C59" s="613" t="s">
        <v>542</v>
      </c>
      <c r="D59" s="614" t="s">
        <v>1104</v>
      </c>
      <c r="E59" s="613" t="s">
        <v>551</v>
      </c>
      <c r="F59" s="614" t="s">
        <v>1106</v>
      </c>
      <c r="G59" s="613" t="s">
        <v>552</v>
      </c>
      <c r="H59" s="613" t="s">
        <v>567</v>
      </c>
      <c r="I59" s="613" t="s">
        <v>568</v>
      </c>
      <c r="J59" s="613" t="s">
        <v>569</v>
      </c>
      <c r="K59" s="613" t="s">
        <v>570</v>
      </c>
      <c r="L59" s="615">
        <v>79.512279474698971</v>
      </c>
      <c r="M59" s="615">
        <v>4</v>
      </c>
      <c r="N59" s="616">
        <v>318.04911789879588</v>
      </c>
    </row>
    <row r="60" spans="1:14" ht="14.4" customHeight="1" x14ac:dyDescent="0.3">
      <c r="A60" s="611" t="s">
        <v>531</v>
      </c>
      <c r="B60" s="612" t="s">
        <v>532</v>
      </c>
      <c r="C60" s="613" t="s">
        <v>542</v>
      </c>
      <c r="D60" s="614" t="s">
        <v>1104</v>
      </c>
      <c r="E60" s="613" t="s">
        <v>551</v>
      </c>
      <c r="F60" s="614" t="s">
        <v>1106</v>
      </c>
      <c r="G60" s="613" t="s">
        <v>552</v>
      </c>
      <c r="H60" s="613" t="s">
        <v>712</v>
      </c>
      <c r="I60" s="613" t="s">
        <v>713</v>
      </c>
      <c r="J60" s="613" t="s">
        <v>714</v>
      </c>
      <c r="K60" s="613" t="s">
        <v>715</v>
      </c>
      <c r="L60" s="615">
        <v>66.634416949311571</v>
      </c>
      <c r="M60" s="615">
        <v>2</v>
      </c>
      <c r="N60" s="616">
        <v>133.26883389862314</v>
      </c>
    </row>
    <row r="61" spans="1:14" ht="14.4" customHeight="1" x14ac:dyDescent="0.3">
      <c r="A61" s="611" t="s">
        <v>531</v>
      </c>
      <c r="B61" s="612" t="s">
        <v>532</v>
      </c>
      <c r="C61" s="613" t="s">
        <v>542</v>
      </c>
      <c r="D61" s="614" t="s">
        <v>1104</v>
      </c>
      <c r="E61" s="613" t="s">
        <v>551</v>
      </c>
      <c r="F61" s="614" t="s">
        <v>1106</v>
      </c>
      <c r="G61" s="613" t="s">
        <v>552</v>
      </c>
      <c r="H61" s="613" t="s">
        <v>571</v>
      </c>
      <c r="I61" s="613" t="s">
        <v>572</v>
      </c>
      <c r="J61" s="613" t="s">
        <v>573</v>
      </c>
      <c r="K61" s="613" t="s">
        <v>574</v>
      </c>
      <c r="L61" s="615">
        <v>39.049999999999983</v>
      </c>
      <c r="M61" s="615">
        <v>2</v>
      </c>
      <c r="N61" s="616">
        <v>78.099999999999966</v>
      </c>
    </row>
    <row r="62" spans="1:14" ht="14.4" customHeight="1" x14ac:dyDescent="0.3">
      <c r="A62" s="611" t="s">
        <v>531</v>
      </c>
      <c r="B62" s="612" t="s">
        <v>532</v>
      </c>
      <c r="C62" s="613" t="s">
        <v>542</v>
      </c>
      <c r="D62" s="614" t="s">
        <v>1104</v>
      </c>
      <c r="E62" s="613" t="s">
        <v>551</v>
      </c>
      <c r="F62" s="614" t="s">
        <v>1106</v>
      </c>
      <c r="G62" s="613" t="s">
        <v>552</v>
      </c>
      <c r="H62" s="613" t="s">
        <v>716</v>
      </c>
      <c r="I62" s="613" t="s">
        <v>717</v>
      </c>
      <c r="J62" s="613" t="s">
        <v>718</v>
      </c>
      <c r="K62" s="613" t="s">
        <v>719</v>
      </c>
      <c r="L62" s="615">
        <v>149.25</v>
      </c>
      <c r="M62" s="615">
        <v>1</v>
      </c>
      <c r="N62" s="616">
        <v>149.25</v>
      </c>
    </row>
    <row r="63" spans="1:14" ht="14.4" customHeight="1" x14ac:dyDescent="0.3">
      <c r="A63" s="611" t="s">
        <v>531</v>
      </c>
      <c r="B63" s="612" t="s">
        <v>532</v>
      </c>
      <c r="C63" s="613" t="s">
        <v>542</v>
      </c>
      <c r="D63" s="614" t="s">
        <v>1104</v>
      </c>
      <c r="E63" s="613" t="s">
        <v>551</v>
      </c>
      <c r="F63" s="614" t="s">
        <v>1106</v>
      </c>
      <c r="G63" s="613" t="s">
        <v>552</v>
      </c>
      <c r="H63" s="613" t="s">
        <v>575</v>
      </c>
      <c r="I63" s="613" t="s">
        <v>189</v>
      </c>
      <c r="J63" s="613" t="s">
        <v>576</v>
      </c>
      <c r="K63" s="613"/>
      <c r="L63" s="615">
        <v>97.320342447442457</v>
      </c>
      <c r="M63" s="615">
        <v>14</v>
      </c>
      <c r="N63" s="616">
        <v>1362.4847942641943</v>
      </c>
    </row>
    <row r="64" spans="1:14" ht="14.4" customHeight="1" x14ac:dyDescent="0.3">
      <c r="A64" s="611" t="s">
        <v>531</v>
      </c>
      <c r="B64" s="612" t="s">
        <v>532</v>
      </c>
      <c r="C64" s="613" t="s">
        <v>542</v>
      </c>
      <c r="D64" s="614" t="s">
        <v>1104</v>
      </c>
      <c r="E64" s="613" t="s">
        <v>551</v>
      </c>
      <c r="F64" s="614" t="s">
        <v>1106</v>
      </c>
      <c r="G64" s="613" t="s">
        <v>552</v>
      </c>
      <c r="H64" s="613" t="s">
        <v>720</v>
      </c>
      <c r="I64" s="613" t="s">
        <v>721</v>
      </c>
      <c r="J64" s="613" t="s">
        <v>722</v>
      </c>
      <c r="K64" s="613"/>
      <c r="L64" s="615">
        <v>134.09999999999997</v>
      </c>
      <c r="M64" s="615">
        <v>5</v>
      </c>
      <c r="N64" s="616">
        <v>670.49999999999989</v>
      </c>
    </row>
    <row r="65" spans="1:14" ht="14.4" customHeight="1" x14ac:dyDescent="0.3">
      <c r="A65" s="611" t="s">
        <v>531</v>
      </c>
      <c r="B65" s="612" t="s">
        <v>532</v>
      </c>
      <c r="C65" s="613" t="s">
        <v>542</v>
      </c>
      <c r="D65" s="614" t="s">
        <v>1104</v>
      </c>
      <c r="E65" s="613" t="s">
        <v>551</v>
      </c>
      <c r="F65" s="614" t="s">
        <v>1106</v>
      </c>
      <c r="G65" s="613" t="s">
        <v>552</v>
      </c>
      <c r="H65" s="613" t="s">
        <v>579</v>
      </c>
      <c r="I65" s="613" t="s">
        <v>580</v>
      </c>
      <c r="J65" s="613" t="s">
        <v>581</v>
      </c>
      <c r="K65" s="613" t="s">
        <v>582</v>
      </c>
      <c r="L65" s="615">
        <v>40.669999999999987</v>
      </c>
      <c r="M65" s="615">
        <v>1</v>
      </c>
      <c r="N65" s="616">
        <v>40.669999999999987</v>
      </c>
    </row>
    <row r="66" spans="1:14" ht="14.4" customHeight="1" x14ac:dyDescent="0.3">
      <c r="A66" s="611" t="s">
        <v>531</v>
      </c>
      <c r="B66" s="612" t="s">
        <v>532</v>
      </c>
      <c r="C66" s="613" t="s">
        <v>542</v>
      </c>
      <c r="D66" s="614" t="s">
        <v>1104</v>
      </c>
      <c r="E66" s="613" t="s">
        <v>551</v>
      </c>
      <c r="F66" s="614" t="s">
        <v>1106</v>
      </c>
      <c r="G66" s="613" t="s">
        <v>552</v>
      </c>
      <c r="H66" s="613" t="s">
        <v>723</v>
      </c>
      <c r="I66" s="613" t="s">
        <v>189</v>
      </c>
      <c r="J66" s="613" t="s">
        <v>724</v>
      </c>
      <c r="K66" s="613"/>
      <c r="L66" s="615">
        <v>37.4345</v>
      </c>
      <c r="M66" s="615">
        <v>30</v>
      </c>
      <c r="N66" s="616">
        <v>1123.0350000000001</v>
      </c>
    </row>
    <row r="67" spans="1:14" ht="14.4" customHeight="1" x14ac:dyDescent="0.3">
      <c r="A67" s="611" t="s">
        <v>531</v>
      </c>
      <c r="B67" s="612" t="s">
        <v>532</v>
      </c>
      <c r="C67" s="613" t="s">
        <v>542</v>
      </c>
      <c r="D67" s="614" t="s">
        <v>1104</v>
      </c>
      <c r="E67" s="613" t="s">
        <v>551</v>
      </c>
      <c r="F67" s="614" t="s">
        <v>1106</v>
      </c>
      <c r="G67" s="613" t="s">
        <v>552</v>
      </c>
      <c r="H67" s="613" t="s">
        <v>583</v>
      </c>
      <c r="I67" s="613" t="s">
        <v>584</v>
      </c>
      <c r="J67" s="613" t="s">
        <v>585</v>
      </c>
      <c r="K67" s="613" t="s">
        <v>586</v>
      </c>
      <c r="L67" s="615">
        <v>208.69039721839002</v>
      </c>
      <c r="M67" s="615">
        <v>3</v>
      </c>
      <c r="N67" s="616">
        <v>626.07119165517008</v>
      </c>
    </row>
    <row r="68" spans="1:14" ht="14.4" customHeight="1" x14ac:dyDescent="0.3">
      <c r="A68" s="611" t="s">
        <v>531</v>
      </c>
      <c r="B68" s="612" t="s">
        <v>532</v>
      </c>
      <c r="C68" s="613" t="s">
        <v>542</v>
      </c>
      <c r="D68" s="614" t="s">
        <v>1104</v>
      </c>
      <c r="E68" s="613" t="s">
        <v>551</v>
      </c>
      <c r="F68" s="614" t="s">
        <v>1106</v>
      </c>
      <c r="G68" s="613" t="s">
        <v>552</v>
      </c>
      <c r="H68" s="613" t="s">
        <v>587</v>
      </c>
      <c r="I68" s="613" t="s">
        <v>189</v>
      </c>
      <c r="J68" s="613" t="s">
        <v>588</v>
      </c>
      <c r="K68" s="613"/>
      <c r="L68" s="615">
        <v>36.918192985357017</v>
      </c>
      <c r="M68" s="615">
        <v>228</v>
      </c>
      <c r="N68" s="616">
        <v>8417.3480006613991</v>
      </c>
    </row>
    <row r="69" spans="1:14" ht="14.4" customHeight="1" x14ac:dyDescent="0.3">
      <c r="A69" s="611" t="s">
        <v>531</v>
      </c>
      <c r="B69" s="612" t="s">
        <v>532</v>
      </c>
      <c r="C69" s="613" t="s">
        <v>542</v>
      </c>
      <c r="D69" s="614" t="s">
        <v>1104</v>
      </c>
      <c r="E69" s="613" t="s">
        <v>551</v>
      </c>
      <c r="F69" s="614" t="s">
        <v>1106</v>
      </c>
      <c r="G69" s="613" t="s">
        <v>552</v>
      </c>
      <c r="H69" s="613" t="s">
        <v>589</v>
      </c>
      <c r="I69" s="613" t="s">
        <v>590</v>
      </c>
      <c r="J69" s="613" t="s">
        <v>591</v>
      </c>
      <c r="K69" s="613" t="s">
        <v>592</v>
      </c>
      <c r="L69" s="615">
        <v>69.84989432651011</v>
      </c>
      <c r="M69" s="615">
        <v>1</v>
      </c>
      <c r="N69" s="616">
        <v>69.84989432651011</v>
      </c>
    </row>
    <row r="70" spans="1:14" ht="14.4" customHeight="1" x14ac:dyDescent="0.3">
      <c r="A70" s="611" t="s">
        <v>531</v>
      </c>
      <c r="B70" s="612" t="s">
        <v>532</v>
      </c>
      <c r="C70" s="613" t="s">
        <v>542</v>
      </c>
      <c r="D70" s="614" t="s">
        <v>1104</v>
      </c>
      <c r="E70" s="613" t="s">
        <v>551</v>
      </c>
      <c r="F70" s="614" t="s">
        <v>1106</v>
      </c>
      <c r="G70" s="613" t="s">
        <v>552</v>
      </c>
      <c r="H70" s="613" t="s">
        <v>597</v>
      </c>
      <c r="I70" s="613" t="s">
        <v>189</v>
      </c>
      <c r="J70" s="613" t="s">
        <v>598</v>
      </c>
      <c r="K70" s="613"/>
      <c r="L70" s="615">
        <v>275.31261533299789</v>
      </c>
      <c r="M70" s="615">
        <v>1</v>
      </c>
      <c r="N70" s="616">
        <v>275.31261533299789</v>
      </c>
    </row>
    <row r="71" spans="1:14" ht="14.4" customHeight="1" x14ac:dyDescent="0.3">
      <c r="A71" s="611" t="s">
        <v>531</v>
      </c>
      <c r="B71" s="612" t="s">
        <v>532</v>
      </c>
      <c r="C71" s="613" t="s">
        <v>542</v>
      </c>
      <c r="D71" s="614" t="s">
        <v>1104</v>
      </c>
      <c r="E71" s="613" t="s">
        <v>551</v>
      </c>
      <c r="F71" s="614" t="s">
        <v>1106</v>
      </c>
      <c r="G71" s="613" t="s">
        <v>552</v>
      </c>
      <c r="H71" s="613" t="s">
        <v>599</v>
      </c>
      <c r="I71" s="613" t="s">
        <v>599</v>
      </c>
      <c r="J71" s="613" t="s">
        <v>600</v>
      </c>
      <c r="K71" s="613" t="s">
        <v>601</v>
      </c>
      <c r="L71" s="615">
        <v>75.57276880251716</v>
      </c>
      <c r="M71" s="615">
        <v>33</v>
      </c>
      <c r="N71" s="616">
        <v>2493.9013704830663</v>
      </c>
    </row>
    <row r="72" spans="1:14" ht="14.4" customHeight="1" x14ac:dyDescent="0.3">
      <c r="A72" s="611" t="s">
        <v>531</v>
      </c>
      <c r="B72" s="612" t="s">
        <v>532</v>
      </c>
      <c r="C72" s="613" t="s">
        <v>542</v>
      </c>
      <c r="D72" s="614" t="s">
        <v>1104</v>
      </c>
      <c r="E72" s="613" t="s">
        <v>551</v>
      </c>
      <c r="F72" s="614" t="s">
        <v>1106</v>
      </c>
      <c r="G72" s="613" t="s">
        <v>552</v>
      </c>
      <c r="H72" s="613" t="s">
        <v>602</v>
      </c>
      <c r="I72" s="613" t="s">
        <v>603</v>
      </c>
      <c r="J72" s="613" t="s">
        <v>604</v>
      </c>
      <c r="K72" s="613" t="s">
        <v>605</v>
      </c>
      <c r="L72" s="615">
        <v>64.458705343740789</v>
      </c>
      <c r="M72" s="615">
        <v>51</v>
      </c>
      <c r="N72" s="616">
        <v>3287.39397253078</v>
      </c>
    </row>
    <row r="73" spans="1:14" ht="14.4" customHeight="1" x14ac:dyDescent="0.3">
      <c r="A73" s="611" t="s">
        <v>531</v>
      </c>
      <c r="B73" s="612" t="s">
        <v>532</v>
      </c>
      <c r="C73" s="613" t="s">
        <v>542</v>
      </c>
      <c r="D73" s="614" t="s">
        <v>1104</v>
      </c>
      <c r="E73" s="613" t="s">
        <v>551</v>
      </c>
      <c r="F73" s="614" t="s">
        <v>1106</v>
      </c>
      <c r="G73" s="613" t="s">
        <v>552</v>
      </c>
      <c r="H73" s="613" t="s">
        <v>606</v>
      </c>
      <c r="I73" s="613" t="s">
        <v>189</v>
      </c>
      <c r="J73" s="613" t="s">
        <v>607</v>
      </c>
      <c r="K73" s="613" t="s">
        <v>608</v>
      </c>
      <c r="L73" s="615">
        <v>23.700250298753822</v>
      </c>
      <c r="M73" s="615">
        <v>312</v>
      </c>
      <c r="N73" s="616">
        <v>7394.4780932111926</v>
      </c>
    </row>
    <row r="74" spans="1:14" ht="14.4" customHeight="1" x14ac:dyDescent="0.3">
      <c r="A74" s="611" t="s">
        <v>531</v>
      </c>
      <c r="B74" s="612" t="s">
        <v>532</v>
      </c>
      <c r="C74" s="613" t="s">
        <v>542</v>
      </c>
      <c r="D74" s="614" t="s">
        <v>1104</v>
      </c>
      <c r="E74" s="613" t="s">
        <v>551</v>
      </c>
      <c r="F74" s="614" t="s">
        <v>1106</v>
      </c>
      <c r="G74" s="613" t="s">
        <v>552</v>
      </c>
      <c r="H74" s="613" t="s">
        <v>725</v>
      </c>
      <c r="I74" s="613" t="s">
        <v>726</v>
      </c>
      <c r="J74" s="613" t="s">
        <v>727</v>
      </c>
      <c r="K74" s="613" t="s">
        <v>728</v>
      </c>
      <c r="L74" s="615">
        <v>22.130000000000003</v>
      </c>
      <c r="M74" s="615">
        <v>5</v>
      </c>
      <c r="N74" s="616">
        <v>110.65</v>
      </c>
    </row>
    <row r="75" spans="1:14" ht="14.4" customHeight="1" x14ac:dyDescent="0.3">
      <c r="A75" s="611" t="s">
        <v>531</v>
      </c>
      <c r="B75" s="612" t="s">
        <v>532</v>
      </c>
      <c r="C75" s="613" t="s">
        <v>542</v>
      </c>
      <c r="D75" s="614" t="s">
        <v>1104</v>
      </c>
      <c r="E75" s="613" t="s">
        <v>551</v>
      </c>
      <c r="F75" s="614" t="s">
        <v>1106</v>
      </c>
      <c r="G75" s="613" t="s">
        <v>552</v>
      </c>
      <c r="H75" s="613" t="s">
        <v>729</v>
      </c>
      <c r="I75" s="613" t="s">
        <v>730</v>
      </c>
      <c r="J75" s="613" t="s">
        <v>731</v>
      </c>
      <c r="K75" s="613" t="s">
        <v>732</v>
      </c>
      <c r="L75" s="615">
        <v>33.924560904355396</v>
      </c>
      <c r="M75" s="615">
        <v>4</v>
      </c>
      <c r="N75" s="616">
        <v>135.69824361742158</v>
      </c>
    </row>
    <row r="76" spans="1:14" ht="14.4" customHeight="1" x14ac:dyDescent="0.3">
      <c r="A76" s="611" t="s">
        <v>531</v>
      </c>
      <c r="B76" s="612" t="s">
        <v>532</v>
      </c>
      <c r="C76" s="613" t="s">
        <v>542</v>
      </c>
      <c r="D76" s="614" t="s">
        <v>1104</v>
      </c>
      <c r="E76" s="613" t="s">
        <v>551</v>
      </c>
      <c r="F76" s="614" t="s">
        <v>1106</v>
      </c>
      <c r="G76" s="613" t="s">
        <v>552</v>
      </c>
      <c r="H76" s="613" t="s">
        <v>609</v>
      </c>
      <c r="I76" s="613" t="s">
        <v>189</v>
      </c>
      <c r="J76" s="613" t="s">
        <v>610</v>
      </c>
      <c r="K76" s="613" t="s">
        <v>611</v>
      </c>
      <c r="L76" s="615">
        <v>199.67000000000004</v>
      </c>
      <c r="M76" s="615">
        <v>4</v>
      </c>
      <c r="N76" s="616">
        <v>798.68000000000018</v>
      </c>
    </row>
    <row r="77" spans="1:14" ht="14.4" customHeight="1" x14ac:dyDescent="0.3">
      <c r="A77" s="611" t="s">
        <v>531</v>
      </c>
      <c r="B77" s="612" t="s">
        <v>532</v>
      </c>
      <c r="C77" s="613" t="s">
        <v>542</v>
      </c>
      <c r="D77" s="614" t="s">
        <v>1104</v>
      </c>
      <c r="E77" s="613" t="s">
        <v>551</v>
      </c>
      <c r="F77" s="614" t="s">
        <v>1106</v>
      </c>
      <c r="G77" s="613" t="s">
        <v>552</v>
      </c>
      <c r="H77" s="613" t="s">
        <v>733</v>
      </c>
      <c r="I77" s="613" t="s">
        <v>734</v>
      </c>
      <c r="J77" s="613" t="s">
        <v>735</v>
      </c>
      <c r="K77" s="613" t="s">
        <v>736</v>
      </c>
      <c r="L77" s="615">
        <v>70.615977898218745</v>
      </c>
      <c r="M77" s="615">
        <v>5</v>
      </c>
      <c r="N77" s="616">
        <v>353.07988949109375</v>
      </c>
    </row>
    <row r="78" spans="1:14" ht="14.4" customHeight="1" x14ac:dyDescent="0.3">
      <c r="A78" s="611" t="s">
        <v>531</v>
      </c>
      <c r="B78" s="612" t="s">
        <v>532</v>
      </c>
      <c r="C78" s="613" t="s">
        <v>542</v>
      </c>
      <c r="D78" s="614" t="s">
        <v>1104</v>
      </c>
      <c r="E78" s="613" t="s">
        <v>551</v>
      </c>
      <c r="F78" s="614" t="s">
        <v>1106</v>
      </c>
      <c r="G78" s="613" t="s">
        <v>552</v>
      </c>
      <c r="H78" s="613" t="s">
        <v>612</v>
      </c>
      <c r="I78" s="613" t="s">
        <v>613</v>
      </c>
      <c r="J78" s="613" t="s">
        <v>614</v>
      </c>
      <c r="K78" s="613"/>
      <c r="L78" s="615">
        <v>415.91748387530566</v>
      </c>
      <c r="M78" s="615">
        <v>3</v>
      </c>
      <c r="N78" s="616">
        <v>1247.752451625917</v>
      </c>
    </row>
    <row r="79" spans="1:14" ht="14.4" customHeight="1" x14ac:dyDescent="0.3">
      <c r="A79" s="611" t="s">
        <v>531</v>
      </c>
      <c r="B79" s="612" t="s">
        <v>532</v>
      </c>
      <c r="C79" s="613" t="s">
        <v>542</v>
      </c>
      <c r="D79" s="614" t="s">
        <v>1104</v>
      </c>
      <c r="E79" s="613" t="s">
        <v>551</v>
      </c>
      <c r="F79" s="614" t="s">
        <v>1106</v>
      </c>
      <c r="G79" s="613" t="s">
        <v>552</v>
      </c>
      <c r="H79" s="613" t="s">
        <v>615</v>
      </c>
      <c r="I79" s="613" t="s">
        <v>189</v>
      </c>
      <c r="J79" s="613" t="s">
        <v>616</v>
      </c>
      <c r="K79" s="613"/>
      <c r="L79" s="615">
        <v>184.44940026340913</v>
      </c>
      <c r="M79" s="615">
        <v>1</v>
      </c>
      <c r="N79" s="616">
        <v>184.44940026340913</v>
      </c>
    </row>
    <row r="80" spans="1:14" ht="14.4" customHeight="1" x14ac:dyDescent="0.3">
      <c r="A80" s="611" t="s">
        <v>531</v>
      </c>
      <c r="B80" s="612" t="s">
        <v>532</v>
      </c>
      <c r="C80" s="613" t="s">
        <v>542</v>
      </c>
      <c r="D80" s="614" t="s">
        <v>1104</v>
      </c>
      <c r="E80" s="613" t="s">
        <v>551</v>
      </c>
      <c r="F80" s="614" t="s">
        <v>1106</v>
      </c>
      <c r="G80" s="613" t="s">
        <v>552</v>
      </c>
      <c r="H80" s="613" t="s">
        <v>737</v>
      </c>
      <c r="I80" s="613" t="s">
        <v>189</v>
      </c>
      <c r="J80" s="613" t="s">
        <v>738</v>
      </c>
      <c r="K80" s="613"/>
      <c r="L80" s="615">
        <v>52.175703837624887</v>
      </c>
      <c r="M80" s="615">
        <v>2</v>
      </c>
      <c r="N80" s="616">
        <v>104.35140767524977</v>
      </c>
    </row>
    <row r="81" spans="1:14" ht="14.4" customHeight="1" x14ac:dyDescent="0.3">
      <c r="A81" s="611" t="s">
        <v>531</v>
      </c>
      <c r="B81" s="612" t="s">
        <v>532</v>
      </c>
      <c r="C81" s="613" t="s">
        <v>542</v>
      </c>
      <c r="D81" s="614" t="s">
        <v>1104</v>
      </c>
      <c r="E81" s="613" t="s">
        <v>551</v>
      </c>
      <c r="F81" s="614" t="s">
        <v>1106</v>
      </c>
      <c r="G81" s="613" t="s">
        <v>552</v>
      </c>
      <c r="H81" s="613" t="s">
        <v>623</v>
      </c>
      <c r="I81" s="613" t="s">
        <v>624</v>
      </c>
      <c r="J81" s="613" t="s">
        <v>625</v>
      </c>
      <c r="K81" s="613" t="s">
        <v>626</v>
      </c>
      <c r="L81" s="615">
        <v>84.55</v>
      </c>
      <c r="M81" s="615">
        <v>1</v>
      </c>
      <c r="N81" s="616">
        <v>84.55</v>
      </c>
    </row>
    <row r="82" spans="1:14" ht="14.4" customHeight="1" x14ac:dyDescent="0.3">
      <c r="A82" s="611" t="s">
        <v>531</v>
      </c>
      <c r="B82" s="612" t="s">
        <v>532</v>
      </c>
      <c r="C82" s="613" t="s">
        <v>542</v>
      </c>
      <c r="D82" s="614" t="s">
        <v>1104</v>
      </c>
      <c r="E82" s="613" t="s">
        <v>551</v>
      </c>
      <c r="F82" s="614" t="s">
        <v>1106</v>
      </c>
      <c r="G82" s="613" t="s">
        <v>552</v>
      </c>
      <c r="H82" s="613" t="s">
        <v>633</v>
      </c>
      <c r="I82" s="613" t="s">
        <v>189</v>
      </c>
      <c r="J82" s="613" t="s">
        <v>634</v>
      </c>
      <c r="K82" s="613"/>
      <c r="L82" s="615">
        <v>54.746020189502403</v>
      </c>
      <c r="M82" s="615">
        <v>10</v>
      </c>
      <c r="N82" s="616">
        <v>547.46020189502406</v>
      </c>
    </row>
    <row r="83" spans="1:14" ht="14.4" customHeight="1" x14ac:dyDescent="0.3">
      <c r="A83" s="611" t="s">
        <v>531</v>
      </c>
      <c r="B83" s="612" t="s">
        <v>532</v>
      </c>
      <c r="C83" s="613" t="s">
        <v>542</v>
      </c>
      <c r="D83" s="614" t="s">
        <v>1104</v>
      </c>
      <c r="E83" s="613" t="s">
        <v>551</v>
      </c>
      <c r="F83" s="614" t="s">
        <v>1106</v>
      </c>
      <c r="G83" s="613" t="s">
        <v>552</v>
      </c>
      <c r="H83" s="613" t="s">
        <v>643</v>
      </c>
      <c r="I83" s="613" t="s">
        <v>189</v>
      </c>
      <c r="J83" s="613" t="s">
        <v>644</v>
      </c>
      <c r="K83" s="613"/>
      <c r="L83" s="615">
        <v>48.664850523223578</v>
      </c>
      <c r="M83" s="615">
        <v>80</v>
      </c>
      <c r="N83" s="616">
        <v>3893.1880418578862</v>
      </c>
    </row>
    <row r="84" spans="1:14" ht="14.4" customHeight="1" x14ac:dyDescent="0.3">
      <c r="A84" s="611" t="s">
        <v>531</v>
      </c>
      <c r="B84" s="612" t="s">
        <v>532</v>
      </c>
      <c r="C84" s="613" t="s">
        <v>542</v>
      </c>
      <c r="D84" s="614" t="s">
        <v>1104</v>
      </c>
      <c r="E84" s="613" t="s">
        <v>551</v>
      </c>
      <c r="F84" s="614" t="s">
        <v>1106</v>
      </c>
      <c r="G84" s="613" t="s">
        <v>552</v>
      </c>
      <c r="H84" s="613" t="s">
        <v>645</v>
      </c>
      <c r="I84" s="613" t="s">
        <v>189</v>
      </c>
      <c r="J84" s="613" t="s">
        <v>646</v>
      </c>
      <c r="K84" s="613"/>
      <c r="L84" s="615">
        <v>47.698897883512728</v>
      </c>
      <c r="M84" s="615">
        <v>2</v>
      </c>
      <c r="N84" s="616">
        <v>95.397795767025457</v>
      </c>
    </row>
    <row r="85" spans="1:14" ht="14.4" customHeight="1" x14ac:dyDescent="0.3">
      <c r="A85" s="611" t="s">
        <v>531</v>
      </c>
      <c r="B85" s="612" t="s">
        <v>532</v>
      </c>
      <c r="C85" s="613" t="s">
        <v>542</v>
      </c>
      <c r="D85" s="614" t="s">
        <v>1104</v>
      </c>
      <c r="E85" s="613" t="s">
        <v>551</v>
      </c>
      <c r="F85" s="614" t="s">
        <v>1106</v>
      </c>
      <c r="G85" s="613" t="s">
        <v>552</v>
      </c>
      <c r="H85" s="613" t="s">
        <v>647</v>
      </c>
      <c r="I85" s="613" t="s">
        <v>189</v>
      </c>
      <c r="J85" s="613" t="s">
        <v>648</v>
      </c>
      <c r="K85" s="613"/>
      <c r="L85" s="615">
        <v>109.22010075220976</v>
      </c>
      <c r="M85" s="615">
        <v>21</v>
      </c>
      <c r="N85" s="616">
        <v>2293.6221157964051</v>
      </c>
    </row>
    <row r="86" spans="1:14" ht="14.4" customHeight="1" x14ac:dyDescent="0.3">
      <c r="A86" s="611" t="s">
        <v>531</v>
      </c>
      <c r="B86" s="612" t="s">
        <v>532</v>
      </c>
      <c r="C86" s="613" t="s">
        <v>542</v>
      </c>
      <c r="D86" s="614" t="s">
        <v>1104</v>
      </c>
      <c r="E86" s="613" t="s">
        <v>551</v>
      </c>
      <c r="F86" s="614" t="s">
        <v>1106</v>
      </c>
      <c r="G86" s="613" t="s">
        <v>552</v>
      </c>
      <c r="H86" s="613" t="s">
        <v>739</v>
      </c>
      <c r="I86" s="613" t="s">
        <v>740</v>
      </c>
      <c r="J86" s="613" t="s">
        <v>741</v>
      </c>
      <c r="K86" s="613" t="s">
        <v>742</v>
      </c>
      <c r="L86" s="615">
        <v>78.069793403942541</v>
      </c>
      <c r="M86" s="615">
        <v>5</v>
      </c>
      <c r="N86" s="616">
        <v>390.34896701971269</v>
      </c>
    </row>
    <row r="87" spans="1:14" ht="14.4" customHeight="1" x14ac:dyDescent="0.3">
      <c r="A87" s="611" t="s">
        <v>531</v>
      </c>
      <c r="B87" s="612" t="s">
        <v>532</v>
      </c>
      <c r="C87" s="613" t="s">
        <v>542</v>
      </c>
      <c r="D87" s="614" t="s">
        <v>1104</v>
      </c>
      <c r="E87" s="613" t="s">
        <v>551</v>
      </c>
      <c r="F87" s="614" t="s">
        <v>1106</v>
      </c>
      <c r="G87" s="613" t="s">
        <v>552</v>
      </c>
      <c r="H87" s="613" t="s">
        <v>743</v>
      </c>
      <c r="I87" s="613" t="s">
        <v>613</v>
      </c>
      <c r="J87" s="613" t="s">
        <v>744</v>
      </c>
      <c r="K87" s="613" t="s">
        <v>745</v>
      </c>
      <c r="L87" s="615">
        <v>457.77758736655079</v>
      </c>
      <c r="M87" s="615">
        <v>5</v>
      </c>
      <c r="N87" s="616">
        <v>2288.8879368327539</v>
      </c>
    </row>
    <row r="88" spans="1:14" ht="14.4" customHeight="1" x14ac:dyDescent="0.3">
      <c r="A88" s="611" t="s">
        <v>531</v>
      </c>
      <c r="B88" s="612" t="s">
        <v>532</v>
      </c>
      <c r="C88" s="613" t="s">
        <v>542</v>
      </c>
      <c r="D88" s="614" t="s">
        <v>1104</v>
      </c>
      <c r="E88" s="613" t="s">
        <v>551</v>
      </c>
      <c r="F88" s="614" t="s">
        <v>1106</v>
      </c>
      <c r="G88" s="613" t="s">
        <v>552</v>
      </c>
      <c r="H88" s="613" t="s">
        <v>649</v>
      </c>
      <c r="I88" s="613" t="s">
        <v>189</v>
      </c>
      <c r="J88" s="613" t="s">
        <v>650</v>
      </c>
      <c r="K88" s="613"/>
      <c r="L88" s="615">
        <v>147.58293181852116</v>
      </c>
      <c r="M88" s="615">
        <v>3</v>
      </c>
      <c r="N88" s="616">
        <v>442.74879545556348</v>
      </c>
    </row>
    <row r="89" spans="1:14" ht="14.4" customHeight="1" x14ac:dyDescent="0.3">
      <c r="A89" s="611" t="s">
        <v>531</v>
      </c>
      <c r="B89" s="612" t="s">
        <v>532</v>
      </c>
      <c r="C89" s="613" t="s">
        <v>542</v>
      </c>
      <c r="D89" s="614" t="s">
        <v>1104</v>
      </c>
      <c r="E89" s="613" t="s">
        <v>551</v>
      </c>
      <c r="F89" s="614" t="s">
        <v>1106</v>
      </c>
      <c r="G89" s="613" t="s">
        <v>552</v>
      </c>
      <c r="H89" s="613" t="s">
        <v>746</v>
      </c>
      <c r="I89" s="613" t="s">
        <v>613</v>
      </c>
      <c r="J89" s="613" t="s">
        <v>747</v>
      </c>
      <c r="K89" s="613" t="s">
        <v>748</v>
      </c>
      <c r="L89" s="615">
        <v>210.47911321698774</v>
      </c>
      <c r="M89" s="615">
        <v>8</v>
      </c>
      <c r="N89" s="616">
        <v>1683.8329057359019</v>
      </c>
    </row>
    <row r="90" spans="1:14" ht="14.4" customHeight="1" x14ac:dyDescent="0.3">
      <c r="A90" s="611" t="s">
        <v>531</v>
      </c>
      <c r="B90" s="612" t="s">
        <v>532</v>
      </c>
      <c r="C90" s="613" t="s">
        <v>542</v>
      </c>
      <c r="D90" s="614" t="s">
        <v>1104</v>
      </c>
      <c r="E90" s="613" t="s">
        <v>551</v>
      </c>
      <c r="F90" s="614" t="s">
        <v>1106</v>
      </c>
      <c r="G90" s="613" t="s">
        <v>552</v>
      </c>
      <c r="H90" s="613" t="s">
        <v>749</v>
      </c>
      <c r="I90" s="613" t="s">
        <v>189</v>
      </c>
      <c r="J90" s="613" t="s">
        <v>750</v>
      </c>
      <c r="K90" s="613"/>
      <c r="L90" s="615">
        <v>105.93466430626067</v>
      </c>
      <c r="M90" s="615">
        <v>16</v>
      </c>
      <c r="N90" s="616">
        <v>1694.9546289001707</v>
      </c>
    </row>
    <row r="91" spans="1:14" ht="14.4" customHeight="1" x14ac:dyDescent="0.3">
      <c r="A91" s="611" t="s">
        <v>531</v>
      </c>
      <c r="B91" s="612" t="s">
        <v>532</v>
      </c>
      <c r="C91" s="613" t="s">
        <v>542</v>
      </c>
      <c r="D91" s="614" t="s">
        <v>1104</v>
      </c>
      <c r="E91" s="613" t="s">
        <v>551</v>
      </c>
      <c r="F91" s="614" t="s">
        <v>1106</v>
      </c>
      <c r="G91" s="613" t="s">
        <v>552</v>
      </c>
      <c r="H91" s="613" t="s">
        <v>751</v>
      </c>
      <c r="I91" s="613" t="s">
        <v>189</v>
      </c>
      <c r="J91" s="613" t="s">
        <v>752</v>
      </c>
      <c r="K91" s="613"/>
      <c r="L91" s="615">
        <v>102.08258861494714</v>
      </c>
      <c r="M91" s="615">
        <v>14</v>
      </c>
      <c r="N91" s="616">
        <v>1429.1562406092601</v>
      </c>
    </row>
    <row r="92" spans="1:14" ht="14.4" customHeight="1" x14ac:dyDescent="0.3">
      <c r="A92" s="611" t="s">
        <v>531</v>
      </c>
      <c r="B92" s="612" t="s">
        <v>532</v>
      </c>
      <c r="C92" s="613" t="s">
        <v>542</v>
      </c>
      <c r="D92" s="614" t="s">
        <v>1104</v>
      </c>
      <c r="E92" s="613" t="s">
        <v>551</v>
      </c>
      <c r="F92" s="614" t="s">
        <v>1106</v>
      </c>
      <c r="G92" s="613" t="s">
        <v>552</v>
      </c>
      <c r="H92" s="613" t="s">
        <v>753</v>
      </c>
      <c r="I92" s="613" t="s">
        <v>754</v>
      </c>
      <c r="J92" s="613" t="s">
        <v>755</v>
      </c>
      <c r="K92" s="613" t="s">
        <v>756</v>
      </c>
      <c r="L92" s="615">
        <v>410.88999999999993</v>
      </c>
      <c r="M92" s="615">
        <v>2</v>
      </c>
      <c r="N92" s="616">
        <v>821.77999999999986</v>
      </c>
    </row>
    <row r="93" spans="1:14" ht="14.4" customHeight="1" x14ac:dyDescent="0.3">
      <c r="A93" s="611" t="s">
        <v>531</v>
      </c>
      <c r="B93" s="612" t="s">
        <v>532</v>
      </c>
      <c r="C93" s="613" t="s">
        <v>542</v>
      </c>
      <c r="D93" s="614" t="s">
        <v>1104</v>
      </c>
      <c r="E93" s="613" t="s">
        <v>551</v>
      </c>
      <c r="F93" s="614" t="s">
        <v>1106</v>
      </c>
      <c r="G93" s="613" t="s">
        <v>552</v>
      </c>
      <c r="H93" s="613" t="s">
        <v>757</v>
      </c>
      <c r="I93" s="613" t="s">
        <v>189</v>
      </c>
      <c r="J93" s="613" t="s">
        <v>758</v>
      </c>
      <c r="K93" s="613"/>
      <c r="L93" s="615">
        <v>368.6529925346527</v>
      </c>
      <c r="M93" s="615">
        <v>1</v>
      </c>
      <c r="N93" s="616">
        <v>368.6529925346527</v>
      </c>
    </row>
    <row r="94" spans="1:14" ht="14.4" customHeight="1" x14ac:dyDescent="0.3">
      <c r="A94" s="611" t="s">
        <v>531</v>
      </c>
      <c r="B94" s="612" t="s">
        <v>532</v>
      </c>
      <c r="C94" s="613" t="s">
        <v>542</v>
      </c>
      <c r="D94" s="614" t="s">
        <v>1104</v>
      </c>
      <c r="E94" s="613" t="s">
        <v>551</v>
      </c>
      <c r="F94" s="614" t="s">
        <v>1106</v>
      </c>
      <c r="G94" s="613" t="s">
        <v>552</v>
      </c>
      <c r="H94" s="613" t="s">
        <v>759</v>
      </c>
      <c r="I94" s="613" t="s">
        <v>760</v>
      </c>
      <c r="J94" s="613" t="s">
        <v>761</v>
      </c>
      <c r="K94" s="613" t="s">
        <v>762</v>
      </c>
      <c r="L94" s="615">
        <v>93.449999999999918</v>
      </c>
      <c r="M94" s="615">
        <v>1</v>
      </c>
      <c r="N94" s="616">
        <v>93.449999999999918</v>
      </c>
    </row>
    <row r="95" spans="1:14" ht="14.4" customHeight="1" x14ac:dyDescent="0.3">
      <c r="A95" s="611" t="s">
        <v>531</v>
      </c>
      <c r="B95" s="612" t="s">
        <v>532</v>
      </c>
      <c r="C95" s="613" t="s">
        <v>542</v>
      </c>
      <c r="D95" s="614" t="s">
        <v>1104</v>
      </c>
      <c r="E95" s="613" t="s">
        <v>551</v>
      </c>
      <c r="F95" s="614" t="s">
        <v>1106</v>
      </c>
      <c r="G95" s="613" t="s">
        <v>552</v>
      </c>
      <c r="H95" s="613" t="s">
        <v>763</v>
      </c>
      <c r="I95" s="613" t="s">
        <v>189</v>
      </c>
      <c r="J95" s="613" t="s">
        <v>764</v>
      </c>
      <c r="K95" s="613"/>
      <c r="L95" s="615">
        <v>163.35000303331859</v>
      </c>
      <c r="M95" s="615">
        <v>1</v>
      </c>
      <c r="N95" s="616">
        <v>163.35000303331859</v>
      </c>
    </row>
    <row r="96" spans="1:14" ht="14.4" customHeight="1" x14ac:dyDescent="0.3">
      <c r="A96" s="611" t="s">
        <v>531</v>
      </c>
      <c r="B96" s="612" t="s">
        <v>532</v>
      </c>
      <c r="C96" s="613" t="s">
        <v>542</v>
      </c>
      <c r="D96" s="614" t="s">
        <v>1104</v>
      </c>
      <c r="E96" s="613" t="s">
        <v>551</v>
      </c>
      <c r="F96" s="614" t="s">
        <v>1106</v>
      </c>
      <c r="G96" s="613" t="s">
        <v>552</v>
      </c>
      <c r="H96" s="613" t="s">
        <v>765</v>
      </c>
      <c r="I96" s="613" t="s">
        <v>189</v>
      </c>
      <c r="J96" s="613" t="s">
        <v>766</v>
      </c>
      <c r="K96" s="613"/>
      <c r="L96" s="615">
        <v>57.88000000000001</v>
      </c>
      <c r="M96" s="615">
        <v>2</v>
      </c>
      <c r="N96" s="616">
        <v>115.76000000000002</v>
      </c>
    </row>
    <row r="97" spans="1:14" ht="14.4" customHeight="1" x14ac:dyDescent="0.3">
      <c r="A97" s="611" t="s">
        <v>531</v>
      </c>
      <c r="B97" s="612" t="s">
        <v>532</v>
      </c>
      <c r="C97" s="613" t="s">
        <v>542</v>
      </c>
      <c r="D97" s="614" t="s">
        <v>1104</v>
      </c>
      <c r="E97" s="613" t="s">
        <v>551</v>
      </c>
      <c r="F97" s="614" t="s">
        <v>1106</v>
      </c>
      <c r="G97" s="613" t="s">
        <v>552</v>
      </c>
      <c r="H97" s="613" t="s">
        <v>660</v>
      </c>
      <c r="I97" s="613" t="s">
        <v>660</v>
      </c>
      <c r="J97" s="613" t="s">
        <v>661</v>
      </c>
      <c r="K97" s="613" t="s">
        <v>662</v>
      </c>
      <c r="L97" s="615">
        <v>58.362283841379217</v>
      </c>
      <c r="M97" s="615">
        <v>116</v>
      </c>
      <c r="N97" s="616">
        <v>6770.0249255999888</v>
      </c>
    </row>
    <row r="98" spans="1:14" ht="14.4" customHeight="1" x14ac:dyDescent="0.3">
      <c r="A98" s="611" t="s">
        <v>531</v>
      </c>
      <c r="B98" s="612" t="s">
        <v>532</v>
      </c>
      <c r="C98" s="613" t="s">
        <v>542</v>
      </c>
      <c r="D98" s="614" t="s">
        <v>1104</v>
      </c>
      <c r="E98" s="613" t="s">
        <v>551</v>
      </c>
      <c r="F98" s="614" t="s">
        <v>1106</v>
      </c>
      <c r="G98" s="613" t="s">
        <v>552</v>
      </c>
      <c r="H98" s="613" t="s">
        <v>767</v>
      </c>
      <c r="I98" s="613" t="s">
        <v>189</v>
      </c>
      <c r="J98" s="613" t="s">
        <v>768</v>
      </c>
      <c r="K98" s="613"/>
      <c r="L98" s="615">
        <v>131.87087081889979</v>
      </c>
      <c r="M98" s="615">
        <v>31</v>
      </c>
      <c r="N98" s="616">
        <v>4087.9969953858936</v>
      </c>
    </row>
    <row r="99" spans="1:14" ht="14.4" customHeight="1" x14ac:dyDescent="0.3">
      <c r="A99" s="611" t="s">
        <v>531</v>
      </c>
      <c r="B99" s="612" t="s">
        <v>532</v>
      </c>
      <c r="C99" s="613" t="s">
        <v>542</v>
      </c>
      <c r="D99" s="614" t="s">
        <v>1104</v>
      </c>
      <c r="E99" s="613" t="s">
        <v>551</v>
      </c>
      <c r="F99" s="614" t="s">
        <v>1106</v>
      </c>
      <c r="G99" s="613" t="s">
        <v>552</v>
      </c>
      <c r="H99" s="613" t="s">
        <v>667</v>
      </c>
      <c r="I99" s="613" t="s">
        <v>667</v>
      </c>
      <c r="J99" s="613" t="s">
        <v>668</v>
      </c>
      <c r="K99" s="613" t="s">
        <v>669</v>
      </c>
      <c r="L99" s="615">
        <v>48.678237774315029</v>
      </c>
      <c r="M99" s="615">
        <v>6</v>
      </c>
      <c r="N99" s="616">
        <v>292.06942664589019</v>
      </c>
    </row>
    <row r="100" spans="1:14" ht="14.4" customHeight="1" x14ac:dyDescent="0.3">
      <c r="A100" s="611" t="s">
        <v>531</v>
      </c>
      <c r="B100" s="612" t="s">
        <v>532</v>
      </c>
      <c r="C100" s="613" t="s">
        <v>542</v>
      </c>
      <c r="D100" s="614" t="s">
        <v>1104</v>
      </c>
      <c r="E100" s="613" t="s">
        <v>551</v>
      </c>
      <c r="F100" s="614" t="s">
        <v>1106</v>
      </c>
      <c r="G100" s="613" t="s">
        <v>687</v>
      </c>
      <c r="H100" s="613" t="s">
        <v>769</v>
      </c>
      <c r="I100" s="613" t="s">
        <v>770</v>
      </c>
      <c r="J100" s="613" t="s">
        <v>771</v>
      </c>
      <c r="K100" s="613" t="s">
        <v>772</v>
      </c>
      <c r="L100" s="615">
        <v>176.14000000000001</v>
      </c>
      <c r="M100" s="615">
        <v>2</v>
      </c>
      <c r="N100" s="616">
        <v>352.28000000000003</v>
      </c>
    </row>
    <row r="101" spans="1:14" ht="14.4" customHeight="1" x14ac:dyDescent="0.3">
      <c r="A101" s="611" t="s">
        <v>531</v>
      </c>
      <c r="B101" s="612" t="s">
        <v>532</v>
      </c>
      <c r="C101" s="613" t="s">
        <v>542</v>
      </c>
      <c r="D101" s="614" t="s">
        <v>1104</v>
      </c>
      <c r="E101" s="613" t="s">
        <v>670</v>
      </c>
      <c r="F101" s="614" t="s">
        <v>1107</v>
      </c>
      <c r="G101" s="613" t="s">
        <v>552</v>
      </c>
      <c r="H101" s="613" t="s">
        <v>671</v>
      </c>
      <c r="I101" s="613" t="s">
        <v>672</v>
      </c>
      <c r="J101" s="613" t="s">
        <v>673</v>
      </c>
      <c r="K101" s="613" t="s">
        <v>674</v>
      </c>
      <c r="L101" s="615">
        <v>40.249937343520529</v>
      </c>
      <c r="M101" s="615">
        <v>1</v>
      </c>
      <c r="N101" s="616">
        <v>40.249937343520529</v>
      </c>
    </row>
    <row r="102" spans="1:14" ht="14.4" customHeight="1" x14ac:dyDescent="0.3">
      <c r="A102" s="611" t="s">
        <v>531</v>
      </c>
      <c r="B102" s="612" t="s">
        <v>532</v>
      </c>
      <c r="C102" s="613" t="s">
        <v>542</v>
      </c>
      <c r="D102" s="614" t="s">
        <v>1104</v>
      </c>
      <c r="E102" s="613" t="s">
        <v>670</v>
      </c>
      <c r="F102" s="614" t="s">
        <v>1107</v>
      </c>
      <c r="G102" s="613" t="s">
        <v>552</v>
      </c>
      <c r="H102" s="613" t="s">
        <v>679</v>
      </c>
      <c r="I102" s="613" t="s">
        <v>680</v>
      </c>
      <c r="J102" s="613" t="s">
        <v>681</v>
      </c>
      <c r="K102" s="613" t="s">
        <v>682</v>
      </c>
      <c r="L102" s="615">
        <v>23.559670231466757</v>
      </c>
      <c r="M102" s="615">
        <v>1</v>
      </c>
      <c r="N102" s="616">
        <v>23.559670231466757</v>
      </c>
    </row>
    <row r="103" spans="1:14" ht="14.4" customHeight="1" x14ac:dyDescent="0.3">
      <c r="A103" s="611" t="s">
        <v>531</v>
      </c>
      <c r="B103" s="612" t="s">
        <v>532</v>
      </c>
      <c r="C103" s="613" t="s">
        <v>542</v>
      </c>
      <c r="D103" s="614" t="s">
        <v>1104</v>
      </c>
      <c r="E103" s="613" t="s">
        <v>670</v>
      </c>
      <c r="F103" s="614" t="s">
        <v>1107</v>
      </c>
      <c r="G103" s="613" t="s">
        <v>552</v>
      </c>
      <c r="H103" s="613" t="s">
        <v>683</v>
      </c>
      <c r="I103" s="613" t="s">
        <v>684</v>
      </c>
      <c r="J103" s="613" t="s">
        <v>685</v>
      </c>
      <c r="K103" s="613" t="s">
        <v>686</v>
      </c>
      <c r="L103" s="615">
        <v>49.19454529894761</v>
      </c>
      <c r="M103" s="615">
        <v>11</v>
      </c>
      <c r="N103" s="616">
        <v>541.13999828842373</v>
      </c>
    </row>
    <row r="104" spans="1:14" ht="14.4" customHeight="1" x14ac:dyDescent="0.3">
      <c r="A104" s="611" t="s">
        <v>531</v>
      </c>
      <c r="B104" s="612" t="s">
        <v>532</v>
      </c>
      <c r="C104" s="613" t="s">
        <v>542</v>
      </c>
      <c r="D104" s="614" t="s">
        <v>1104</v>
      </c>
      <c r="E104" s="613" t="s">
        <v>670</v>
      </c>
      <c r="F104" s="614" t="s">
        <v>1107</v>
      </c>
      <c r="G104" s="613" t="s">
        <v>552</v>
      </c>
      <c r="H104" s="613" t="s">
        <v>773</v>
      </c>
      <c r="I104" s="613" t="s">
        <v>774</v>
      </c>
      <c r="J104" s="613" t="s">
        <v>775</v>
      </c>
      <c r="K104" s="613" t="s">
        <v>776</v>
      </c>
      <c r="L104" s="615">
        <v>429.57000000000005</v>
      </c>
      <c r="M104" s="615">
        <v>17</v>
      </c>
      <c r="N104" s="616">
        <v>7302.6900000000005</v>
      </c>
    </row>
    <row r="105" spans="1:14" ht="14.4" customHeight="1" x14ac:dyDescent="0.3">
      <c r="A105" s="611" t="s">
        <v>531</v>
      </c>
      <c r="B105" s="612" t="s">
        <v>532</v>
      </c>
      <c r="C105" s="613" t="s">
        <v>542</v>
      </c>
      <c r="D105" s="614" t="s">
        <v>1104</v>
      </c>
      <c r="E105" s="613" t="s">
        <v>670</v>
      </c>
      <c r="F105" s="614" t="s">
        <v>1107</v>
      </c>
      <c r="G105" s="613" t="s">
        <v>687</v>
      </c>
      <c r="H105" s="613" t="s">
        <v>777</v>
      </c>
      <c r="I105" s="613" t="s">
        <v>777</v>
      </c>
      <c r="J105" s="613" t="s">
        <v>778</v>
      </c>
      <c r="K105" s="613" t="s">
        <v>779</v>
      </c>
      <c r="L105" s="615">
        <v>84.27000000000001</v>
      </c>
      <c r="M105" s="615">
        <v>1.2</v>
      </c>
      <c r="N105" s="616">
        <v>101.12400000000001</v>
      </c>
    </row>
    <row r="106" spans="1:14" ht="14.4" customHeight="1" x14ac:dyDescent="0.3">
      <c r="A106" s="611" t="s">
        <v>531</v>
      </c>
      <c r="B106" s="612" t="s">
        <v>532</v>
      </c>
      <c r="C106" s="613" t="s">
        <v>542</v>
      </c>
      <c r="D106" s="614" t="s">
        <v>1104</v>
      </c>
      <c r="E106" s="613" t="s">
        <v>670</v>
      </c>
      <c r="F106" s="614" t="s">
        <v>1107</v>
      </c>
      <c r="G106" s="613" t="s">
        <v>687</v>
      </c>
      <c r="H106" s="613" t="s">
        <v>688</v>
      </c>
      <c r="I106" s="613" t="s">
        <v>689</v>
      </c>
      <c r="J106" s="613" t="s">
        <v>690</v>
      </c>
      <c r="K106" s="613" t="s">
        <v>691</v>
      </c>
      <c r="L106" s="615">
        <v>136.0484974453652</v>
      </c>
      <c r="M106" s="615">
        <v>13</v>
      </c>
      <c r="N106" s="616">
        <v>1768.6304667897475</v>
      </c>
    </row>
    <row r="107" spans="1:14" ht="14.4" customHeight="1" x14ac:dyDescent="0.3">
      <c r="A107" s="611" t="s">
        <v>531</v>
      </c>
      <c r="B107" s="612" t="s">
        <v>532</v>
      </c>
      <c r="C107" s="613" t="s">
        <v>542</v>
      </c>
      <c r="D107" s="614" t="s">
        <v>1104</v>
      </c>
      <c r="E107" s="613" t="s">
        <v>670</v>
      </c>
      <c r="F107" s="614" t="s">
        <v>1107</v>
      </c>
      <c r="G107" s="613" t="s">
        <v>687</v>
      </c>
      <c r="H107" s="613" t="s">
        <v>692</v>
      </c>
      <c r="I107" s="613" t="s">
        <v>693</v>
      </c>
      <c r="J107" s="613" t="s">
        <v>694</v>
      </c>
      <c r="K107" s="613" t="s">
        <v>695</v>
      </c>
      <c r="L107" s="615">
        <v>59.84</v>
      </c>
      <c r="M107" s="615">
        <v>1</v>
      </c>
      <c r="N107" s="616">
        <v>59.84</v>
      </c>
    </row>
    <row r="108" spans="1:14" ht="14.4" customHeight="1" x14ac:dyDescent="0.3">
      <c r="A108" s="611" t="s">
        <v>531</v>
      </c>
      <c r="B108" s="612" t="s">
        <v>532</v>
      </c>
      <c r="C108" s="613" t="s">
        <v>542</v>
      </c>
      <c r="D108" s="614" t="s">
        <v>1104</v>
      </c>
      <c r="E108" s="613" t="s">
        <v>670</v>
      </c>
      <c r="F108" s="614" t="s">
        <v>1107</v>
      </c>
      <c r="G108" s="613" t="s">
        <v>687</v>
      </c>
      <c r="H108" s="613" t="s">
        <v>780</v>
      </c>
      <c r="I108" s="613" t="s">
        <v>781</v>
      </c>
      <c r="J108" s="613" t="s">
        <v>782</v>
      </c>
      <c r="K108" s="613" t="s">
        <v>783</v>
      </c>
      <c r="L108" s="615">
        <v>772.08</v>
      </c>
      <c r="M108" s="615">
        <v>1</v>
      </c>
      <c r="N108" s="616">
        <v>772.08</v>
      </c>
    </row>
    <row r="109" spans="1:14" ht="14.4" customHeight="1" x14ac:dyDescent="0.3">
      <c r="A109" s="611" t="s">
        <v>531</v>
      </c>
      <c r="B109" s="612" t="s">
        <v>532</v>
      </c>
      <c r="C109" s="613" t="s">
        <v>542</v>
      </c>
      <c r="D109" s="614" t="s">
        <v>1104</v>
      </c>
      <c r="E109" s="613" t="s">
        <v>670</v>
      </c>
      <c r="F109" s="614" t="s">
        <v>1107</v>
      </c>
      <c r="G109" s="613" t="s">
        <v>687</v>
      </c>
      <c r="H109" s="613" t="s">
        <v>784</v>
      </c>
      <c r="I109" s="613" t="s">
        <v>784</v>
      </c>
      <c r="J109" s="613" t="s">
        <v>785</v>
      </c>
      <c r="K109" s="613" t="s">
        <v>786</v>
      </c>
      <c r="L109" s="615">
        <v>29.940222728498505</v>
      </c>
      <c r="M109" s="615">
        <v>10</v>
      </c>
      <c r="N109" s="616">
        <v>299.40222728498503</v>
      </c>
    </row>
    <row r="110" spans="1:14" ht="14.4" customHeight="1" x14ac:dyDescent="0.3">
      <c r="A110" s="611" t="s">
        <v>531</v>
      </c>
      <c r="B110" s="612" t="s">
        <v>532</v>
      </c>
      <c r="C110" s="613" t="s">
        <v>542</v>
      </c>
      <c r="D110" s="614" t="s">
        <v>1104</v>
      </c>
      <c r="E110" s="613" t="s">
        <v>670</v>
      </c>
      <c r="F110" s="614" t="s">
        <v>1107</v>
      </c>
      <c r="G110" s="613" t="s">
        <v>687</v>
      </c>
      <c r="H110" s="613" t="s">
        <v>787</v>
      </c>
      <c r="I110" s="613" t="s">
        <v>787</v>
      </c>
      <c r="J110" s="613" t="s">
        <v>788</v>
      </c>
      <c r="K110" s="613" t="s">
        <v>789</v>
      </c>
      <c r="L110" s="615">
        <v>142.32999999999998</v>
      </c>
      <c r="M110" s="615">
        <v>7</v>
      </c>
      <c r="N110" s="616">
        <v>996.31</v>
      </c>
    </row>
    <row r="111" spans="1:14" ht="14.4" customHeight="1" x14ac:dyDescent="0.3">
      <c r="A111" s="611" t="s">
        <v>531</v>
      </c>
      <c r="B111" s="612" t="s">
        <v>532</v>
      </c>
      <c r="C111" s="613" t="s">
        <v>542</v>
      </c>
      <c r="D111" s="614" t="s">
        <v>1104</v>
      </c>
      <c r="E111" s="613" t="s">
        <v>670</v>
      </c>
      <c r="F111" s="614" t="s">
        <v>1107</v>
      </c>
      <c r="G111" s="613" t="s">
        <v>687</v>
      </c>
      <c r="H111" s="613" t="s">
        <v>790</v>
      </c>
      <c r="I111" s="613" t="s">
        <v>790</v>
      </c>
      <c r="J111" s="613" t="s">
        <v>791</v>
      </c>
      <c r="K111" s="613" t="s">
        <v>789</v>
      </c>
      <c r="L111" s="615">
        <v>34.660999999999994</v>
      </c>
      <c r="M111" s="615">
        <v>7</v>
      </c>
      <c r="N111" s="616">
        <v>242.62699999999995</v>
      </c>
    </row>
    <row r="112" spans="1:14" ht="14.4" customHeight="1" x14ac:dyDescent="0.3">
      <c r="A112" s="611" t="s">
        <v>531</v>
      </c>
      <c r="B112" s="612" t="s">
        <v>532</v>
      </c>
      <c r="C112" s="613" t="s">
        <v>542</v>
      </c>
      <c r="D112" s="614" t="s">
        <v>1104</v>
      </c>
      <c r="E112" s="613" t="s">
        <v>696</v>
      </c>
      <c r="F112" s="614" t="s">
        <v>1108</v>
      </c>
      <c r="G112" s="613" t="s">
        <v>552</v>
      </c>
      <c r="H112" s="613" t="s">
        <v>701</v>
      </c>
      <c r="I112" s="613" t="s">
        <v>702</v>
      </c>
      <c r="J112" s="613" t="s">
        <v>703</v>
      </c>
      <c r="K112" s="613" t="s">
        <v>704</v>
      </c>
      <c r="L112" s="615">
        <v>94.009711965940213</v>
      </c>
      <c r="M112" s="615">
        <v>5</v>
      </c>
      <c r="N112" s="616">
        <v>470.04855982970105</v>
      </c>
    </row>
    <row r="113" spans="1:14" ht="14.4" customHeight="1" x14ac:dyDescent="0.3">
      <c r="A113" s="611" t="s">
        <v>531</v>
      </c>
      <c r="B113" s="612" t="s">
        <v>532</v>
      </c>
      <c r="C113" s="613" t="s">
        <v>545</v>
      </c>
      <c r="D113" s="614" t="s">
        <v>1105</v>
      </c>
      <c r="E113" s="613" t="s">
        <v>551</v>
      </c>
      <c r="F113" s="614" t="s">
        <v>1106</v>
      </c>
      <c r="G113" s="613"/>
      <c r="H113" s="613" t="s">
        <v>792</v>
      </c>
      <c r="I113" s="613" t="s">
        <v>793</v>
      </c>
      <c r="J113" s="613" t="s">
        <v>794</v>
      </c>
      <c r="K113" s="613"/>
      <c r="L113" s="615">
        <v>72.541307692307711</v>
      </c>
      <c r="M113" s="615">
        <v>13</v>
      </c>
      <c r="N113" s="616">
        <v>943.03700000000026</v>
      </c>
    </row>
    <row r="114" spans="1:14" ht="14.4" customHeight="1" x14ac:dyDescent="0.3">
      <c r="A114" s="611" t="s">
        <v>531</v>
      </c>
      <c r="B114" s="612" t="s">
        <v>532</v>
      </c>
      <c r="C114" s="613" t="s">
        <v>545</v>
      </c>
      <c r="D114" s="614" t="s">
        <v>1105</v>
      </c>
      <c r="E114" s="613" t="s">
        <v>551</v>
      </c>
      <c r="F114" s="614" t="s">
        <v>1106</v>
      </c>
      <c r="G114" s="613"/>
      <c r="H114" s="613" t="s">
        <v>795</v>
      </c>
      <c r="I114" s="613" t="s">
        <v>796</v>
      </c>
      <c r="J114" s="613" t="s">
        <v>797</v>
      </c>
      <c r="K114" s="613" t="s">
        <v>798</v>
      </c>
      <c r="L114" s="615">
        <v>108.27</v>
      </c>
      <c r="M114" s="615">
        <v>2</v>
      </c>
      <c r="N114" s="616">
        <v>216.54</v>
      </c>
    </row>
    <row r="115" spans="1:14" ht="14.4" customHeight="1" x14ac:dyDescent="0.3">
      <c r="A115" s="611" t="s">
        <v>531</v>
      </c>
      <c r="B115" s="612" t="s">
        <v>532</v>
      </c>
      <c r="C115" s="613" t="s">
        <v>545</v>
      </c>
      <c r="D115" s="614" t="s">
        <v>1105</v>
      </c>
      <c r="E115" s="613" t="s">
        <v>551</v>
      </c>
      <c r="F115" s="614" t="s">
        <v>1106</v>
      </c>
      <c r="G115" s="613" t="s">
        <v>552</v>
      </c>
      <c r="H115" s="613" t="s">
        <v>553</v>
      </c>
      <c r="I115" s="613" t="s">
        <v>553</v>
      </c>
      <c r="J115" s="613" t="s">
        <v>554</v>
      </c>
      <c r="K115" s="613" t="s">
        <v>555</v>
      </c>
      <c r="L115" s="615">
        <v>171.59999999999997</v>
      </c>
      <c r="M115" s="615">
        <v>21</v>
      </c>
      <c r="N115" s="616">
        <v>3603.599999999999</v>
      </c>
    </row>
    <row r="116" spans="1:14" ht="14.4" customHeight="1" x14ac:dyDescent="0.3">
      <c r="A116" s="611" t="s">
        <v>531</v>
      </c>
      <c r="B116" s="612" t="s">
        <v>532</v>
      </c>
      <c r="C116" s="613" t="s">
        <v>545</v>
      </c>
      <c r="D116" s="614" t="s">
        <v>1105</v>
      </c>
      <c r="E116" s="613" t="s">
        <v>551</v>
      </c>
      <c r="F116" s="614" t="s">
        <v>1106</v>
      </c>
      <c r="G116" s="613" t="s">
        <v>552</v>
      </c>
      <c r="H116" s="613" t="s">
        <v>799</v>
      </c>
      <c r="I116" s="613" t="s">
        <v>799</v>
      </c>
      <c r="J116" s="613" t="s">
        <v>800</v>
      </c>
      <c r="K116" s="613" t="s">
        <v>801</v>
      </c>
      <c r="L116" s="615">
        <v>173.68999999999997</v>
      </c>
      <c r="M116" s="615">
        <v>3</v>
      </c>
      <c r="N116" s="616">
        <v>521.06999999999994</v>
      </c>
    </row>
    <row r="117" spans="1:14" ht="14.4" customHeight="1" x14ac:dyDescent="0.3">
      <c r="A117" s="611" t="s">
        <v>531</v>
      </c>
      <c r="B117" s="612" t="s">
        <v>532</v>
      </c>
      <c r="C117" s="613" t="s">
        <v>545</v>
      </c>
      <c r="D117" s="614" t="s">
        <v>1105</v>
      </c>
      <c r="E117" s="613" t="s">
        <v>551</v>
      </c>
      <c r="F117" s="614" t="s">
        <v>1106</v>
      </c>
      <c r="G117" s="613" t="s">
        <v>552</v>
      </c>
      <c r="H117" s="613" t="s">
        <v>802</v>
      </c>
      <c r="I117" s="613" t="s">
        <v>802</v>
      </c>
      <c r="J117" s="613" t="s">
        <v>554</v>
      </c>
      <c r="K117" s="613" t="s">
        <v>803</v>
      </c>
      <c r="L117" s="615">
        <v>92.950000000000017</v>
      </c>
      <c r="M117" s="615">
        <v>16</v>
      </c>
      <c r="N117" s="616">
        <v>1487.2000000000003</v>
      </c>
    </row>
    <row r="118" spans="1:14" ht="14.4" customHeight="1" x14ac:dyDescent="0.3">
      <c r="A118" s="611" t="s">
        <v>531</v>
      </c>
      <c r="B118" s="612" t="s">
        <v>532</v>
      </c>
      <c r="C118" s="613" t="s">
        <v>545</v>
      </c>
      <c r="D118" s="614" t="s">
        <v>1105</v>
      </c>
      <c r="E118" s="613" t="s">
        <v>551</v>
      </c>
      <c r="F118" s="614" t="s">
        <v>1106</v>
      </c>
      <c r="G118" s="613" t="s">
        <v>552</v>
      </c>
      <c r="H118" s="613" t="s">
        <v>559</v>
      </c>
      <c r="I118" s="613" t="s">
        <v>560</v>
      </c>
      <c r="J118" s="613" t="s">
        <v>561</v>
      </c>
      <c r="K118" s="613" t="s">
        <v>562</v>
      </c>
      <c r="L118" s="615">
        <v>87.072391099067801</v>
      </c>
      <c r="M118" s="615">
        <v>4</v>
      </c>
      <c r="N118" s="616">
        <v>348.2895643962712</v>
      </c>
    </row>
    <row r="119" spans="1:14" ht="14.4" customHeight="1" x14ac:dyDescent="0.3">
      <c r="A119" s="611" t="s">
        <v>531</v>
      </c>
      <c r="B119" s="612" t="s">
        <v>532</v>
      </c>
      <c r="C119" s="613" t="s">
        <v>545</v>
      </c>
      <c r="D119" s="614" t="s">
        <v>1105</v>
      </c>
      <c r="E119" s="613" t="s">
        <v>551</v>
      </c>
      <c r="F119" s="614" t="s">
        <v>1106</v>
      </c>
      <c r="G119" s="613" t="s">
        <v>552</v>
      </c>
      <c r="H119" s="613" t="s">
        <v>563</v>
      </c>
      <c r="I119" s="613" t="s">
        <v>564</v>
      </c>
      <c r="J119" s="613" t="s">
        <v>565</v>
      </c>
      <c r="K119" s="613" t="s">
        <v>566</v>
      </c>
      <c r="L119" s="615">
        <v>97.155926211724491</v>
      </c>
      <c r="M119" s="615">
        <v>54</v>
      </c>
      <c r="N119" s="616">
        <v>5246.4200154331229</v>
      </c>
    </row>
    <row r="120" spans="1:14" ht="14.4" customHeight="1" x14ac:dyDescent="0.3">
      <c r="A120" s="611" t="s">
        <v>531</v>
      </c>
      <c r="B120" s="612" t="s">
        <v>532</v>
      </c>
      <c r="C120" s="613" t="s">
        <v>545</v>
      </c>
      <c r="D120" s="614" t="s">
        <v>1105</v>
      </c>
      <c r="E120" s="613" t="s">
        <v>551</v>
      </c>
      <c r="F120" s="614" t="s">
        <v>1106</v>
      </c>
      <c r="G120" s="613" t="s">
        <v>552</v>
      </c>
      <c r="H120" s="613" t="s">
        <v>567</v>
      </c>
      <c r="I120" s="613" t="s">
        <v>568</v>
      </c>
      <c r="J120" s="613" t="s">
        <v>569</v>
      </c>
      <c r="K120" s="613" t="s">
        <v>570</v>
      </c>
      <c r="L120" s="615">
        <v>79.427279474698949</v>
      </c>
      <c r="M120" s="615">
        <v>4</v>
      </c>
      <c r="N120" s="616">
        <v>317.7091178987958</v>
      </c>
    </row>
    <row r="121" spans="1:14" ht="14.4" customHeight="1" x14ac:dyDescent="0.3">
      <c r="A121" s="611" t="s">
        <v>531</v>
      </c>
      <c r="B121" s="612" t="s">
        <v>532</v>
      </c>
      <c r="C121" s="613" t="s">
        <v>545</v>
      </c>
      <c r="D121" s="614" t="s">
        <v>1105</v>
      </c>
      <c r="E121" s="613" t="s">
        <v>551</v>
      </c>
      <c r="F121" s="614" t="s">
        <v>1106</v>
      </c>
      <c r="G121" s="613" t="s">
        <v>552</v>
      </c>
      <c r="H121" s="613" t="s">
        <v>804</v>
      </c>
      <c r="I121" s="613" t="s">
        <v>805</v>
      </c>
      <c r="J121" s="613" t="s">
        <v>806</v>
      </c>
      <c r="K121" s="613" t="s">
        <v>715</v>
      </c>
      <c r="L121" s="615">
        <v>86.138712024748585</v>
      </c>
      <c r="M121" s="615">
        <v>2</v>
      </c>
      <c r="N121" s="616">
        <v>172.27742404949717</v>
      </c>
    </row>
    <row r="122" spans="1:14" ht="14.4" customHeight="1" x14ac:dyDescent="0.3">
      <c r="A122" s="611" t="s">
        <v>531</v>
      </c>
      <c r="B122" s="612" t="s">
        <v>532</v>
      </c>
      <c r="C122" s="613" t="s">
        <v>545</v>
      </c>
      <c r="D122" s="614" t="s">
        <v>1105</v>
      </c>
      <c r="E122" s="613" t="s">
        <v>551</v>
      </c>
      <c r="F122" s="614" t="s">
        <v>1106</v>
      </c>
      <c r="G122" s="613" t="s">
        <v>552</v>
      </c>
      <c r="H122" s="613" t="s">
        <v>807</v>
      </c>
      <c r="I122" s="613" t="s">
        <v>808</v>
      </c>
      <c r="J122" s="613" t="s">
        <v>661</v>
      </c>
      <c r="K122" s="613" t="s">
        <v>809</v>
      </c>
      <c r="L122" s="615">
        <v>64.888863179471002</v>
      </c>
      <c r="M122" s="615">
        <v>3</v>
      </c>
      <c r="N122" s="616">
        <v>194.66658953841301</v>
      </c>
    </row>
    <row r="123" spans="1:14" ht="14.4" customHeight="1" x14ac:dyDescent="0.3">
      <c r="A123" s="611" t="s">
        <v>531</v>
      </c>
      <c r="B123" s="612" t="s">
        <v>532</v>
      </c>
      <c r="C123" s="613" t="s">
        <v>545</v>
      </c>
      <c r="D123" s="614" t="s">
        <v>1105</v>
      </c>
      <c r="E123" s="613" t="s">
        <v>551</v>
      </c>
      <c r="F123" s="614" t="s">
        <v>1106</v>
      </c>
      <c r="G123" s="613" t="s">
        <v>552</v>
      </c>
      <c r="H123" s="613" t="s">
        <v>810</v>
      </c>
      <c r="I123" s="613" t="s">
        <v>811</v>
      </c>
      <c r="J123" s="613" t="s">
        <v>812</v>
      </c>
      <c r="K123" s="613" t="s">
        <v>715</v>
      </c>
      <c r="L123" s="615">
        <v>30.687495365102492</v>
      </c>
      <c r="M123" s="615">
        <v>4</v>
      </c>
      <c r="N123" s="616">
        <v>122.74998146040997</v>
      </c>
    </row>
    <row r="124" spans="1:14" ht="14.4" customHeight="1" x14ac:dyDescent="0.3">
      <c r="A124" s="611" t="s">
        <v>531</v>
      </c>
      <c r="B124" s="612" t="s">
        <v>532</v>
      </c>
      <c r="C124" s="613" t="s">
        <v>545</v>
      </c>
      <c r="D124" s="614" t="s">
        <v>1105</v>
      </c>
      <c r="E124" s="613" t="s">
        <v>551</v>
      </c>
      <c r="F124" s="614" t="s">
        <v>1106</v>
      </c>
      <c r="G124" s="613" t="s">
        <v>552</v>
      </c>
      <c r="H124" s="613" t="s">
        <v>813</v>
      </c>
      <c r="I124" s="613" t="s">
        <v>814</v>
      </c>
      <c r="J124" s="613" t="s">
        <v>815</v>
      </c>
      <c r="K124" s="613" t="s">
        <v>816</v>
      </c>
      <c r="L124" s="615">
        <v>27.75</v>
      </c>
      <c r="M124" s="615">
        <v>14</v>
      </c>
      <c r="N124" s="616">
        <v>388.5</v>
      </c>
    </row>
    <row r="125" spans="1:14" ht="14.4" customHeight="1" x14ac:dyDescent="0.3">
      <c r="A125" s="611" t="s">
        <v>531</v>
      </c>
      <c r="B125" s="612" t="s">
        <v>532</v>
      </c>
      <c r="C125" s="613" t="s">
        <v>545</v>
      </c>
      <c r="D125" s="614" t="s">
        <v>1105</v>
      </c>
      <c r="E125" s="613" t="s">
        <v>551</v>
      </c>
      <c r="F125" s="614" t="s">
        <v>1106</v>
      </c>
      <c r="G125" s="613" t="s">
        <v>552</v>
      </c>
      <c r="H125" s="613" t="s">
        <v>817</v>
      </c>
      <c r="I125" s="613" t="s">
        <v>818</v>
      </c>
      <c r="J125" s="613" t="s">
        <v>819</v>
      </c>
      <c r="K125" s="613" t="s">
        <v>820</v>
      </c>
      <c r="L125" s="615">
        <v>115.9693974281234</v>
      </c>
      <c r="M125" s="615">
        <v>31</v>
      </c>
      <c r="N125" s="616">
        <v>3595.0513202718253</v>
      </c>
    </row>
    <row r="126" spans="1:14" ht="14.4" customHeight="1" x14ac:dyDescent="0.3">
      <c r="A126" s="611" t="s">
        <v>531</v>
      </c>
      <c r="B126" s="612" t="s">
        <v>532</v>
      </c>
      <c r="C126" s="613" t="s">
        <v>545</v>
      </c>
      <c r="D126" s="614" t="s">
        <v>1105</v>
      </c>
      <c r="E126" s="613" t="s">
        <v>551</v>
      </c>
      <c r="F126" s="614" t="s">
        <v>1106</v>
      </c>
      <c r="G126" s="613" t="s">
        <v>552</v>
      </c>
      <c r="H126" s="613" t="s">
        <v>712</v>
      </c>
      <c r="I126" s="613" t="s">
        <v>713</v>
      </c>
      <c r="J126" s="613" t="s">
        <v>714</v>
      </c>
      <c r="K126" s="613" t="s">
        <v>715</v>
      </c>
      <c r="L126" s="615">
        <v>66.229855198288064</v>
      </c>
      <c r="M126" s="615">
        <v>7</v>
      </c>
      <c r="N126" s="616">
        <v>463.60898638801643</v>
      </c>
    </row>
    <row r="127" spans="1:14" ht="14.4" customHeight="1" x14ac:dyDescent="0.3">
      <c r="A127" s="611" t="s">
        <v>531</v>
      </c>
      <c r="B127" s="612" t="s">
        <v>532</v>
      </c>
      <c r="C127" s="613" t="s">
        <v>545</v>
      </c>
      <c r="D127" s="614" t="s">
        <v>1105</v>
      </c>
      <c r="E127" s="613" t="s">
        <v>551</v>
      </c>
      <c r="F127" s="614" t="s">
        <v>1106</v>
      </c>
      <c r="G127" s="613" t="s">
        <v>552</v>
      </c>
      <c r="H127" s="613" t="s">
        <v>821</v>
      </c>
      <c r="I127" s="613" t="s">
        <v>821</v>
      </c>
      <c r="J127" s="613" t="s">
        <v>822</v>
      </c>
      <c r="K127" s="613" t="s">
        <v>823</v>
      </c>
      <c r="L127" s="615">
        <v>36.543717147982946</v>
      </c>
      <c r="M127" s="615">
        <v>52</v>
      </c>
      <c r="N127" s="616">
        <v>1900.2732916951131</v>
      </c>
    </row>
    <row r="128" spans="1:14" ht="14.4" customHeight="1" x14ac:dyDescent="0.3">
      <c r="A128" s="611" t="s">
        <v>531</v>
      </c>
      <c r="B128" s="612" t="s">
        <v>532</v>
      </c>
      <c r="C128" s="613" t="s">
        <v>545</v>
      </c>
      <c r="D128" s="614" t="s">
        <v>1105</v>
      </c>
      <c r="E128" s="613" t="s">
        <v>551</v>
      </c>
      <c r="F128" s="614" t="s">
        <v>1106</v>
      </c>
      <c r="G128" s="613" t="s">
        <v>552</v>
      </c>
      <c r="H128" s="613" t="s">
        <v>824</v>
      </c>
      <c r="I128" s="613" t="s">
        <v>825</v>
      </c>
      <c r="J128" s="613" t="s">
        <v>826</v>
      </c>
      <c r="K128" s="613" t="s">
        <v>827</v>
      </c>
      <c r="L128" s="615">
        <v>113.55999999999999</v>
      </c>
      <c r="M128" s="615">
        <v>1</v>
      </c>
      <c r="N128" s="616">
        <v>113.55999999999999</v>
      </c>
    </row>
    <row r="129" spans="1:14" ht="14.4" customHeight="1" x14ac:dyDescent="0.3">
      <c r="A129" s="611" t="s">
        <v>531</v>
      </c>
      <c r="B129" s="612" t="s">
        <v>532</v>
      </c>
      <c r="C129" s="613" t="s">
        <v>545</v>
      </c>
      <c r="D129" s="614" t="s">
        <v>1105</v>
      </c>
      <c r="E129" s="613" t="s">
        <v>551</v>
      </c>
      <c r="F129" s="614" t="s">
        <v>1106</v>
      </c>
      <c r="G129" s="613" t="s">
        <v>552</v>
      </c>
      <c r="H129" s="613" t="s">
        <v>828</v>
      </c>
      <c r="I129" s="613" t="s">
        <v>829</v>
      </c>
      <c r="J129" s="613" t="s">
        <v>830</v>
      </c>
      <c r="K129" s="613" t="s">
        <v>831</v>
      </c>
      <c r="L129" s="615">
        <v>325.17</v>
      </c>
      <c r="M129" s="615">
        <v>2</v>
      </c>
      <c r="N129" s="616">
        <v>650.34</v>
      </c>
    </row>
    <row r="130" spans="1:14" ht="14.4" customHeight="1" x14ac:dyDescent="0.3">
      <c r="A130" s="611" t="s">
        <v>531</v>
      </c>
      <c r="B130" s="612" t="s">
        <v>532</v>
      </c>
      <c r="C130" s="613" t="s">
        <v>545</v>
      </c>
      <c r="D130" s="614" t="s">
        <v>1105</v>
      </c>
      <c r="E130" s="613" t="s">
        <v>551</v>
      </c>
      <c r="F130" s="614" t="s">
        <v>1106</v>
      </c>
      <c r="G130" s="613" t="s">
        <v>552</v>
      </c>
      <c r="H130" s="613" t="s">
        <v>832</v>
      </c>
      <c r="I130" s="613" t="s">
        <v>833</v>
      </c>
      <c r="J130" s="613" t="s">
        <v>834</v>
      </c>
      <c r="K130" s="613" t="s">
        <v>835</v>
      </c>
      <c r="L130" s="615">
        <v>316.63463864922062</v>
      </c>
      <c r="M130" s="615">
        <v>20</v>
      </c>
      <c r="N130" s="616">
        <v>6332.6927729844128</v>
      </c>
    </row>
    <row r="131" spans="1:14" ht="14.4" customHeight="1" x14ac:dyDescent="0.3">
      <c r="A131" s="611" t="s">
        <v>531</v>
      </c>
      <c r="B131" s="612" t="s">
        <v>532</v>
      </c>
      <c r="C131" s="613" t="s">
        <v>545</v>
      </c>
      <c r="D131" s="614" t="s">
        <v>1105</v>
      </c>
      <c r="E131" s="613" t="s">
        <v>551</v>
      </c>
      <c r="F131" s="614" t="s">
        <v>1106</v>
      </c>
      <c r="G131" s="613" t="s">
        <v>552</v>
      </c>
      <c r="H131" s="613" t="s">
        <v>571</v>
      </c>
      <c r="I131" s="613" t="s">
        <v>572</v>
      </c>
      <c r="J131" s="613" t="s">
        <v>573</v>
      </c>
      <c r="K131" s="613" t="s">
        <v>574</v>
      </c>
      <c r="L131" s="615">
        <v>38.75668042832266</v>
      </c>
      <c r="M131" s="615">
        <v>6</v>
      </c>
      <c r="N131" s="616">
        <v>232.54008256993598</v>
      </c>
    </row>
    <row r="132" spans="1:14" ht="14.4" customHeight="1" x14ac:dyDescent="0.3">
      <c r="A132" s="611" t="s">
        <v>531</v>
      </c>
      <c r="B132" s="612" t="s">
        <v>532</v>
      </c>
      <c r="C132" s="613" t="s">
        <v>545</v>
      </c>
      <c r="D132" s="614" t="s">
        <v>1105</v>
      </c>
      <c r="E132" s="613" t="s">
        <v>551</v>
      </c>
      <c r="F132" s="614" t="s">
        <v>1106</v>
      </c>
      <c r="G132" s="613" t="s">
        <v>552</v>
      </c>
      <c r="H132" s="613" t="s">
        <v>836</v>
      </c>
      <c r="I132" s="613" t="s">
        <v>837</v>
      </c>
      <c r="J132" s="613" t="s">
        <v>838</v>
      </c>
      <c r="K132" s="613" t="s">
        <v>839</v>
      </c>
      <c r="L132" s="615">
        <v>145.79412558987229</v>
      </c>
      <c r="M132" s="615">
        <v>4</v>
      </c>
      <c r="N132" s="616">
        <v>583.17650235948918</v>
      </c>
    </row>
    <row r="133" spans="1:14" ht="14.4" customHeight="1" x14ac:dyDescent="0.3">
      <c r="A133" s="611" t="s">
        <v>531</v>
      </c>
      <c r="B133" s="612" t="s">
        <v>532</v>
      </c>
      <c r="C133" s="613" t="s">
        <v>545</v>
      </c>
      <c r="D133" s="614" t="s">
        <v>1105</v>
      </c>
      <c r="E133" s="613" t="s">
        <v>551</v>
      </c>
      <c r="F133" s="614" t="s">
        <v>1106</v>
      </c>
      <c r="G133" s="613" t="s">
        <v>552</v>
      </c>
      <c r="H133" s="613" t="s">
        <v>840</v>
      </c>
      <c r="I133" s="613" t="s">
        <v>841</v>
      </c>
      <c r="J133" s="613" t="s">
        <v>842</v>
      </c>
      <c r="K133" s="613" t="s">
        <v>843</v>
      </c>
      <c r="L133" s="615">
        <v>74.870000000000019</v>
      </c>
      <c r="M133" s="615">
        <v>1</v>
      </c>
      <c r="N133" s="616">
        <v>74.870000000000019</v>
      </c>
    </row>
    <row r="134" spans="1:14" ht="14.4" customHeight="1" x14ac:dyDescent="0.3">
      <c r="A134" s="611" t="s">
        <v>531</v>
      </c>
      <c r="B134" s="612" t="s">
        <v>532</v>
      </c>
      <c r="C134" s="613" t="s">
        <v>545</v>
      </c>
      <c r="D134" s="614" t="s">
        <v>1105</v>
      </c>
      <c r="E134" s="613" t="s">
        <v>551</v>
      </c>
      <c r="F134" s="614" t="s">
        <v>1106</v>
      </c>
      <c r="G134" s="613" t="s">
        <v>552</v>
      </c>
      <c r="H134" s="613" t="s">
        <v>844</v>
      </c>
      <c r="I134" s="613" t="s">
        <v>845</v>
      </c>
      <c r="J134" s="613" t="s">
        <v>846</v>
      </c>
      <c r="K134" s="613" t="s">
        <v>847</v>
      </c>
      <c r="L134" s="615">
        <v>93.61962124859339</v>
      </c>
      <c r="M134" s="615">
        <v>2</v>
      </c>
      <c r="N134" s="616">
        <v>187.23924249718678</v>
      </c>
    </row>
    <row r="135" spans="1:14" ht="14.4" customHeight="1" x14ac:dyDescent="0.3">
      <c r="A135" s="611" t="s">
        <v>531</v>
      </c>
      <c r="B135" s="612" t="s">
        <v>532</v>
      </c>
      <c r="C135" s="613" t="s">
        <v>545</v>
      </c>
      <c r="D135" s="614" t="s">
        <v>1105</v>
      </c>
      <c r="E135" s="613" t="s">
        <v>551</v>
      </c>
      <c r="F135" s="614" t="s">
        <v>1106</v>
      </c>
      <c r="G135" s="613" t="s">
        <v>552</v>
      </c>
      <c r="H135" s="613" t="s">
        <v>848</v>
      </c>
      <c r="I135" s="613" t="s">
        <v>849</v>
      </c>
      <c r="J135" s="613" t="s">
        <v>850</v>
      </c>
      <c r="K135" s="613" t="s">
        <v>851</v>
      </c>
      <c r="L135" s="615">
        <v>65.33</v>
      </c>
      <c r="M135" s="615">
        <v>1</v>
      </c>
      <c r="N135" s="616">
        <v>65.33</v>
      </c>
    </row>
    <row r="136" spans="1:14" ht="14.4" customHeight="1" x14ac:dyDescent="0.3">
      <c r="A136" s="611" t="s">
        <v>531</v>
      </c>
      <c r="B136" s="612" t="s">
        <v>532</v>
      </c>
      <c r="C136" s="613" t="s">
        <v>545</v>
      </c>
      <c r="D136" s="614" t="s">
        <v>1105</v>
      </c>
      <c r="E136" s="613" t="s">
        <v>551</v>
      </c>
      <c r="F136" s="614" t="s">
        <v>1106</v>
      </c>
      <c r="G136" s="613" t="s">
        <v>552</v>
      </c>
      <c r="H136" s="613" t="s">
        <v>852</v>
      </c>
      <c r="I136" s="613" t="s">
        <v>853</v>
      </c>
      <c r="J136" s="613" t="s">
        <v>854</v>
      </c>
      <c r="K136" s="613" t="s">
        <v>855</v>
      </c>
      <c r="L136" s="615">
        <v>378.35144101038713</v>
      </c>
      <c r="M136" s="615">
        <v>7</v>
      </c>
      <c r="N136" s="616">
        <v>2648.4600870727099</v>
      </c>
    </row>
    <row r="137" spans="1:14" ht="14.4" customHeight="1" x14ac:dyDescent="0.3">
      <c r="A137" s="611" t="s">
        <v>531</v>
      </c>
      <c r="B137" s="612" t="s">
        <v>532</v>
      </c>
      <c r="C137" s="613" t="s">
        <v>545</v>
      </c>
      <c r="D137" s="614" t="s">
        <v>1105</v>
      </c>
      <c r="E137" s="613" t="s">
        <v>551</v>
      </c>
      <c r="F137" s="614" t="s">
        <v>1106</v>
      </c>
      <c r="G137" s="613" t="s">
        <v>552</v>
      </c>
      <c r="H137" s="613" t="s">
        <v>575</v>
      </c>
      <c r="I137" s="613" t="s">
        <v>189</v>
      </c>
      <c r="J137" s="613" t="s">
        <v>576</v>
      </c>
      <c r="K137" s="613"/>
      <c r="L137" s="615">
        <v>97.320310763751579</v>
      </c>
      <c r="M137" s="615">
        <v>30</v>
      </c>
      <c r="N137" s="616">
        <v>2919.6093229125472</v>
      </c>
    </row>
    <row r="138" spans="1:14" ht="14.4" customHeight="1" x14ac:dyDescent="0.3">
      <c r="A138" s="611" t="s">
        <v>531</v>
      </c>
      <c r="B138" s="612" t="s">
        <v>532</v>
      </c>
      <c r="C138" s="613" t="s">
        <v>545</v>
      </c>
      <c r="D138" s="614" t="s">
        <v>1105</v>
      </c>
      <c r="E138" s="613" t="s">
        <v>551</v>
      </c>
      <c r="F138" s="614" t="s">
        <v>1106</v>
      </c>
      <c r="G138" s="613" t="s">
        <v>552</v>
      </c>
      <c r="H138" s="613" t="s">
        <v>720</v>
      </c>
      <c r="I138" s="613" t="s">
        <v>721</v>
      </c>
      <c r="J138" s="613" t="s">
        <v>722</v>
      </c>
      <c r="K138" s="613"/>
      <c r="L138" s="615">
        <v>134.0997840735576</v>
      </c>
      <c r="M138" s="615">
        <v>21</v>
      </c>
      <c r="N138" s="616">
        <v>2816.0954655447099</v>
      </c>
    </row>
    <row r="139" spans="1:14" ht="14.4" customHeight="1" x14ac:dyDescent="0.3">
      <c r="A139" s="611" t="s">
        <v>531</v>
      </c>
      <c r="B139" s="612" t="s">
        <v>532</v>
      </c>
      <c r="C139" s="613" t="s">
        <v>545</v>
      </c>
      <c r="D139" s="614" t="s">
        <v>1105</v>
      </c>
      <c r="E139" s="613" t="s">
        <v>551</v>
      </c>
      <c r="F139" s="614" t="s">
        <v>1106</v>
      </c>
      <c r="G139" s="613" t="s">
        <v>552</v>
      </c>
      <c r="H139" s="613" t="s">
        <v>856</v>
      </c>
      <c r="I139" s="613" t="s">
        <v>857</v>
      </c>
      <c r="J139" s="613" t="s">
        <v>581</v>
      </c>
      <c r="K139" s="613" t="s">
        <v>858</v>
      </c>
      <c r="L139" s="615">
        <v>85.850000000000009</v>
      </c>
      <c r="M139" s="615">
        <v>4</v>
      </c>
      <c r="N139" s="616">
        <v>343.40000000000003</v>
      </c>
    </row>
    <row r="140" spans="1:14" ht="14.4" customHeight="1" x14ac:dyDescent="0.3">
      <c r="A140" s="611" t="s">
        <v>531</v>
      </c>
      <c r="B140" s="612" t="s">
        <v>532</v>
      </c>
      <c r="C140" s="613" t="s">
        <v>545</v>
      </c>
      <c r="D140" s="614" t="s">
        <v>1105</v>
      </c>
      <c r="E140" s="613" t="s">
        <v>551</v>
      </c>
      <c r="F140" s="614" t="s">
        <v>1106</v>
      </c>
      <c r="G140" s="613" t="s">
        <v>552</v>
      </c>
      <c r="H140" s="613" t="s">
        <v>723</v>
      </c>
      <c r="I140" s="613" t="s">
        <v>189</v>
      </c>
      <c r="J140" s="613" t="s">
        <v>724</v>
      </c>
      <c r="K140" s="613"/>
      <c r="L140" s="615">
        <v>37.4345</v>
      </c>
      <c r="M140" s="615">
        <v>90</v>
      </c>
      <c r="N140" s="616">
        <v>3369.105</v>
      </c>
    </row>
    <row r="141" spans="1:14" ht="14.4" customHeight="1" x14ac:dyDescent="0.3">
      <c r="A141" s="611" t="s">
        <v>531</v>
      </c>
      <c r="B141" s="612" t="s">
        <v>532</v>
      </c>
      <c r="C141" s="613" t="s">
        <v>545</v>
      </c>
      <c r="D141" s="614" t="s">
        <v>1105</v>
      </c>
      <c r="E141" s="613" t="s">
        <v>551</v>
      </c>
      <c r="F141" s="614" t="s">
        <v>1106</v>
      </c>
      <c r="G141" s="613" t="s">
        <v>552</v>
      </c>
      <c r="H141" s="613" t="s">
        <v>583</v>
      </c>
      <c r="I141" s="613" t="s">
        <v>584</v>
      </c>
      <c r="J141" s="613" t="s">
        <v>585</v>
      </c>
      <c r="K141" s="613" t="s">
        <v>586</v>
      </c>
      <c r="L141" s="615">
        <v>208.69054736103575</v>
      </c>
      <c r="M141" s="615">
        <v>13</v>
      </c>
      <c r="N141" s="616">
        <v>2712.9771156934648</v>
      </c>
    </row>
    <row r="142" spans="1:14" ht="14.4" customHeight="1" x14ac:dyDescent="0.3">
      <c r="A142" s="611" t="s">
        <v>531</v>
      </c>
      <c r="B142" s="612" t="s">
        <v>532</v>
      </c>
      <c r="C142" s="613" t="s">
        <v>545</v>
      </c>
      <c r="D142" s="614" t="s">
        <v>1105</v>
      </c>
      <c r="E142" s="613" t="s">
        <v>551</v>
      </c>
      <c r="F142" s="614" t="s">
        <v>1106</v>
      </c>
      <c r="G142" s="613" t="s">
        <v>552</v>
      </c>
      <c r="H142" s="613" t="s">
        <v>587</v>
      </c>
      <c r="I142" s="613" t="s">
        <v>189</v>
      </c>
      <c r="J142" s="613" t="s">
        <v>588</v>
      </c>
      <c r="K142" s="613"/>
      <c r="L142" s="615">
        <v>36.813263028356552</v>
      </c>
      <c r="M142" s="615">
        <v>1418</v>
      </c>
      <c r="N142" s="616">
        <v>52201.206974209592</v>
      </c>
    </row>
    <row r="143" spans="1:14" ht="14.4" customHeight="1" x14ac:dyDescent="0.3">
      <c r="A143" s="611" t="s">
        <v>531</v>
      </c>
      <c r="B143" s="612" t="s">
        <v>532</v>
      </c>
      <c r="C143" s="613" t="s">
        <v>545</v>
      </c>
      <c r="D143" s="614" t="s">
        <v>1105</v>
      </c>
      <c r="E143" s="613" t="s">
        <v>551</v>
      </c>
      <c r="F143" s="614" t="s">
        <v>1106</v>
      </c>
      <c r="G143" s="613" t="s">
        <v>552</v>
      </c>
      <c r="H143" s="613" t="s">
        <v>859</v>
      </c>
      <c r="I143" s="613" t="s">
        <v>860</v>
      </c>
      <c r="J143" s="613" t="s">
        <v>569</v>
      </c>
      <c r="K143" s="613" t="s">
        <v>861</v>
      </c>
      <c r="L143" s="615">
        <v>42.481494996281036</v>
      </c>
      <c r="M143" s="615">
        <v>13</v>
      </c>
      <c r="N143" s="616">
        <v>552.25943495165347</v>
      </c>
    </row>
    <row r="144" spans="1:14" ht="14.4" customHeight="1" x14ac:dyDescent="0.3">
      <c r="A144" s="611" t="s">
        <v>531</v>
      </c>
      <c r="B144" s="612" t="s">
        <v>532</v>
      </c>
      <c r="C144" s="613" t="s">
        <v>545</v>
      </c>
      <c r="D144" s="614" t="s">
        <v>1105</v>
      </c>
      <c r="E144" s="613" t="s">
        <v>551</v>
      </c>
      <c r="F144" s="614" t="s">
        <v>1106</v>
      </c>
      <c r="G144" s="613" t="s">
        <v>552</v>
      </c>
      <c r="H144" s="613" t="s">
        <v>862</v>
      </c>
      <c r="I144" s="613" t="s">
        <v>863</v>
      </c>
      <c r="J144" s="613" t="s">
        <v>864</v>
      </c>
      <c r="K144" s="613" t="s">
        <v>562</v>
      </c>
      <c r="L144" s="615">
        <v>124.41056479882882</v>
      </c>
      <c r="M144" s="615">
        <v>19</v>
      </c>
      <c r="N144" s="616">
        <v>2363.8007311777474</v>
      </c>
    </row>
    <row r="145" spans="1:14" ht="14.4" customHeight="1" x14ac:dyDescent="0.3">
      <c r="A145" s="611" t="s">
        <v>531</v>
      </c>
      <c r="B145" s="612" t="s">
        <v>532</v>
      </c>
      <c r="C145" s="613" t="s">
        <v>545</v>
      </c>
      <c r="D145" s="614" t="s">
        <v>1105</v>
      </c>
      <c r="E145" s="613" t="s">
        <v>551</v>
      </c>
      <c r="F145" s="614" t="s">
        <v>1106</v>
      </c>
      <c r="G145" s="613" t="s">
        <v>552</v>
      </c>
      <c r="H145" s="613" t="s">
        <v>865</v>
      </c>
      <c r="I145" s="613" t="s">
        <v>866</v>
      </c>
      <c r="J145" s="613" t="s">
        <v>867</v>
      </c>
      <c r="K145" s="613" t="s">
        <v>868</v>
      </c>
      <c r="L145" s="615">
        <v>358.99763659966158</v>
      </c>
      <c r="M145" s="615">
        <v>11</v>
      </c>
      <c r="N145" s="616">
        <v>3948.9740025962774</v>
      </c>
    </row>
    <row r="146" spans="1:14" ht="14.4" customHeight="1" x14ac:dyDescent="0.3">
      <c r="A146" s="611" t="s">
        <v>531</v>
      </c>
      <c r="B146" s="612" t="s">
        <v>532</v>
      </c>
      <c r="C146" s="613" t="s">
        <v>545</v>
      </c>
      <c r="D146" s="614" t="s">
        <v>1105</v>
      </c>
      <c r="E146" s="613" t="s">
        <v>551</v>
      </c>
      <c r="F146" s="614" t="s">
        <v>1106</v>
      </c>
      <c r="G146" s="613" t="s">
        <v>552</v>
      </c>
      <c r="H146" s="613" t="s">
        <v>869</v>
      </c>
      <c r="I146" s="613" t="s">
        <v>870</v>
      </c>
      <c r="J146" s="613" t="s">
        <v>838</v>
      </c>
      <c r="K146" s="613" t="s">
        <v>871</v>
      </c>
      <c r="L146" s="615">
        <v>74.916666666666657</v>
      </c>
      <c r="M146" s="615">
        <v>3</v>
      </c>
      <c r="N146" s="616">
        <v>224.74999999999997</v>
      </c>
    </row>
    <row r="147" spans="1:14" ht="14.4" customHeight="1" x14ac:dyDescent="0.3">
      <c r="A147" s="611" t="s">
        <v>531</v>
      </c>
      <c r="B147" s="612" t="s">
        <v>532</v>
      </c>
      <c r="C147" s="613" t="s">
        <v>545</v>
      </c>
      <c r="D147" s="614" t="s">
        <v>1105</v>
      </c>
      <c r="E147" s="613" t="s">
        <v>551</v>
      </c>
      <c r="F147" s="614" t="s">
        <v>1106</v>
      </c>
      <c r="G147" s="613" t="s">
        <v>552</v>
      </c>
      <c r="H147" s="613" t="s">
        <v>872</v>
      </c>
      <c r="I147" s="613" t="s">
        <v>873</v>
      </c>
      <c r="J147" s="613" t="s">
        <v>874</v>
      </c>
      <c r="K147" s="613" t="s">
        <v>875</v>
      </c>
      <c r="L147" s="615">
        <v>52.169999999999987</v>
      </c>
      <c r="M147" s="615">
        <v>1</v>
      </c>
      <c r="N147" s="616">
        <v>52.169999999999987</v>
      </c>
    </row>
    <row r="148" spans="1:14" ht="14.4" customHeight="1" x14ac:dyDescent="0.3">
      <c r="A148" s="611" t="s">
        <v>531</v>
      </c>
      <c r="B148" s="612" t="s">
        <v>532</v>
      </c>
      <c r="C148" s="613" t="s">
        <v>545</v>
      </c>
      <c r="D148" s="614" t="s">
        <v>1105</v>
      </c>
      <c r="E148" s="613" t="s">
        <v>551</v>
      </c>
      <c r="F148" s="614" t="s">
        <v>1106</v>
      </c>
      <c r="G148" s="613" t="s">
        <v>552</v>
      </c>
      <c r="H148" s="613" t="s">
        <v>589</v>
      </c>
      <c r="I148" s="613" t="s">
        <v>590</v>
      </c>
      <c r="J148" s="613" t="s">
        <v>591</v>
      </c>
      <c r="K148" s="613" t="s">
        <v>592</v>
      </c>
      <c r="L148" s="615">
        <v>53.501918759290945</v>
      </c>
      <c r="M148" s="615">
        <v>5</v>
      </c>
      <c r="N148" s="616">
        <v>267.50959379645474</v>
      </c>
    </row>
    <row r="149" spans="1:14" ht="14.4" customHeight="1" x14ac:dyDescent="0.3">
      <c r="A149" s="611" t="s">
        <v>531</v>
      </c>
      <c r="B149" s="612" t="s">
        <v>532</v>
      </c>
      <c r="C149" s="613" t="s">
        <v>545</v>
      </c>
      <c r="D149" s="614" t="s">
        <v>1105</v>
      </c>
      <c r="E149" s="613" t="s">
        <v>551</v>
      </c>
      <c r="F149" s="614" t="s">
        <v>1106</v>
      </c>
      <c r="G149" s="613" t="s">
        <v>552</v>
      </c>
      <c r="H149" s="613" t="s">
        <v>876</v>
      </c>
      <c r="I149" s="613" t="s">
        <v>876</v>
      </c>
      <c r="J149" s="613" t="s">
        <v>877</v>
      </c>
      <c r="K149" s="613" t="s">
        <v>801</v>
      </c>
      <c r="L149" s="615">
        <v>288.53000000000003</v>
      </c>
      <c r="M149" s="615">
        <v>1</v>
      </c>
      <c r="N149" s="616">
        <v>288.53000000000003</v>
      </c>
    </row>
    <row r="150" spans="1:14" ht="14.4" customHeight="1" x14ac:dyDescent="0.3">
      <c r="A150" s="611" t="s">
        <v>531</v>
      </c>
      <c r="B150" s="612" t="s">
        <v>532</v>
      </c>
      <c r="C150" s="613" t="s">
        <v>545</v>
      </c>
      <c r="D150" s="614" t="s">
        <v>1105</v>
      </c>
      <c r="E150" s="613" t="s">
        <v>551</v>
      </c>
      <c r="F150" s="614" t="s">
        <v>1106</v>
      </c>
      <c r="G150" s="613" t="s">
        <v>552</v>
      </c>
      <c r="H150" s="613" t="s">
        <v>878</v>
      </c>
      <c r="I150" s="613" t="s">
        <v>879</v>
      </c>
      <c r="J150" s="613" t="s">
        <v>880</v>
      </c>
      <c r="K150" s="613" t="s">
        <v>809</v>
      </c>
      <c r="L150" s="615">
        <v>40.959203642372152</v>
      </c>
      <c r="M150" s="615">
        <v>15</v>
      </c>
      <c r="N150" s="616">
        <v>614.38805463558231</v>
      </c>
    </row>
    <row r="151" spans="1:14" ht="14.4" customHeight="1" x14ac:dyDescent="0.3">
      <c r="A151" s="611" t="s">
        <v>531</v>
      </c>
      <c r="B151" s="612" t="s">
        <v>532</v>
      </c>
      <c r="C151" s="613" t="s">
        <v>545</v>
      </c>
      <c r="D151" s="614" t="s">
        <v>1105</v>
      </c>
      <c r="E151" s="613" t="s">
        <v>551</v>
      </c>
      <c r="F151" s="614" t="s">
        <v>1106</v>
      </c>
      <c r="G151" s="613" t="s">
        <v>552</v>
      </c>
      <c r="H151" s="613" t="s">
        <v>881</v>
      </c>
      <c r="I151" s="613" t="s">
        <v>882</v>
      </c>
      <c r="J151" s="613" t="s">
        <v>883</v>
      </c>
      <c r="K151" s="613" t="s">
        <v>884</v>
      </c>
      <c r="L151" s="615">
        <v>268.71999999999997</v>
      </c>
      <c r="M151" s="615">
        <v>1</v>
      </c>
      <c r="N151" s="616">
        <v>268.71999999999997</v>
      </c>
    </row>
    <row r="152" spans="1:14" ht="14.4" customHeight="1" x14ac:dyDescent="0.3">
      <c r="A152" s="611" t="s">
        <v>531</v>
      </c>
      <c r="B152" s="612" t="s">
        <v>532</v>
      </c>
      <c r="C152" s="613" t="s">
        <v>545</v>
      </c>
      <c r="D152" s="614" t="s">
        <v>1105</v>
      </c>
      <c r="E152" s="613" t="s">
        <v>551</v>
      </c>
      <c r="F152" s="614" t="s">
        <v>1106</v>
      </c>
      <c r="G152" s="613" t="s">
        <v>552</v>
      </c>
      <c r="H152" s="613" t="s">
        <v>885</v>
      </c>
      <c r="I152" s="613" t="s">
        <v>886</v>
      </c>
      <c r="J152" s="613" t="s">
        <v>887</v>
      </c>
      <c r="K152" s="613" t="s">
        <v>888</v>
      </c>
      <c r="L152" s="615">
        <v>1049.3118577898033</v>
      </c>
      <c r="M152" s="615">
        <v>17</v>
      </c>
      <c r="N152" s="616">
        <v>17838.301582426655</v>
      </c>
    </row>
    <row r="153" spans="1:14" ht="14.4" customHeight="1" x14ac:dyDescent="0.3">
      <c r="A153" s="611" t="s">
        <v>531</v>
      </c>
      <c r="B153" s="612" t="s">
        <v>532</v>
      </c>
      <c r="C153" s="613" t="s">
        <v>545</v>
      </c>
      <c r="D153" s="614" t="s">
        <v>1105</v>
      </c>
      <c r="E153" s="613" t="s">
        <v>551</v>
      </c>
      <c r="F153" s="614" t="s">
        <v>1106</v>
      </c>
      <c r="G153" s="613" t="s">
        <v>552</v>
      </c>
      <c r="H153" s="613" t="s">
        <v>593</v>
      </c>
      <c r="I153" s="613" t="s">
        <v>594</v>
      </c>
      <c r="J153" s="613" t="s">
        <v>595</v>
      </c>
      <c r="K153" s="613" t="s">
        <v>596</v>
      </c>
      <c r="L153" s="615">
        <v>50.129463006875795</v>
      </c>
      <c r="M153" s="615">
        <v>2</v>
      </c>
      <c r="N153" s="616">
        <v>100.25892601375159</v>
      </c>
    </row>
    <row r="154" spans="1:14" ht="14.4" customHeight="1" x14ac:dyDescent="0.3">
      <c r="A154" s="611" t="s">
        <v>531</v>
      </c>
      <c r="B154" s="612" t="s">
        <v>532</v>
      </c>
      <c r="C154" s="613" t="s">
        <v>545</v>
      </c>
      <c r="D154" s="614" t="s">
        <v>1105</v>
      </c>
      <c r="E154" s="613" t="s">
        <v>551</v>
      </c>
      <c r="F154" s="614" t="s">
        <v>1106</v>
      </c>
      <c r="G154" s="613" t="s">
        <v>552</v>
      </c>
      <c r="H154" s="613" t="s">
        <v>597</v>
      </c>
      <c r="I154" s="613" t="s">
        <v>189</v>
      </c>
      <c r="J154" s="613" t="s">
        <v>598</v>
      </c>
      <c r="K154" s="613"/>
      <c r="L154" s="615">
        <v>41.365900669098792</v>
      </c>
      <c r="M154" s="615">
        <v>48</v>
      </c>
      <c r="N154" s="616">
        <v>1985.563232116742</v>
      </c>
    </row>
    <row r="155" spans="1:14" ht="14.4" customHeight="1" x14ac:dyDescent="0.3">
      <c r="A155" s="611" t="s">
        <v>531</v>
      </c>
      <c r="B155" s="612" t="s">
        <v>532</v>
      </c>
      <c r="C155" s="613" t="s">
        <v>545</v>
      </c>
      <c r="D155" s="614" t="s">
        <v>1105</v>
      </c>
      <c r="E155" s="613" t="s">
        <v>551</v>
      </c>
      <c r="F155" s="614" t="s">
        <v>1106</v>
      </c>
      <c r="G155" s="613" t="s">
        <v>552</v>
      </c>
      <c r="H155" s="613" t="s">
        <v>889</v>
      </c>
      <c r="I155" s="613" t="s">
        <v>890</v>
      </c>
      <c r="J155" s="613" t="s">
        <v>891</v>
      </c>
      <c r="K155" s="613" t="s">
        <v>892</v>
      </c>
      <c r="L155" s="615">
        <v>56.766080090632414</v>
      </c>
      <c r="M155" s="615">
        <v>6</v>
      </c>
      <c r="N155" s="616">
        <v>340.59648054379448</v>
      </c>
    </row>
    <row r="156" spans="1:14" ht="14.4" customHeight="1" x14ac:dyDescent="0.3">
      <c r="A156" s="611" t="s">
        <v>531</v>
      </c>
      <c r="B156" s="612" t="s">
        <v>532</v>
      </c>
      <c r="C156" s="613" t="s">
        <v>545</v>
      </c>
      <c r="D156" s="614" t="s">
        <v>1105</v>
      </c>
      <c r="E156" s="613" t="s">
        <v>551</v>
      </c>
      <c r="F156" s="614" t="s">
        <v>1106</v>
      </c>
      <c r="G156" s="613" t="s">
        <v>552</v>
      </c>
      <c r="H156" s="613" t="s">
        <v>599</v>
      </c>
      <c r="I156" s="613" t="s">
        <v>599</v>
      </c>
      <c r="J156" s="613" t="s">
        <v>600</v>
      </c>
      <c r="K156" s="613" t="s">
        <v>601</v>
      </c>
      <c r="L156" s="615">
        <v>75.626122691266133</v>
      </c>
      <c r="M156" s="615">
        <v>13</v>
      </c>
      <c r="N156" s="616">
        <v>983.13959498645966</v>
      </c>
    </row>
    <row r="157" spans="1:14" ht="14.4" customHeight="1" x14ac:dyDescent="0.3">
      <c r="A157" s="611" t="s">
        <v>531</v>
      </c>
      <c r="B157" s="612" t="s">
        <v>532</v>
      </c>
      <c r="C157" s="613" t="s">
        <v>545</v>
      </c>
      <c r="D157" s="614" t="s">
        <v>1105</v>
      </c>
      <c r="E157" s="613" t="s">
        <v>551</v>
      </c>
      <c r="F157" s="614" t="s">
        <v>1106</v>
      </c>
      <c r="G157" s="613" t="s">
        <v>552</v>
      </c>
      <c r="H157" s="613" t="s">
        <v>602</v>
      </c>
      <c r="I157" s="613" t="s">
        <v>603</v>
      </c>
      <c r="J157" s="613" t="s">
        <v>604</v>
      </c>
      <c r="K157" s="613" t="s">
        <v>605</v>
      </c>
      <c r="L157" s="615">
        <v>64.32491326179391</v>
      </c>
      <c r="M157" s="615">
        <v>77</v>
      </c>
      <c r="N157" s="616">
        <v>4953.0183211581316</v>
      </c>
    </row>
    <row r="158" spans="1:14" ht="14.4" customHeight="1" x14ac:dyDescent="0.3">
      <c r="A158" s="611" t="s">
        <v>531</v>
      </c>
      <c r="B158" s="612" t="s">
        <v>532</v>
      </c>
      <c r="C158" s="613" t="s">
        <v>545</v>
      </c>
      <c r="D158" s="614" t="s">
        <v>1105</v>
      </c>
      <c r="E158" s="613" t="s">
        <v>551</v>
      </c>
      <c r="F158" s="614" t="s">
        <v>1106</v>
      </c>
      <c r="G158" s="613" t="s">
        <v>552</v>
      </c>
      <c r="H158" s="613" t="s">
        <v>893</v>
      </c>
      <c r="I158" s="613" t="s">
        <v>894</v>
      </c>
      <c r="J158" s="613" t="s">
        <v>895</v>
      </c>
      <c r="K158" s="613" t="s">
        <v>896</v>
      </c>
      <c r="L158" s="615">
        <v>0</v>
      </c>
      <c r="M158" s="615">
        <v>0</v>
      </c>
      <c r="N158" s="616">
        <v>0</v>
      </c>
    </row>
    <row r="159" spans="1:14" ht="14.4" customHeight="1" x14ac:dyDescent="0.3">
      <c r="A159" s="611" t="s">
        <v>531</v>
      </c>
      <c r="B159" s="612" t="s">
        <v>532</v>
      </c>
      <c r="C159" s="613" t="s">
        <v>545</v>
      </c>
      <c r="D159" s="614" t="s">
        <v>1105</v>
      </c>
      <c r="E159" s="613" t="s">
        <v>551</v>
      </c>
      <c r="F159" s="614" t="s">
        <v>1106</v>
      </c>
      <c r="G159" s="613" t="s">
        <v>552</v>
      </c>
      <c r="H159" s="613" t="s">
        <v>606</v>
      </c>
      <c r="I159" s="613" t="s">
        <v>189</v>
      </c>
      <c r="J159" s="613" t="s">
        <v>607</v>
      </c>
      <c r="K159" s="613" t="s">
        <v>608</v>
      </c>
      <c r="L159" s="615">
        <v>23.700248436503735</v>
      </c>
      <c r="M159" s="615">
        <v>312</v>
      </c>
      <c r="N159" s="616">
        <v>7394.4775121891653</v>
      </c>
    </row>
    <row r="160" spans="1:14" ht="14.4" customHeight="1" x14ac:dyDescent="0.3">
      <c r="A160" s="611" t="s">
        <v>531</v>
      </c>
      <c r="B160" s="612" t="s">
        <v>532</v>
      </c>
      <c r="C160" s="613" t="s">
        <v>545</v>
      </c>
      <c r="D160" s="614" t="s">
        <v>1105</v>
      </c>
      <c r="E160" s="613" t="s">
        <v>551</v>
      </c>
      <c r="F160" s="614" t="s">
        <v>1106</v>
      </c>
      <c r="G160" s="613" t="s">
        <v>552</v>
      </c>
      <c r="H160" s="613" t="s">
        <v>897</v>
      </c>
      <c r="I160" s="613" t="s">
        <v>898</v>
      </c>
      <c r="J160" s="613" t="s">
        <v>899</v>
      </c>
      <c r="K160" s="613" t="s">
        <v>900</v>
      </c>
      <c r="L160" s="615">
        <v>34.023333333333333</v>
      </c>
      <c r="M160" s="615">
        <v>3</v>
      </c>
      <c r="N160" s="616">
        <v>102.07</v>
      </c>
    </row>
    <row r="161" spans="1:14" ht="14.4" customHeight="1" x14ac:dyDescent="0.3">
      <c r="A161" s="611" t="s">
        <v>531</v>
      </c>
      <c r="B161" s="612" t="s">
        <v>532</v>
      </c>
      <c r="C161" s="613" t="s">
        <v>545</v>
      </c>
      <c r="D161" s="614" t="s">
        <v>1105</v>
      </c>
      <c r="E161" s="613" t="s">
        <v>551</v>
      </c>
      <c r="F161" s="614" t="s">
        <v>1106</v>
      </c>
      <c r="G161" s="613" t="s">
        <v>552</v>
      </c>
      <c r="H161" s="613" t="s">
        <v>725</v>
      </c>
      <c r="I161" s="613" t="s">
        <v>726</v>
      </c>
      <c r="J161" s="613" t="s">
        <v>727</v>
      </c>
      <c r="K161" s="613" t="s">
        <v>728</v>
      </c>
      <c r="L161" s="615">
        <v>21.8583125</v>
      </c>
      <c r="M161" s="615">
        <v>32</v>
      </c>
      <c r="N161" s="616">
        <v>699.46600000000001</v>
      </c>
    </row>
    <row r="162" spans="1:14" ht="14.4" customHeight="1" x14ac:dyDescent="0.3">
      <c r="A162" s="611" t="s">
        <v>531</v>
      </c>
      <c r="B162" s="612" t="s">
        <v>532</v>
      </c>
      <c r="C162" s="613" t="s">
        <v>545</v>
      </c>
      <c r="D162" s="614" t="s">
        <v>1105</v>
      </c>
      <c r="E162" s="613" t="s">
        <v>551</v>
      </c>
      <c r="F162" s="614" t="s">
        <v>1106</v>
      </c>
      <c r="G162" s="613" t="s">
        <v>552</v>
      </c>
      <c r="H162" s="613" t="s">
        <v>901</v>
      </c>
      <c r="I162" s="613" t="s">
        <v>902</v>
      </c>
      <c r="J162" s="613" t="s">
        <v>903</v>
      </c>
      <c r="K162" s="613" t="s">
        <v>728</v>
      </c>
      <c r="L162" s="615">
        <v>37.143333333333338</v>
      </c>
      <c r="M162" s="615">
        <v>30</v>
      </c>
      <c r="N162" s="616">
        <v>1114.3000000000002</v>
      </c>
    </row>
    <row r="163" spans="1:14" ht="14.4" customHeight="1" x14ac:dyDescent="0.3">
      <c r="A163" s="611" t="s">
        <v>531</v>
      </c>
      <c r="B163" s="612" t="s">
        <v>532</v>
      </c>
      <c r="C163" s="613" t="s">
        <v>545</v>
      </c>
      <c r="D163" s="614" t="s">
        <v>1105</v>
      </c>
      <c r="E163" s="613" t="s">
        <v>551</v>
      </c>
      <c r="F163" s="614" t="s">
        <v>1106</v>
      </c>
      <c r="G163" s="613" t="s">
        <v>552</v>
      </c>
      <c r="H163" s="613" t="s">
        <v>729</v>
      </c>
      <c r="I163" s="613" t="s">
        <v>730</v>
      </c>
      <c r="J163" s="613" t="s">
        <v>731</v>
      </c>
      <c r="K163" s="613" t="s">
        <v>732</v>
      </c>
      <c r="L163" s="615">
        <v>34.197875567735323</v>
      </c>
      <c r="M163" s="615">
        <v>5</v>
      </c>
      <c r="N163" s="616">
        <v>170.98937783867663</v>
      </c>
    </row>
    <row r="164" spans="1:14" ht="14.4" customHeight="1" x14ac:dyDescent="0.3">
      <c r="A164" s="611" t="s">
        <v>531</v>
      </c>
      <c r="B164" s="612" t="s">
        <v>532</v>
      </c>
      <c r="C164" s="613" t="s">
        <v>545</v>
      </c>
      <c r="D164" s="614" t="s">
        <v>1105</v>
      </c>
      <c r="E164" s="613" t="s">
        <v>551</v>
      </c>
      <c r="F164" s="614" t="s">
        <v>1106</v>
      </c>
      <c r="G164" s="613" t="s">
        <v>552</v>
      </c>
      <c r="H164" s="613" t="s">
        <v>609</v>
      </c>
      <c r="I164" s="613" t="s">
        <v>189</v>
      </c>
      <c r="J164" s="613" t="s">
        <v>610</v>
      </c>
      <c r="K164" s="613" t="s">
        <v>611</v>
      </c>
      <c r="L164" s="615">
        <v>199.67000000000004</v>
      </c>
      <c r="M164" s="615">
        <v>3</v>
      </c>
      <c r="N164" s="616">
        <v>599.0100000000001</v>
      </c>
    </row>
    <row r="165" spans="1:14" ht="14.4" customHeight="1" x14ac:dyDescent="0.3">
      <c r="A165" s="611" t="s">
        <v>531</v>
      </c>
      <c r="B165" s="612" t="s">
        <v>532</v>
      </c>
      <c r="C165" s="613" t="s">
        <v>545</v>
      </c>
      <c r="D165" s="614" t="s">
        <v>1105</v>
      </c>
      <c r="E165" s="613" t="s">
        <v>551</v>
      </c>
      <c r="F165" s="614" t="s">
        <v>1106</v>
      </c>
      <c r="G165" s="613" t="s">
        <v>552</v>
      </c>
      <c r="H165" s="613" t="s">
        <v>733</v>
      </c>
      <c r="I165" s="613" t="s">
        <v>734</v>
      </c>
      <c r="J165" s="613" t="s">
        <v>735</v>
      </c>
      <c r="K165" s="613" t="s">
        <v>736</v>
      </c>
      <c r="L165" s="615">
        <v>71.013333333333321</v>
      </c>
      <c r="M165" s="615">
        <v>6</v>
      </c>
      <c r="N165" s="616">
        <v>426.07999999999993</v>
      </c>
    </row>
    <row r="166" spans="1:14" ht="14.4" customHeight="1" x14ac:dyDescent="0.3">
      <c r="A166" s="611" t="s">
        <v>531</v>
      </c>
      <c r="B166" s="612" t="s">
        <v>532</v>
      </c>
      <c r="C166" s="613" t="s">
        <v>545</v>
      </c>
      <c r="D166" s="614" t="s">
        <v>1105</v>
      </c>
      <c r="E166" s="613" t="s">
        <v>551</v>
      </c>
      <c r="F166" s="614" t="s">
        <v>1106</v>
      </c>
      <c r="G166" s="613" t="s">
        <v>552</v>
      </c>
      <c r="H166" s="613" t="s">
        <v>904</v>
      </c>
      <c r="I166" s="613" t="s">
        <v>905</v>
      </c>
      <c r="J166" s="613" t="s">
        <v>906</v>
      </c>
      <c r="K166" s="613" t="s">
        <v>907</v>
      </c>
      <c r="L166" s="615">
        <v>51.74999999999995</v>
      </c>
      <c r="M166" s="615">
        <v>1</v>
      </c>
      <c r="N166" s="616">
        <v>51.74999999999995</v>
      </c>
    </row>
    <row r="167" spans="1:14" ht="14.4" customHeight="1" x14ac:dyDescent="0.3">
      <c r="A167" s="611" t="s">
        <v>531</v>
      </c>
      <c r="B167" s="612" t="s">
        <v>532</v>
      </c>
      <c r="C167" s="613" t="s">
        <v>545</v>
      </c>
      <c r="D167" s="614" t="s">
        <v>1105</v>
      </c>
      <c r="E167" s="613" t="s">
        <v>551</v>
      </c>
      <c r="F167" s="614" t="s">
        <v>1106</v>
      </c>
      <c r="G167" s="613" t="s">
        <v>552</v>
      </c>
      <c r="H167" s="613" t="s">
        <v>908</v>
      </c>
      <c r="I167" s="613" t="s">
        <v>909</v>
      </c>
      <c r="J167" s="613" t="s">
        <v>910</v>
      </c>
      <c r="K167" s="613" t="s">
        <v>911</v>
      </c>
      <c r="L167" s="615">
        <v>112.16832282117539</v>
      </c>
      <c r="M167" s="615">
        <v>1</v>
      </c>
      <c r="N167" s="616">
        <v>112.16832282117539</v>
      </c>
    </row>
    <row r="168" spans="1:14" ht="14.4" customHeight="1" x14ac:dyDescent="0.3">
      <c r="A168" s="611" t="s">
        <v>531</v>
      </c>
      <c r="B168" s="612" t="s">
        <v>532</v>
      </c>
      <c r="C168" s="613" t="s">
        <v>545</v>
      </c>
      <c r="D168" s="614" t="s">
        <v>1105</v>
      </c>
      <c r="E168" s="613" t="s">
        <v>551</v>
      </c>
      <c r="F168" s="614" t="s">
        <v>1106</v>
      </c>
      <c r="G168" s="613" t="s">
        <v>552</v>
      </c>
      <c r="H168" s="613" t="s">
        <v>612</v>
      </c>
      <c r="I168" s="613" t="s">
        <v>613</v>
      </c>
      <c r="J168" s="613" t="s">
        <v>614</v>
      </c>
      <c r="K168" s="613"/>
      <c r="L168" s="615">
        <v>370.24755174659339</v>
      </c>
      <c r="M168" s="615">
        <v>6</v>
      </c>
      <c r="N168" s="616">
        <v>2221.4853104795602</v>
      </c>
    </row>
    <row r="169" spans="1:14" ht="14.4" customHeight="1" x14ac:dyDescent="0.3">
      <c r="A169" s="611" t="s">
        <v>531</v>
      </c>
      <c r="B169" s="612" t="s">
        <v>532</v>
      </c>
      <c r="C169" s="613" t="s">
        <v>545</v>
      </c>
      <c r="D169" s="614" t="s">
        <v>1105</v>
      </c>
      <c r="E169" s="613" t="s">
        <v>551</v>
      </c>
      <c r="F169" s="614" t="s">
        <v>1106</v>
      </c>
      <c r="G169" s="613" t="s">
        <v>552</v>
      </c>
      <c r="H169" s="613" t="s">
        <v>912</v>
      </c>
      <c r="I169" s="613" t="s">
        <v>189</v>
      </c>
      <c r="J169" s="613" t="s">
        <v>913</v>
      </c>
      <c r="K169" s="613"/>
      <c r="L169" s="615">
        <v>61.63</v>
      </c>
      <c r="M169" s="615">
        <v>1</v>
      </c>
      <c r="N169" s="616">
        <v>61.63</v>
      </c>
    </row>
    <row r="170" spans="1:14" ht="14.4" customHeight="1" x14ac:dyDescent="0.3">
      <c r="A170" s="611" t="s">
        <v>531</v>
      </c>
      <c r="B170" s="612" t="s">
        <v>532</v>
      </c>
      <c r="C170" s="613" t="s">
        <v>545</v>
      </c>
      <c r="D170" s="614" t="s">
        <v>1105</v>
      </c>
      <c r="E170" s="613" t="s">
        <v>551</v>
      </c>
      <c r="F170" s="614" t="s">
        <v>1106</v>
      </c>
      <c r="G170" s="613" t="s">
        <v>552</v>
      </c>
      <c r="H170" s="613" t="s">
        <v>615</v>
      </c>
      <c r="I170" s="613" t="s">
        <v>189</v>
      </c>
      <c r="J170" s="613" t="s">
        <v>616</v>
      </c>
      <c r="K170" s="613"/>
      <c r="L170" s="615">
        <v>181.12169855759618</v>
      </c>
      <c r="M170" s="615">
        <v>5</v>
      </c>
      <c r="N170" s="616">
        <v>905.60849278798082</v>
      </c>
    </row>
    <row r="171" spans="1:14" ht="14.4" customHeight="1" x14ac:dyDescent="0.3">
      <c r="A171" s="611" t="s">
        <v>531</v>
      </c>
      <c r="B171" s="612" t="s">
        <v>532</v>
      </c>
      <c r="C171" s="613" t="s">
        <v>545</v>
      </c>
      <c r="D171" s="614" t="s">
        <v>1105</v>
      </c>
      <c r="E171" s="613" t="s">
        <v>551</v>
      </c>
      <c r="F171" s="614" t="s">
        <v>1106</v>
      </c>
      <c r="G171" s="613" t="s">
        <v>552</v>
      </c>
      <c r="H171" s="613" t="s">
        <v>914</v>
      </c>
      <c r="I171" s="613" t="s">
        <v>915</v>
      </c>
      <c r="J171" s="613" t="s">
        <v>916</v>
      </c>
      <c r="K171" s="613" t="s">
        <v>917</v>
      </c>
      <c r="L171" s="615">
        <v>53.063333333333333</v>
      </c>
      <c r="M171" s="615">
        <v>3</v>
      </c>
      <c r="N171" s="616">
        <v>159.19</v>
      </c>
    </row>
    <row r="172" spans="1:14" ht="14.4" customHeight="1" x14ac:dyDescent="0.3">
      <c r="A172" s="611" t="s">
        <v>531</v>
      </c>
      <c r="B172" s="612" t="s">
        <v>532</v>
      </c>
      <c r="C172" s="613" t="s">
        <v>545</v>
      </c>
      <c r="D172" s="614" t="s">
        <v>1105</v>
      </c>
      <c r="E172" s="613" t="s">
        <v>551</v>
      </c>
      <c r="F172" s="614" t="s">
        <v>1106</v>
      </c>
      <c r="G172" s="613" t="s">
        <v>552</v>
      </c>
      <c r="H172" s="613" t="s">
        <v>918</v>
      </c>
      <c r="I172" s="613" t="s">
        <v>919</v>
      </c>
      <c r="J172" s="613" t="s">
        <v>920</v>
      </c>
      <c r="K172" s="613" t="s">
        <v>921</v>
      </c>
      <c r="L172" s="615">
        <v>584.47999749310395</v>
      </c>
      <c r="M172" s="615">
        <v>3</v>
      </c>
      <c r="N172" s="616">
        <v>1753.439992479312</v>
      </c>
    </row>
    <row r="173" spans="1:14" ht="14.4" customHeight="1" x14ac:dyDescent="0.3">
      <c r="A173" s="611" t="s">
        <v>531</v>
      </c>
      <c r="B173" s="612" t="s">
        <v>532</v>
      </c>
      <c r="C173" s="613" t="s">
        <v>545</v>
      </c>
      <c r="D173" s="614" t="s">
        <v>1105</v>
      </c>
      <c r="E173" s="613" t="s">
        <v>551</v>
      </c>
      <c r="F173" s="614" t="s">
        <v>1106</v>
      </c>
      <c r="G173" s="613" t="s">
        <v>552</v>
      </c>
      <c r="H173" s="613" t="s">
        <v>922</v>
      </c>
      <c r="I173" s="613" t="s">
        <v>923</v>
      </c>
      <c r="J173" s="613" t="s">
        <v>924</v>
      </c>
      <c r="K173" s="613" t="s">
        <v>925</v>
      </c>
      <c r="L173" s="615">
        <v>34.950909090909086</v>
      </c>
      <c r="M173" s="615">
        <v>110</v>
      </c>
      <c r="N173" s="616">
        <v>3844.5999999999995</v>
      </c>
    </row>
    <row r="174" spans="1:14" ht="14.4" customHeight="1" x14ac:dyDescent="0.3">
      <c r="A174" s="611" t="s">
        <v>531</v>
      </c>
      <c r="B174" s="612" t="s">
        <v>532</v>
      </c>
      <c r="C174" s="613" t="s">
        <v>545</v>
      </c>
      <c r="D174" s="614" t="s">
        <v>1105</v>
      </c>
      <c r="E174" s="613" t="s">
        <v>551</v>
      </c>
      <c r="F174" s="614" t="s">
        <v>1106</v>
      </c>
      <c r="G174" s="613" t="s">
        <v>552</v>
      </c>
      <c r="H174" s="613" t="s">
        <v>619</v>
      </c>
      <c r="I174" s="613" t="s">
        <v>620</v>
      </c>
      <c r="J174" s="613" t="s">
        <v>621</v>
      </c>
      <c r="K174" s="613" t="s">
        <v>622</v>
      </c>
      <c r="L174" s="615">
        <v>32.28997092767969</v>
      </c>
      <c r="M174" s="615">
        <v>3</v>
      </c>
      <c r="N174" s="616">
        <v>96.869912783039069</v>
      </c>
    </row>
    <row r="175" spans="1:14" ht="14.4" customHeight="1" x14ac:dyDescent="0.3">
      <c r="A175" s="611" t="s">
        <v>531</v>
      </c>
      <c r="B175" s="612" t="s">
        <v>532</v>
      </c>
      <c r="C175" s="613" t="s">
        <v>545</v>
      </c>
      <c r="D175" s="614" t="s">
        <v>1105</v>
      </c>
      <c r="E175" s="613" t="s">
        <v>551</v>
      </c>
      <c r="F175" s="614" t="s">
        <v>1106</v>
      </c>
      <c r="G175" s="613" t="s">
        <v>552</v>
      </c>
      <c r="H175" s="613" t="s">
        <v>926</v>
      </c>
      <c r="I175" s="613" t="s">
        <v>927</v>
      </c>
      <c r="J175" s="613" t="s">
        <v>928</v>
      </c>
      <c r="K175" s="613" t="s">
        <v>736</v>
      </c>
      <c r="L175" s="615">
        <v>30.364906770019395</v>
      </c>
      <c r="M175" s="615">
        <v>2</v>
      </c>
      <c r="N175" s="616">
        <v>60.729813540038791</v>
      </c>
    </row>
    <row r="176" spans="1:14" ht="14.4" customHeight="1" x14ac:dyDescent="0.3">
      <c r="A176" s="611" t="s">
        <v>531</v>
      </c>
      <c r="B176" s="612" t="s">
        <v>532</v>
      </c>
      <c r="C176" s="613" t="s">
        <v>545</v>
      </c>
      <c r="D176" s="614" t="s">
        <v>1105</v>
      </c>
      <c r="E176" s="613" t="s">
        <v>551</v>
      </c>
      <c r="F176" s="614" t="s">
        <v>1106</v>
      </c>
      <c r="G176" s="613" t="s">
        <v>552</v>
      </c>
      <c r="H176" s="613" t="s">
        <v>929</v>
      </c>
      <c r="I176" s="613" t="s">
        <v>930</v>
      </c>
      <c r="J176" s="613" t="s">
        <v>931</v>
      </c>
      <c r="K176" s="613" t="s">
        <v>932</v>
      </c>
      <c r="L176" s="615">
        <v>19.730500000000003</v>
      </c>
      <c r="M176" s="615">
        <v>200</v>
      </c>
      <c r="N176" s="616">
        <v>3946.1000000000004</v>
      </c>
    </row>
    <row r="177" spans="1:14" ht="14.4" customHeight="1" x14ac:dyDescent="0.3">
      <c r="A177" s="611" t="s">
        <v>531</v>
      </c>
      <c r="B177" s="612" t="s">
        <v>532</v>
      </c>
      <c r="C177" s="613" t="s">
        <v>545</v>
      </c>
      <c r="D177" s="614" t="s">
        <v>1105</v>
      </c>
      <c r="E177" s="613" t="s">
        <v>551</v>
      </c>
      <c r="F177" s="614" t="s">
        <v>1106</v>
      </c>
      <c r="G177" s="613" t="s">
        <v>552</v>
      </c>
      <c r="H177" s="613" t="s">
        <v>933</v>
      </c>
      <c r="I177" s="613" t="s">
        <v>933</v>
      </c>
      <c r="J177" s="613" t="s">
        <v>934</v>
      </c>
      <c r="K177" s="613" t="s">
        <v>935</v>
      </c>
      <c r="L177" s="615">
        <v>698.2899999999994</v>
      </c>
      <c r="M177" s="615">
        <v>1</v>
      </c>
      <c r="N177" s="616">
        <v>698.2899999999994</v>
      </c>
    </row>
    <row r="178" spans="1:14" ht="14.4" customHeight="1" x14ac:dyDescent="0.3">
      <c r="A178" s="611" t="s">
        <v>531</v>
      </c>
      <c r="B178" s="612" t="s">
        <v>532</v>
      </c>
      <c r="C178" s="613" t="s">
        <v>545</v>
      </c>
      <c r="D178" s="614" t="s">
        <v>1105</v>
      </c>
      <c r="E178" s="613" t="s">
        <v>551</v>
      </c>
      <c r="F178" s="614" t="s">
        <v>1106</v>
      </c>
      <c r="G178" s="613" t="s">
        <v>552</v>
      </c>
      <c r="H178" s="613" t="s">
        <v>936</v>
      </c>
      <c r="I178" s="613" t="s">
        <v>937</v>
      </c>
      <c r="J178" s="613" t="s">
        <v>938</v>
      </c>
      <c r="K178" s="613" t="s">
        <v>939</v>
      </c>
      <c r="L178" s="615">
        <v>214.16967177463545</v>
      </c>
      <c r="M178" s="615">
        <v>2</v>
      </c>
      <c r="N178" s="616">
        <v>428.33934354927089</v>
      </c>
    </row>
    <row r="179" spans="1:14" ht="14.4" customHeight="1" x14ac:dyDescent="0.3">
      <c r="A179" s="611" t="s">
        <v>531</v>
      </c>
      <c r="B179" s="612" t="s">
        <v>532</v>
      </c>
      <c r="C179" s="613" t="s">
        <v>545</v>
      </c>
      <c r="D179" s="614" t="s">
        <v>1105</v>
      </c>
      <c r="E179" s="613" t="s">
        <v>551</v>
      </c>
      <c r="F179" s="614" t="s">
        <v>1106</v>
      </c>
      <c r="G179" s="613" t="s">
        <v>552</v>
      </c>
      <c r="H179" s="613" t="s">
        <v>940</v>
      </c>
      <c r="I179" s="613" t="s">
        <v>940</v>
      </c>
      <c r="J179" s="613" t="s">
        <v>941</v>
      </c>
      <c r="K179" s="613" t="s">
        <v>942</v>
      </c>
      <c r="L179" s="615">
        <v>742.45982943163767</v>
      </c>
      <c r="M179" s="615">
        <v>2</v>
      </c>
      <c r="N179" s="616">
        <v>1484.9196588632753</v>
      </c>
    </row>
    <row r="180" spans="1:14" ht="14.4" customHeight="1" x14ac:dyDescent="0.3">
      <c r="A180" s="611" t="s">
        <v>531</v>
      </c>
      <c r="B180" s="612" t="s">
        <v>532</v>
      </c>
      <c r="C180" s="613" t="s">
        <v>545</v>
      </c>
      <c r="D180" s="614" t="s">
        <v>1105</v>
      </c>
      <c r="E180" s="613" t="s">
        <v>551</v>
      </c>
      <c r="F180" s="614" t="s">
        <v>1106</v>
      </c>
      <c r="G180" s="613" t="s">
        <v>552</v>
      </c>
      <c r="H180" s="613" t="s">
        <v>623</v>
      </c>
      <c r="I180" s="613" t="s">
        <v>624</v>
      </c>
      <c r="J180" s="613" t="s">
        <v>625</v>
      </c>
      <c r="K180" s="613" t="s">
        <v>626</v>
      </c>
      <c r="L180" s="615">
        <v>84.380000000000052</v>
      </c>
      <c r="M180" s="615">
        <v>1</v>
      </c>
      <c r="N180" s="616">
        <v>84.380000000000052</v>
      </c>
    </row>
    <row r="181" spans="1:14" ht="14.4" customHeight="1" x14ac:dyDescent="0.3">
      <c r="A181" s="611" t="s">
        <v>531</v>
      </c>
      <c r="B181" s="612" t="s">
        <v>532</v>
      </c>
      <c r="C181" s="613" t="s">
        <v>545</v>
      </c>
      <c r="D181" s="614" t="s">
        <v>1105</v>
      </c>
      <c r="E181" s="613" t="s">
        <v>551</v>
      </c>
      <c r="F181" s="614" t="s">
        <v>1106</v>
      </c>
      <c r="G181" s="613" t="s">
        <v>552</v>
      </c>
      <c r="H181" s="613" t="s">
        <v>633</v>
      </c>
      <c r="I181" s="613" t="s">
        <v>189</v>
      </c>
      <c r="J181" s="613" t="s">
        <v>634</v>
      </c>
      <c r="K181" s="613"/>
      <c r="L181" s="615">
        <v>55.005991526739194</v>
      </c>
      <c r="M181" s="615">
        <v>133</v>
      </c>
      <c r="N181" s="616">
        <v>7315.7968730563125</v>
      </c>
    </row>
    <row r="182" spans="1:14" ht="14.4" customHeight="1" x14ac:dyDescent="0.3">
      <c r="A182" s="611" t="s">
        <v>531</v>
      </c>
      <c r="B182" s="612" t="s">
        <v>532</v>
      </c>
      <c r="C182" s="613" t="s">
        <v>545</v>
      </c>
      <c r="D182" s="614" t="s">
        <v>1105</v>
      </c>
      <c r="E182" s="613" t="s">
        <v>551</v>
      </c>
      <c r="F182" s="614" t="s">
        <v>1106</v>
      </c>
      <c r="G182" s="613" t="s">
        <v>552</v>
      </c>
      <c r="H182" s="613" t="s">
        <v>643</v>
      </c>
      <c r="I182" s="613" t="s">
        <v>189</v>
      </c>
      <c r="J182" s="613" t="s">
        <v>644</v>
      </c>
      <c r="K182" s="613"/>
      <c r="L182" s="615">
        <v>48.473638258190242</v>
      </c>
      <c r="M182" s="615">
        <v>39</v>
      </c>
      <c r="N182" s="616">
        <v>1890.4718920694195</v>
      </c>
    </row>
    <row r="183" spans="1:14" ht="14.4" customHeight="1" x14ac:dyDescent="0.3">
      <c r="A183" s="611" t="s">
        <v>531</v>
      </c>
      <c r="B183" s="612" t="s">
        <v>532</v>
      </c>
      <c r="C183" s="613" t="s">
        <v>545</v>
      </c>
      <c r="D183" s="614" t="s">
        <v>1105</v>
      </c>
      <c r="E183" s="613" t="s">
        <v>551</v>
      </c>
      <c r="F183" s="614" t="s">
        <v>1106</v>
      </c>
      <c r="G183" s="613" t="s">
        <v>552</v>
      </c>
      <c r="H183" s="613" t="s">
        <v>647</v>
      </c>
      <c r="I183" s="613" t="s">
        <v>189</v>
      </c>
      <c r="J183" s="613" t="s">
        <v>648</v>
      </c>
      <c r="K183" s="613"/>
      <c r="L183" s="615">
        <v>101.2312943738081</v>
      </c>
      <c r="M183" s="615">
        <v>48</v>
      </c>
      <c r="N183" s="616">
        <v>4859.1021299427885</v>
      </c>
    </row>
    <row r="184" spans="1:14" ht="14.4" customHeight="1" x14ac:dyDescent="0.3">
      <c r="A184" s="611" t="s">
        <v>531</v>
      </c>
      <c r="B184" s="612" t="s">
        <v>532</v>
      </c>
      <c r="C184" s="613" t="s">
        <v>545</v>
      </c>
      <c r="D184" s="614" t="s">
        <v>1105</v>
      </c>
      <c r="E184" s="613" t="s">
        <v>551</v>
      </c>
      <c r="F184" s="614" t="s">
        <v>1106</v>
      </c>
      <c r="G184" s="613" t="s">
        <v>552</v>
      </c>
      <c r="H184" s="613" t="s">
        <v>739</v>
      </c>
      <c r="I184" s="613" t="s">
        <v>740</v>
      </c>
      <c r="J184" s="613" t="s">
        <v>741</v>
      </c>
      <c r="K184" s="613" t="s">
        <v>742</v>
      </c>
      <c r="L184" s="615">
        <v>78.024748936023556</v>
      </c>
      <c r="M184" s="615">
        <v>6</v>
      </c>
      <c r="N184" s="616">
        <v>468.14849361614137</v>
      </c>
    </row>
    <row r="185" spans="1:14" ht="14.4" customHeight="1" x14ac:dyDescent="0.3">
      <c r="A185" s="611" t="s">
        <v>531</v>
      </c>
      <c r="B185" s="612" t="s">
        <v>532</v>
      </c>
      <c r="C185" s="613" t="s">
        <v>545</v>
      </c>
      <c r="D185" s="614" t="s">
        <v>1105</v>
      </c>
      <c r="E185" s="613" t="s">
        <v>551</v>
      </c>
      <c r="F185" s="614" t="s">
        <v>1106</v>
      </c>
      <c r="G185" s="613" t="s">
        <v>552</v>
      </c>
      <c r="H185" s="613" t="s">
        <v>743</v>
      </c>
      <c r="I185" s="613" t="s">
        <v>613</v>
      </c>
      <c r="J185" s="613" t="s">
        <v>744</v>
      </c>
      <c r="K185" s="613" t="s">
        <v>745</v>
      </c>
      <c r="L185" s="615">
        <v>320.24121024416735</v>
      </c>
      <c r="M185" s="615">
        <v>22</v>
      </c>
      <c r="N185" s="616">
        <v>7045.3066253716815</v>
      </c>
    </row>
    <row r="186" spans="1:14" ht="14.4" customHeight="1" x14ac:dyDescent="0.3">
      <c r="A186" s="611" t="s">
        <v>531</v>
      </c>
      <c r="B186" s="612" t="s">
        <v>532</v>
      </c>
      <c r="C186" s="613" t="s">
        <v>545</v>
      </c>
      <c r="D186" s="614" t="s">
        <v>1105</v>
      </c>
      <c r="E186" s="613" t="s">
        <v>551</v>
      </c>
      <c r="F186" s="614" t="s">
        <v>1106</v>
      </c>
      <c r="G186" s="613" t="s">
        <v>552</v>
      </c>
      <c r="H186" s="613" t="s">
        <v>649</v>
      </c>
      <c r="I186" s="613" t="s">
        <v>189</v>
      </c>
      <c r="J186" s="613" t="s">
        <v>650</v>
      </c>
      <c r="K186" s="613"/>
      <c r="L186" s="615">
        <v>144.51843568252397</v>
      </c>
      <c r="M186" s="615">
        <v>32</v>
      </c>
      <c r="N186" s="616">
        <v>4624.5899418407671</v>
      </c>
    </row>
    <row r="187" spans="1:14" ht="14.4" customHeight="1" x14ac:dyDescent="0.3">
      <c r="A187" s="611" t="s">
        <v>531</v>
      </c>
      <c r="B187" s="612" t="s">
        <v>532</v>
      </c>
      <c r="C187" s="613" t="s">
        <v>545</v>
      </c>
      <c r="D187" s="614" t="s">
        <v>1105</v>
      </c>
      <c r="E187" s="613" t="s">
        <v>551</v>
      </c>
      <c r="F187" s="614" t="s">
        <v>1106</v>
      </c>
      <c r="G187" s="613" t="s">
        <v>552</v>
      </c>
      <c r="H187" s="613" t="s">
        <v>746</v>
      </c>
      <c r="I187" s="613" t="s">
        <v>613</v>
      </c>
      <c r="J187" s="613" t="s">
        <v>747</v>
      </c>
      <c r="K187" s="613" t="s">
        <v>748</v>
      </c>
      <c r="L187" s="615">
        <v>219.79289194664474</v>
      </c>
      <c r="M187" s="615">
        <v>17</v>
      </c>
      <c r="N187" s="616">
        <v>3736.4791630929608</v>
      </c>
    </row>
    <row r="188" spans="1:14" ht="14.4" customHeight="1" x14ac:dyDescent="0.3">
      <c r="A188" s="611" t="s">
        <v>531</v>
      </c>
      <c r="B188" s="612" t="s">
        <v>532</v>
      </c>
      <c r="C188" s="613" t="s">
        <v>545</v>
      </c>
      <c r="D188" s="614" t="s">
        <v>1105</v>
      </c>
      <c r="E188" s="613" t="s">
        <v>551</v>
      </c>
      <c r="F188" s="614" t="s">
        <v>1106</v>
      </c>
      <c r="G188" s="613" t="s">
        <v>552</v>
      </c>
      <c r="H188" s="613" t="s">
        <v>749</v>
      </c>
      <c r="I188" s="613" t="s">
        <v>189</v>
      </c>
      <c r="J188" s="613" t="s">
        <v>750</v>
      </c>
      <c r="K188" s="613"/>
      <c r="L188" s="615">
        <v>74.634477816924104</v>
      </c>
      <c r="M188" s="615">
        <v>1</v>
      </c>
      <c r="N188" s="616">
        <v>74.634477816924104</v>
      </c>
    </row>
    <row r="189" spans="1:14" ht="14.4" customHeight="1" x14ac:dyDescent="0.3">
      <c r="A189" s="611" t="s">
        <v>531</v>
      </c>
      <c r="B189" s="612" t="s">
        <v>532</v>
      </c>
      <c r="C189" s="613" t="s">
        <v>545</v>
      </c>
      <c r="D189" s="614" t="s">
        <v>1105</v>
      </c>
      <c r="E189" s="613" t="s">
        <v>551</v>
      </c>
      <c r="F189" s="614" t="s">
        <v>1106</v>
      </c>
      <c r="G189" s="613" t="s">
        <v>552</v>
      </c>
      <c r="H189" s="613" t="s">
        <v>751</v>
      </c>
      <c r="I189" s="613" t="s">
        <v>189</v>
      </c>
      <c r="J189" s="613" t="s">
        <v>752</v>
      </c>
      <c r="K189" s="613"/>
      <c r="L189" s="615">
        <v>96.955970344154707</v>
      </c>
      <c r="M189" s="615">
        <v>33</v>
      </c>
      <c r="N189" s="616">
        <v>3199.5470213571052</v>
      </c>
    </row>
    <row r="190" spans="1:14" ht="14.4" customHeight="1" x14ac:dyDescent="0.3">
      <c r="A190" s="611" t="s">
        <v>531</v>
      </c>
      <c r="B190" s="612" t="s">
        <v>532</v>
      </c>
      <c r="C190" s="613" t="s">
        <v>545</v>
      </c>
      <c r="D190" s="614" t="s">
        <v>1105</v>
      </c>
      <c r="E190" s="613" t="s">
        <v>551</v>
      </c>
      <c r="F190" s="614" t="s">
        <v>1106</v>
      </c>
      <c r="G190" s="613" t="s">
        <v>552</v>
      </c>
      <c r="H190" s="613" t="s">
        <v>943</v>
      </c>
      <c r="I190" s="613" t="s">
        <v>189</v>
      </c>
      <c r="J190" s="613" t="s">
        <v>944</v>
      </c>
      <c r="K190" s="613"/>
      <c r="L190" s="615">
        <v>514.34178229157408</v>
      </c>
      <c r="M190" s="615">
        <v>3</v>
      </c>
      <c r="N190" s="616">
        <v>1543.0253468747223</v>
      </c>
    </row>
    <row r="191" spans="1:14" ht="14.4" customHeight="1" x14ac:dyDescent="0.3">
      <c r="A191" s="611" t="s">
        <v>531</v>
      </c>
      <c r="B191" s="612" t="s">
        <v>532</v>
      </c>
      <c r="C191" s="613" t="s">
        <v>545</v>
      </c>
      <c r="D191" s="614" t="s">
        <v>1105</v>
      </c>
      <c r="E191" s="613" t="s">
        <v>551</v>
      </c>
      <c r="F191" s="614" t="s">
        <v>1106</v>
      </c>
      <c r="G191" s="613" t="s">
        <v>552</v>
      </c>
      <c r="H191" s="613" t="s">
        <v>753</v>
      </c>
      <c r="I191" s="613" t="s">
        <v>754</v>
      </c>
      <c r="J191" s="613" t="s">
        <v>755</v>
      </c>
      <c r="K191" s="613" t="s">
        <v>756</v>
      </c>
      <c r="L191" s="615">
        <v>410.88999999999993</v>
      </c>
      <c r="M191" s="615">
        <v>11</v>
      </c>
      <c r="N191" s="616">
        <v>4519.7899999999991</v>
      </c>
    </row>
    <row r="192" spans="1:14" ht="14.4" customHeight="1" x14ac:dyDescent="0.3">
      <c r="A192" s="611" t="s">
        <v>531</v>
      </c>
      <c r="B192" s="612" t="s">
        <v>532</v>
      </c>
      <c r="C192" s="613" t="s">
        <v>545</v>
      </c>
      <c r="D192" s="614" t="s">
        <v>1105</v>
      </c>
      <c r="E192" s="613" t="s">
        <v>551</v>
      </c>
      <c r="F192" s="614" t="s">
        <v>1106</v>
      </c>
      <c r="G192" s="613" t="s">
        <v>552</v>
      </c>
      <c r="H192" s="613" t="s">
        <v>945</v>
      </c>
      <c r="I192" s="613" t="s">
        <v>946</v>
      </c>
      <c r="J192" s="613" t="s">
        <v>947</v>
      </c>
      <c r="K192" s="613" t="s">
        <v>948</v>
      </c>
      <c r="L192" s="615">
        <v>901.20617954287536</v>
      </c>
      <c r="M192" s="615">
        <v>17</v>
      </c>
      <c r="N192" s="616">
        <v>15320.50505222888</v>
      </c>
    </row>
    <row r="193" spans="1:14" ht="14.4" customHeight="1" x14ac:dyDescent="0.3">
      <c r="A193" s="611" t="s">
        <v>531</v>
      </c>
      <c r="B193" s="612" t="s">
        <v>532</v>
      </c>
      <c r="C193" s="613" t="s">
        <v>545</v>
      </c>
      <c r="D193" s="614" t="s">
        <v>1105</v>
      </c>
      <c r="E193" s="613" t="s">
        <v>551</v>
      </c>
      <c r="F193" s="614" t="s">
        <v>1106</v>
      </c>
      <c r="G193" s="613" t="s">
        <v>552</v>
      </c>
      <c r="H193" s="613" t="s">
        <v>949</v>
      </c>
      <c r="I193" s="613" t="s">
        <v>949</v>
      </c>
      <c r="J193" s="613" t="s">
        <v>950</v>
      </c>
      <c r="K193" s="613" t="s">
        <v>951</v>
      </c>
      <c r="L193" s="615">
        <v>7252.2098198426156</v>
      </c>
      <c r="M193" s="615">
        <v>15</v>
      </c>
      <c r="N193" s="616">
        <v>108783.14729763924</v>
      </c>
    </row>
    <row r="194" spans="1:14" ht="14.4" customHeight="1" x14ac:dyDescent="0.3">
      <c r="A194" s="611" t="s">
        <v>531</v>
      </c>
      <c r="B194" s="612" t="s">
        <v>532</v>
      </c>
      <c r="C194" s="613" t="s">
        <v>545</v>
      </c>
      <c r="D194" s="614" t="s">
        <v>1105</v>
      </c>
      <c r="E194" s="613" t="s">
        <v>551</v>
      </c>
      <c r="F194" s="614" t="s">
        <v>1106</v>
      </c>
      <c r="G194" s="613" t="s">
        <v>552</v>
      </c>
      <c r="H194" s="613" t="s">
        <v>952</v>
      </c>
      <c r="I194" s="613" t="s">
        <v>953</v>
      </c>
      <c r="J194" s="613" t="s">
        <v>931</v>
      </c>
      <c r="K194" s="613" t="s">
        <v>728</v>
      </c>
      <c r="L194" s="615">
        <v>18.20055555555555</v>
      </c>
      <c r="M194" s="615">
        <v>360</v>
      </c>
      <c r="N194" s="616">
        <v>6552.199999999998</v>
      </c>
    </row>
    <row r="195" spans="1:14" ht="14.4" customHeight="1" x14ac:dyDescent="0.3">
      <c r="A195" s="611" t="s">
        <v>531</v>
      </c>
      <c r="B195" s="612" t="s">
        <v>532</v>
      </c>
      <c r="C195" s="613" t="s">
        <v>545</v>
      </c>
      <c r="D195" s="614" t="s">
        <v>1105</v>
      </c>
      <c r="E195" s="613" t="s">
        <v>551</v>
      </c>
      <c r="F195" s="614" t="s">
        <v>1106</v>
      </c>
      <c r="G195" s="613" t="s">
        <v>552</v>
      </c>
      <c r="H195" s="613" t="s">
        <v>954</v>
      </c>
      <c r="I195" s="613" t="s">
        <v>955</v>
      </c>
      <c r="J195" s="613" t="s">
        <v>924</v>
      </c>
      <c r="K195" s="613" t="s">
        <v>956</v>
      </c>
      <c r="L195" s="615">
        <v>31.9425566343042</v>
      </c>
      <c r="M195" s="615">
        <v>309</v>
      </c>
      <c r="N195" s="616">
        <v>9870.2499999999982</v>
      </c>
    </row>
    <row r="196" spans="1:14" ht="14.4" customHeight="1" x14ac:dyDescent="0.3">
      <c r="A196" s="611" t="s">
        <v>531</v>
      </c>
      <c r="B196" s="612" t="s">
        <v>532</v>
      </c>
      <c r="C196" s="613" t="s">
        <v>545</v>
      </c>
      <c r="D196" s="614" t="s">
        <v>1105</v>
      </c>
      <c r="E196" s="613" t="s">
        <v>551</v>
      </c>
      <c r="F196" s="614" t="s">
        <v>1106</v>
      </c>
      <c r="G196" s="613" t="s">
        <v>552</v>
      </c>
      <c r="H196" s="613" t="s">
        <v>957</v>
      </c>
      <c r="I196" s="613" t="s">
        <v>958</v>
      </c>
      <c r="J196" s="613" t="s">
        <v>959</v>
      </c>
      <c r="K196" s="613" t="s">
        <v>960</v>
      </c>
      <c r="L196" s="615">
        <v>87.849516385204865</v>
      </c>
      <c r="M196" s="615">
        <v>7</v>
      </c>
      <c r="N196" s="616">
        <v>614.94661469643404</v>
      </c>
    </row>
    <row r="197" spans="1:14" ht="14.4" customHeight="1" x14ac:dyDescent="0.3">
      <c r="A197" s="611" t="s">
        <v>531</v>
      </c>
      <c r="B197" s="612" t="s">
        <v>532</v>
      </c>
      <c r="C197" s="613" t="s">
        <v>545</v>
      </c>
      <c r="D197" s="614" t="s">
        <v>1105</v>
      </c>
      <c r="E197" s="613" t="s">
        <v>551</v>
      </c>
      <c r="F197" s="614" t="s">
        <v>1106</v>
      </c>
      <c r="G197" s="613" t="s">
        <v>552</v>
      </c>
      <c r="H197" s="613" t="s">
        <v>961</v>
      </c>
      <c r="I197" s="613" t="s">
        <v>962</v>
      </c>
      <c r="J197" s="613" t="s">
        <v>963</v>
      </c>
      <c r="K197" s="613" t="s">
        <v>964</v>
      </c>
      <c r="L197" s="615">
        <v>17395.538510088769</v>
      </c>
      <c r="M197" s="615">
        <v>18</v>
      </c>
      <c r="N197" s="616">
        <v>313119.69318159786</v>
      </c>
    </row>
    <row r="198" spans="1:14" ht="14.4" customHeight="1" x14ac:dyDescent="0.3">
      <c r="A198" s="611" t="s">
        <v>531</v>
      </c>
      <c r="B198" s="612" t="s">
        <v>532</v>
      </c>
      <c r="C198" s="613" t="s">
        <v>545</v>
      </c>
      <c r="D198" s="614" t="s">
        <v>1105</v>
      </c>
      <c r="E198" s="613" t="s">
        <v>551</v>
      </c>
      <c r="F198" s="614" t="s">
        <v>1106</v>
      </c>
      <c r="G198" s="613" t="s">
        <v>552</v>
      </c>
      <c r="H198" s="613" t="s">
        <v>965</v>
      </c>
      <c r="I198" s="613" t="s">
        <v>966</v>
      </c>
      <c r="J198" s="613" t="s">
        <v>967</v>
      </c>
      <c r="K198" s="613" t="s">
        <v>968</v>
      </c>
      <c r="L198" s="615">
        <v>275.87855348617671</v>
      </c>
      <c r="M198" s="615">
        <v>26</v>
      </c>
      <c r="N198" s="616">
        <v>7172.8423906405951</v>
      </c>
    </row>
    <row r="199" spans="1:14" ht="14.4" customHeight="1" x14ac:dyDescent="0.3">
      <c r="A199" s="611" t="s">
        <v>531</v>
      </c>
      <c r="B199" s="612" t="s">
        <v>532</v>
      </c>
      <c r="C199" s="613" t="s">
        <v>545</v>
      </c>
      <c r="D199" s="614" t="s">
        <v>1105</v>
      </c>
      <c r="E199" s="613" t="s">
        <v>551</v>
      </c>
      <c r="F199" s="614" t="s">
        <v>1106</v>
      </c>
      <c r="G199" s="613" t="s">
        <v>552</v>
      </c>
      <c r="H199" s="613" t="s">
        <v>969</v>
      </c>
      <c r="I199" s="613" t="s">
        <v>189</v>
      </c>
      <c r="J199" s="613" t="s">
        <v>970</v>
      </c>
      <c r="K199" s="613" t="s">
        <v>971</v>
      </c>
      <c r="L199" s="615">
        <v>135.07911696659551</v>
      </c>
      <c r="M199" s="615">
        <v>1</v>
      </c>
      <c r="N199" s="616">
        <v>135.07911696659551</v>
      </c>
    </row>
    <row r="200" spans="1:14" ht="14.4" customHeight="1" x14ac:dyDescent="0.3">
      <c r="A200" s="611" t="s">
        <v>531</v>
      </c>
      <c r="B200" s="612" t="s">
        <v>532</v>
      </c>
      <c r="C200" s="613" t="s">
        <v>545</v>
      </c>
      <c r="D200" s="614" t="s">
        <v>1105</v>
      </c>
      <c r="E200" s="613" t="s">
        <v>551</v>
      </c>
      <c r="F200" s="614" t="s">
        <v>1106</v>
      </c>
      <c r="G200" s="613" t="s">
        <v>552</v>
      </c>
      <c r="H200" s="613" t="s">
        <v>972</v>
      </c>
      <c r="I200" s="613" t="s">
        <v>973</v>
      </c>
      <c r="J200" s="613" t="s">
        <v>974</v>
      </c>
      <c r="K200" s="613" t="s">
        <v>975</v>
      </c>
      <c r="L200" s="615">
        <v>2781.91</v>
      </c>
      <c r="M200" s="615">
        <v>9</v>
      </c>
      <c r="N200" s="616">
        <v>25037.19</v>
      </c>
    </row>
    <row r="201" spans="1:14" ht="14.4" customHeight="1" x14ac:dyDescent="0.3">
      <c r="A201" s="611" t="s">
        <v>531</v>
      </c>
      <c r="B201" s="612" t="s">
        <v>532</v>
      </c>
      <c r="C201" s="613" t="s">
        <v>545</v>
      </c>
      <c r="D201" s="614" t="s">
        <v>1105</v>
      </c>
      <c r="E201" s="613" t="s">
        <v>551</v>
      </c>
      <c r="F201" s="614" t="s">
        <v>1106</v>
      </c>
      <c r="G201" s="613" t="s">
        <v>552</v>
      </c>
      <c r="H201" s="613" t="s">
        <v>976</v>
      </c>
      <c r="I201" s="613" t="s">
        <v>189</v>
      </c>
      <c r="J201" s="613" t="s">
        <v>977</v>
      </c>
      <c r="K201" s="613"/>
      <c r="L201" s="615">
        <v>191.00644160936804</v>
      </c>
      <c r="M201" s="615">
        <v>2</v>
      </c>
      <c r="N201" s="616">
        <v>382.01288321873608</v>
      </c>
    </row>
    <row r="202" spans="1:14" ht="14.4" customHeight="1" x14ac:dyDescent="0.3">
      <c r="A202" s="611" t="s">
        <v>531</v>
      </c>
      <c r="B202" s="612" t="s">
        <v>532</v>
      </c>
      <c r="C202" s="613" t="s">
        <v>545</v>
      </c>
      <c r="D202" s="614" t="s">
        <v>1105</v>
      </c>
      <c r="E202" s="613" t="s">
        <v>551</v>
      </c>
      <c r="F202" s="614" t="s">
        <v>1106</v>
      </c>
      <c r="G202" s="613" t="s">
        <v>552</v>
      </c>
      <c r="H202" s="613" t="s">
        <v>978</v>
      </c>
      <c r="I202" s="613" t="s">
        <v>189</v>
      </c>
      <c r="J202" s="613" t="s">
        <v>979</v>
      </c>
      <c r="K202" s="613"/>
      <c r="L202" s="615">
        <v>132.75900955897208</v>
      </c>
      <c r="M202" s="615">
        <v>12</v>
      </c>
      <c r="N202" s="616">
        <v>1593.108114707665</v>
      </c>
    </row>
    <row r="203" spans="1:14" ht="14.4" customHeight="1" x14ac:dyDescent="0.3">
      <c r="A203" s="611" t="s">
        <v>531</v>
      </c>
      <c r="B203" s="612" t="s">
        <v>532</v>
      </c>
      <c r="C203" s="613" t="s">
        <v>545</v>
      </c>
      <c r="D203" s="614" t="s">
        <v>1105</v>
      </c>
      <c r="E203" s="613" t="s">
        <v>551</v>
      </c>
      <c r="F203" s="614" t="s">
        <v>1106</v>
      </c>
      <c r="G203" s="613" t="s">
        <v>552</v>
      </c>
      <c r="H203" s="613" t="s">
        <v>757</v>
      </c>
      <c r="I203" s="613" t="s">
        <v>189</v>
      </c>
      <c r="J203" s="613" t="s">
        <v>758</v>
      </c>
      <c r="K203" s="613"/>
      <c r="L203" s="615">
        <v>371.90570289540619</v>
      </c>
      <c r="M203" s="615">
        <v>4</v>
      </c>
      <c r="N203" s="616">
        <v>1487.6228115816248</v>
      </c>
    </row>
    <row r="204" spans="1:14" ht="14.4" customHeight="1" x14ac:dyDescent="0.3">
      <c r="A204" s="611" t="s">
        <v>531</v>
      </c>
      <c r="B204" s="612" t="s">
        <v>532</v>
      </c>
      <c r="C204" s="613" t="s">
        <v>545</v>
      </c>
      <c r="D204" s="614" t="s">
        <v>1105</v>
      </c>
      <c r="E204" s="613" t="s">
        <v>551</v>
      </c>
      <c r="F204" s="614" t="s">
        <v>1106</v>
      </c>
      <c r="G204" s="613" t="s">
        <v>552</v>
      </c>
      <c r="H204" s="613" t="s">
        <v>980</v>
      </c>
      <c r="I204" s="613" t="s">
        <v>189</v>
      </c>
      <c r="J204" s="613" t="s">
        <v>981</v>
      </c>
      <c r="K204" s="613"/>
      <c r="L204" s="615">
        <v>248.94793201808884</v>
      </c>
      <c r="M204" s="615">
        <v>3</v>
      </c>
      <c r="N204" s="616">
        <v>746.84379605426648</v>
      </c>
    </row>
    <row r="205" spans="1:14" ht="14.4" customHeight="1" x14ac:dyDescent="0.3">
      <c r="A205" s="611" t="s">
        <v>531</v>
      </c>
      <c r="B205" s="612" t="s">
        <v>532</v>
      </c>
      <c r="C205" s="613" t="s">
        <v>545</v>
      </c>
      <c r="D205" s="614" t="s">
        <v>1105</v>
      </c>
      <c r="E205" s="613" t="s">
        <v>551</v>
      </c>
      <c r="F205" s="614" t="s">
        <v>1106</v>
      </c>
      <c r="G205" s="613" t="s">
        <v>552</v>
      </c>
      <c r="H205" s="613" t="s">
        <v>982</v>
      </c>
      <c r="I205" s="613" t="s">
        <v>189</v>
      </c>
      <c r="J205" s="613" t="s">
        <v>983</v>
      </c>
      <c r="K205" s="613"/>
      <c r="L205" s="615">
        <v>275.28608390021088</v>
      </c>
      <c r="M205" s="615">
        <v>2</v>
      </c>
      <c r="N205" s="616">
        <v>550.57216780042177</v>
      </c>
    </row>
    <row r="206" spans="1:14" ht="14.4" customHeight="1" x14ac:dyDescent="0.3">
      <c r="A206" s="611" t="s">
        <v>531</v>
      </c>
      <c r="B206" s="612" t="s">
        <v>532</v>
      </c>
      <c r="C206" s="613" t="s">
        <v>545</v>
      </c>
      <c r="D206" s="614" t="s">
        <v>1105</v>
      </c>
      <c r="E206" s="613" t="s">
        <v>551</v>
      </c>
      <c r="F206" s="614" t="s">
        <v>1106</v>
      </c>
      <c r="G206" s="613" t="s">
        <v>552</v>
      </c>
      <c r="H206" s="613" t="s">
        <v>984</v>
      </c>
      <c r="I206" s="613" t="s">
        <v>189</v>
      </c>
      <c r="J206" s="613" t="s">
        <v>985</v>
      </c>
      <c r="K206" s="613"/>
      <c r="L206" s="615">
        <v>149.50291163676434</v>
      </c>
      <c r="M206" s="615">
        <v>21</v>
      </c>
      <c r="N206" s="616">
        <v>3139.5611443720509</v>
      </c>
    </row>
    <row r="207" spans="1:14" ht="14.4" customHeight="1" x14ac:dyDescent="0.3">
      <c r="A207" s="611" t="s">
        <v>531</v>
      </c>
      <c r="B207" s="612" t="s">
        <v>532</v>
      </c>
      <c r="C207" s="613" t="s">
        <v>545</v>
      </c>
      <c r="D207" s="614" t="s">
        <v>1105</v>
      </c>
      <c r="E207" s="613" t="s">
        <v>551</v>
      </c>
      <c r="F207" s="614" t="s">
        <v>1106</v>
      </c>
      <c r="G207" s="613" t="s">
        <v>552</v>
      </c>
      <c r="H207" s="613" t="s">
        <v>763</v>
      </c>
      <c r="I207" s="613" t="s">
        <v>189</v>
      </c>
      <c r="J207" s="613" t="s">
        <v>764</v>
      </c>
      <c r="K207" s="613"/>
      <c r="L207" s="615">
        <v>163.35000303331859</v>
      </c>
      <c r="M207" s="615">
        <v>1</v>
      </c>
      <c r="N207" s="616">
        <v>163.35000303331859</v>
      </c>
    </row>
    <row r="208" spans="1:14" ht="14.4" customHeight="1" x14ac:dyDescent="0.3">
      <c r="A208" s="611" t="s">
        <v>531</v>
      </c>
      <c r="B208" s="612" t="s">
        <v>532</v>
      </c>
      <c r="C208" s="613" t="s">
        <v>545</v>
      </c>
      <c r="D208" s="614" t="s">
        <v>1105</v>
      </c>
      <c r="E208" s="613" t="s">
        <v>551</v>
      </c>
      <c r="F208" s="614" t="s">
        <v>1106</v>
      </c>
      <c r="G208" s="613" t="s">
        <v>552</v>
      </c>
      <c r="H208" s="613" t="s">
        <v>654</v>
      </c>
      <c r="I208" s="613" t="s">
        <v>655</v>
      </c>
      <c r="J208" s="613" t="s">
        <v>656</v>
      </c>
      <c r="K208" s="613" t="s">
        <v>657</v>
      </c>
      <c r="L208" s="615">
        <v>82.909999999999982</v>
      </c>
      <c r="M208" s="615">
        <v>1</v>
      </c>
      <c r="N208" s="616">
        <v>82.909999999999982</v>
      </c>
    </row>
    <row r="209" spans="1:14" ht="14.4" customHeight="1" x14ac:dyDescent="0.3">
      <c r="A209" s="611" t="s">
        <v>531</v>
      </c>
      <c r="B209" s="612" t="s">
        <v>532</v>
      </c>
      <c r="C209" s="613" t="s">
        <v>545</v>
      </c>
      <c r="D209" s="614" t="s">
        <v>1105</v>
      </c>
      <c r="E209" s="613" t="s">
        <v>551</v>
      </c>
      <c r="F209" s="614" t="s">
        <v>1106</v>
      </c>
      <c r="G209" s="613" t="s">
        <v>552</v>
      </c>
      <c r="H209" s="613" t="s">
        <v>986</v>
      </c>
      <c r="I209" s="613" t="s">
        <v>986</v>
      </c>
      <c r="J209" s="613" t="s">
        <v>987</v>
      </c>
      <c r="K209" s="613" t="s">
        <v>988</v>
      </c>
      <c r="L209" s="615">
        <v>247.50014105972232</v>
      </c>
      <c r="M209" s="615">
        <v>4</v>
      </c>
      <c r="N209" s="616">
        <v>990.0005642388893</v>
      </c>
    </row>
    <row r="210" spans="1:14" ht="14.4" customHeight="1" x14ac:dyDescent="0.3">
      <c r="A210" s="611" t="s">
        <v>531</v>
      </c>
      <c r="B210" s="612" t="s">
        <v>532</v>
      </c>
      <c r="C210" s="613" t="s">
        <v>545</v>
      </c>
      <c r="D210" s="614" t="s">
        <v>1105</v>
      </c>
      <c r="E210" s="613" t="s">
        <v>551</v>
      </c>
      <c r="F210" s="614" t="s">
        <v>1106</v>
      </c>
      <c r="G210" s="613" t="s">
        <v>552</v>
      </c>
      <c r="H210" s="613" t="s">
        <v>658</v>
      </c>
      <c r="I210" s="613" t="s">
        <v>189</v>
      </c>
      <c r="J210" s="613" t="s">
        <v>659</v>
      </c>
      <c r="K210" s="613"/>
      <c r="L210" s="615">
        <v>331.66</v>
      </c>
      <c r="M210" s="615">
        <v>1</v>
      </c>
      <c r="N210" s="616">
        <v>331.66</v>
      </c>
    </row>
    <row r="211" spans="1:14" ht="14.4" customHeight="1" x14ac:dyDescent="0.3">
      <c r="A211" s="611" t="s">
        <v>531</v>
      </c>
      <c r="B211" s="612" t="s">
        <v>532</v>
      </c>
      <c r="C211" s="613" t="s">
        <v>545</v>
      </c>
      <c r="D211" s="614" t="s">
        <v>1105</v>
      </c>
      <c r="E211" s="613" t="s">
        <v>551</v>
      </c>
      <c r="F211" s="614" t="s">
        <v>1106</v>
      </c>
      <c r="G211" s="613" t="s">
        <v>552</v>
      </c>
      <c r="H211" s="613" t="s">
        <v>660</v>
      </c>
      <c r="I211" s="613" t="s">
        <v>660</v>
      </c>
      <c r="J211" s="613" t="s">
        <v>661</v>
      </c>
      <c r="K211" s="613" t="s">
        <v>662</v>
      </c>
      <c r="L211" s="615">
        <v>58.461232543070686</v>
      </c>
      <c r="M211" s="615">
        <v>63</v>
      </c>
      <c r="N211" s="616">
        <v>3683.0576502134531</v>
      </c>
    </row>
    <row r="212" spans="1:14" ht="14.4" customHeight="1" x14ac:dyDescent="0.3">
      <c r="A212" s="611" t="s">
        <v>531</v>
      </c>
      <c r="B212" s="612" t="s">
        <v>532</v>
      </c>
      <c r="C212" s="613" t="s">
        <v>545</v>
      </c>
      <c r="D212" s="614" t="s">
        <v>1105</v>
      </c>
      <c r="E212" s="613" t="s">
        <v>551</v>
      </c>
      <c r="F212" s="614" t="s">
        <v>1106</v>
      </c>
      <c r="G212" s="613" t="s">
        <v>552</v>
      </c>
      <c r="H212" s="613" t="s">
        <v>767</v>
      </c>
      <c r="I212" s="613" t="s">
        <v>189</v>
      </c>
      <c r="J212" s="613" t="s">
        <v>768</v>
      </c>
      <c r="K212" s="613"/>
      <c r="L212" s="615">
        <v>112</v>
      </c>
      <c r="M212" s="615">
        <v>1</v>
      </c>
      <c r="N212" s="616">
        <v>112</v>
      </c>
    </row>
    <row r="213" spans="1:14" ht="14.4" customHeight="1" x14ac:dyDescent="0.3">
      <c r="A213" s="611" t="s">
        <v>531</v>
      </c>
      <c r="B213" s="612" t="s">
        <v>532</v>
      </c>
      <c r="C213" s="613" t="s">
        <v>545</v>
      </c>
      <c r="D213" s="614" t="s">
        <v>1105</v>
      </c>
      <c r="E213" s="613" t="s">
        <v>551</v>
      </c>
      <c r="F213" s="614" t="s">
        <v>1106</v>
      </c>
      <c r="G213" s="613" t="s">
        <v>687</v>
      </c>
      <c r="H213" s="613" t="s">
        <v>989</v>
      </c>
      <c r="I213" s="613" t="s">
        <v>990</v>
      </c>
      <c r="J213" s="613" t="s">
        <v>991</v>
      </c>
      <c r="K213" s="613" t="s">
        <v>992</v>
      </c>
      <c r="L213" s="615">
        <v>138.25001241688545</v>
      </c>
      <c r="M213" s="615">
        <v>24</v>
      </c>
      <c r="N213" s="616">
        <v>3318.0002980052509</v>
      </c>
    </row>
    <row r="214" spans="1:14" ht="14.4" customHeight="1" x14ac:dyDescent="0.3">
      <c r="A214" s="611" t="s">
        <v>531</v>
      </c>
      <c r="B214" s="612" t="s">
        <v>532</v>
      </c>
      <c r="C214" s="613" t="s">
        <v>545</v>
      </c>
      <c r="D214" s="614" t="s">
        <v>1105</v>
      </c>
      <c r="E214" s="613" t="s">
        <v>551</v>
      </c>
      <c r="F214" s="614" t="s">
        <v>1106</v>
      </c>
      <c r="G214" s="613" t="s">
        <v>687</v>
      </c>
      <c r="H214" s="613" t="s">
        <v>993</v>
      </c>
      <c r="I214" s="613" t="s">
        <v>994</v>
      </c>
      <c r="J214" s="613" t="s">
        <v>995</v>
      </c>
      <c r="K214" s="613" t="s">
        <v>996</v>
      </c>
      <c r="L214" s="615">
        <v>56.209998042171236</v>
      </c>
      <c r="M214" s="615">
        <v>2</v>
      </c>
      <c r="N214" s="616">
        <v>112.41999608434247</v>
      </c>
    </row>
    <row r="215" spans="1:14" ht="14.4" customHeight="1" x14ac:dyDescent="0.3">
      <c r="A215" s="611" t="s">
        <v>531</v>
      </c>
      <c r="B215" s="612" t="s">
        <v>532</v>
      </c>
      <c r="C215" s="613" t="s">
        <v>545</v>
      </c>
      <c r="D215" s="614" t="s">
        <v>1105</v>
      </c>
      <c r="E215" s="613" t="s">
        <v>551</v>
      </c>
      <c r="F215" s="614" t="s">
        <v>1106</v>
      </c>
      <c r="G215" s="613" t="s">
        <v>687</v>
      </c>
      <c r="H215" s="613" t="s">
        <v>997</v>
      </c>
      <c r="I215" s="613" t="s">
        <v>998</v>
      </c>
      <c r="J215" s="613" t="s">
        <v>999</v>
      </c>
      <c r="K215" s="613" t="s">
        <v>1000</v>
      </c>
      <c r="L215" s="615">
        <v>68.28</v>
      </c>
      <c r="M215" s="615">
        <v>1</v>
      </c>
      <c r="N215" s="616">
        <v>68.28</v>
      </c>
    </row>
    <row r="216" spans="1:14" ht="14.4" customHeight="1" x14ac:dyDescent="0.3">
      <c r="A216" s="611" t="s">
        <v>531</v>
      </c>
      <c r="B216" s="612" t="s">
        <v>532</v>
      </c>
      <c r="C216" s="613" t="s">
        <v>545</v>
      </c>
      <c r="D216" s="614" t="s">
        <v>1105</v>
      </c>
      <c r="E216" s="613" t="s">
        <v>551</v>
      </c>
      <c r="F216" s="614" t="s">
        <v>1106</v>
      </c>
      <c r="G216" s="613" t="s">
        <v>687</v>
      </c>
      <c r="H216" s="613" t="s">
        <v>1001</v>
      </c>
      <c r="I216" s="613" t="s">
        <v>1002</v>
      </c>
      <c r="J216" s="613" t="s">
        <v>1003</v>
      </c>
      <c r="K216" s="613" t="s">
        <v>1004</v>
      </c>
      <c r="L216" s="615">
        <v>47.779939454028757</v>
      </c>
      <c r="M216" s="615">
        <v>5</v>
      </c>
      <c r="N216" s="616">
        <v>238.89969727014378</v>
      </c>
    </row>
    <row r="217" spans="1:14" ht="14.4" customHeight="1" x14ac:dyDescent="0.3">
      <c r="A217" s="611" t="s">
        <v>531</v>
      </c>
      <c r="B217" s="612" t="s">
        <v>532</v>
      </c>
      <c r="C217" s="613" t="s">
        <v>545</v>
      </c>
      <c r="D217" s="614" t="s">
        <v>1105</v>
      </c>
      <c r="E217" s="613" t="s">
        <v>551</v>
      </c>
      <c r="F217" s="614" t="s">
        <v>1106</v>
      </c>
      <c r="G217" s="613" t="s">
        <v>687</v>
      </c>
      <c r="H217" s="613" t="s">
        <v>1005</v>
      </c>
      <c r="I217" s="613" t="s">
        <v>1006</v>
      </c>
      <c r="J217" s="613" t="s">
        <v>1007</v>
      </c>
      <c r="K217" s="613" t="s">
        <v>1008</v>
      </c>
      <c r="L217" s="615">
        <v>83.889905931823279</v>
      </c>
      <c r="M217" s="615">
        <v>80</v>
      </c>
      <c r="N217" s="616">
        <v>6711.1924745458618</v>
      </c>
    </row>
    <row r="218" spans="1:14" ht="14.4" customHeight="1" x14ac:dyDescent="0.3">
      <c r="A218" s="611" t="s">
        <v>531</v>
      </c>
      <c r="B218" s="612" t="s">
        <v>532</v>
      </c>
      <c r="C218" s="613" t="s">
        <v>545</v>
      </c>
      <c r="D218" s="614" t="s">
        <v>1105</v>
      </c>
      <c r="E218" s="613" t="s">
        <v>551</v>
      </c>
      <c r="F218" s="614" t="s">
        <v>1106</v>
      </c>
      <c r="G218" s="613" t="s">
        <v>687</v>
      </c>
      <c r="H218" s="613" t="s">
        <v>1009</v>
      </c>
      <c r="I218" s="613" t="s">
        <v>1010</v>
      </c>
      <c r="J218" s="613" t="s">
        <v>1011</v>
      </c>
      <c r="K218" s="613" t="s">
        <v>1012</v>
      </c>
      <c r="L218" s="615">
        <v>131.35500000000002</v>
      </c>
      <c r="M218" s="615">
        <v>2</v>
      </c>
      <c r="N218" s="616">
        <v>262.71000000000004</v>
      </c>
    </row>
    <row r="219" spans="1:14" ht="14.4" customHeight="1" x14ac:dyDescent="0.3">
      <c r="A219" s="611" t="s">
        <v>531</v>
      </c>
      <c r="B219" s="612" t="s">
        <v>532</v>
      </c>
      <c r="C219" s="613" t="s">
        <v>545</v>
      </c>
      <c r="D219" s="614" t="s">
        <v>1105</v>
      </c>
      <c r="E219" s="613" t="s">
        <v>551</v>
      </c>
      <c r="F219" s="614" t="s">
        <v>1106</v>
      </c>
      <c r="G219" s="613" t="s">
        <v>687</v>
      </c>
      <c r="H219" s="613" t="s">
        <v>769</v>
      </c>
      <c r="I219" s="613" t="s">
        <v>770</v>
      </c>
      <c r="J219" s="613" t="s">
        <v>771</v>
      </c>
      <c r="K219" s="613" t="s">
        <v>772</v>
      </c>
      <c r="L219" s="615">
        <v>175.8</v>
      </c>
      <c r="M219" s="615">
        <v>1</v>
      </c>
      <c r="N219" s="616">
        <v>175.8</v>
      </c>
    </row>
    <row r="220" spans="1:14" ht="14.4" customHeight="1" x14ac:dyDescent="0.3">
      <c r="A220" s="611" t="s">
        <v>531</v>
      </c>
      <c r="B220" s="612" t="s">
        <v>532</v>
      </c>
      <c r="C220" s="613" t="s">
        <v>545</v>
      </c>
      <c r="D220" s="614" t="s">
        <v>1105</v>
      </c>
      <c r="E220" s="613" t="s">
        <v>1013</v>
      </c>
      <c r="F220" s="614" t="s">
        <v>1110</v>
      </c>
      <c r="G220" s="613"/>
      <c r="H220" s="613" t="s">
        <v>1014</v>
      </c>
      <c r="I220" s="613" t="s">
        <v>1015</v>
      </c>
      <c r="J220" s="613" t="s">
        <v>1016</v>
      </c>
      <c r="K220" s="613"/>
      <c r="L220" s="615">
        <v>188.54999999999995</v>
      </c>
      <c r="M220" s="615">
        <v>2</v>
      </c>
      <c r="N220" s="616">
        <v>377.09999999999991</v>
      </c>
    </row>
    <row r="221" spans="1:14" ht="14.4" customHeight="1" x14ac:dyDescent="0.3">
      <c r="A221" s="611" t="s">
        <v>531</v>
      </c>
      <c r="B221" s="612" t="s">
        <v>532</v>
      </c>
      <c r="C221" s="613" t="s">
        <v>545</v>
      </c>
      <c r="D221" s="614" t="s">
        <v>1105</v>
      </c>
      <c r="E221" s="613" t="s">
        <v>1013</v>
      </c>
      <c r="F221" s="614" t="s">
        <v>1110</v>
      </c>
      <c r="G221" s="613"/>
      <c r="H221" s="613" t="s">
        <v>1017</v>
      </c>
      <c r="I221" s="613" t="s">
        <v>1018</v>
      </c>
      <c r="J221" s="613" t="s">
        <v>1019</v>
      </c>
      <c r="K221" s="613" t="s">
        <v>1020</v>
      </c>
      <c r="L221" s="615">
        <v>349.76000131594736</v>
      </c>
      <c r="M221" s="615">
        <v>2</v>
      </c>
      <c r="N221" s="616">
        <v>699.52000263189473</v>
      </c>
    </row>
    <row r="222" spans="1:14" ht="14.4" customHeight="1" x14ac:dyDescent="0.3">
      <c r="A222" s="611" t="s">
        <v>531</v>
      </c>
      <c r="B222" s="612" t="s">
        <v>532</v>
      </c>
      <c r="C222" s="613" t="s">
        <v>545</v>
      </c>
      <c r="D222" s="614" t="s">
        <v>1105</v>
      </c>
      <c r="E222" s="613" t="s">
        <v>1013</v>
      </c>
      <c r="F222" s="614" t="s">
        <v>1110</v>
      </c>
      <c r="G222" s="613"/>
      <c r="H222" s="613" t="s">
        <v>1021</v>
      </c>
      <c r="I222" s="613" t="s">
        <v>189</v>
      </c>
      <c r="J222" s="613" t="s">
        <v>1022</v>
      </c>
      <c r="K222" s="613"/>
      <c r="L222" s="615">
        <v>185.27400000000003</v>
      </c>
      <c r="M222" s="615">
        <v>5</v>
      </c>
      <c r="N222" s="616">
        <v>926.37000000000012</v>
      </c>
    </row>
    <row r="223" spans="1:14" ht="14.4" customHeight="1" x14ac:dyDescent="0.3">
      <c r="A223" s="611" t="s">
        <v>531</v>
      </c>
      <c r="B223" s="612" t="s">
        <v>532</v>
      </c>
      <c r="C223" s="613" t="s">
        <v>545</v>
      </c>
      <c r="D223" s="614" t="s">
        <v>1105</v>
      </c>
      <c r="E223" s="613" t="s">
        <v>1013</v>
      </c>
      <c r="F223" s="614" t="s">
        <v>1110</v>
      </c>
      <c r="G223" s="613" t="s">
        <v>552</v>
      </c>
      <c r="H223" s="613" t="s">
        <v>1023</v>
      </c>
      <c r="I223" s="613" t="s">
        <v>1024</v>
      </c>
      <c r="J223" s="613" t="s">
        <v>1025</v>
      </c>
      <c r="K223" s="613" t="s">
        <v>1026</v>
      </c>
      <c r="L223" s="615">
        <v>1687.9262499999998</v>
      </c>
      <c r="M223" s="615">
        <v>16</v>
      </c>
      <c r="N223" s="616">
        <v>27006.819999999996</v>
      </c>
    </row>
    <row r="224" spans="1:14" ht="14.4" customHeight="1" x14ac:dyDescent="0.3">
      <c r="A224" s="611" t="s">
        <v>531</v>
      </c>
      <c r="B224" s="612" t="s">
        <v>532</v>
      </c>
      <c r="C224" s="613" t="s">
        <v>545</v>
      </c>
      <c r="D224" s="614" t="s">
        <v>1105</v>
      </c>
      <c r="E224" s="613" t="s">
        <v>1013</v>
      </c>
      <c r="F224" s="614" t="s">
        <v>1110</v>
      </c>
      <c r="G224" s="613" t="s">
        <v>552</v>
      </c>
      <c r="H224" s="613" t="s">
        <v>1027</v>
      </c>
      <c r="I224" s="613" t="s">
        <v>1028</v>
      </c>
      <c r="J224" s="613" t="s">
        <v>1025</v>
      </c>
      <c r="K224" s="613" t="s">
        <v>1029</v>
      </c>
      <c r="L224" s="615">
        <v>2062.5354726011064</v>
      </c>
      <c r="M224" s="615">
        <v>2</v>
      </c>
      <c r="N224" s="616">
        <v>4125.0709452022129</v>
      </c>
    </row>
    <row r="225" spans="1:14" ht="14.4" customHeight="1" x14ac:dyDescent="0.3">
      <c r="A225" s="611" t="s">
        <v>531</v>
      </c>
      <c r="B225" s="612" t="s">
        <v>532</v>
      </c>
      <c r="C225" s="613" t="s">
        <v>545</v>
      </c>
      <c r="D225" s="614" t="s">
        <v>1105</v>
      </c>
      <c r="E225" s="613" t="s">
        <v>1013</v>
      </c>
      <c r="F225" s="614" t="s">
        <v>1110</v>
      </c>
      <c r="G225" s="613" t="s">
        <v>552</v>
      </c>
      <c r="H225" s="613" t="s">
        <v>1030</v>
      </c>
      <c r="I225" s="613" t="s">
        <v>189</v>
      </c>
      <c r="J225" s="613" t="s">
        <v>1031</v>
      </c>
      <c r="K225" s="613"/>
      <c r="L225" s="615">
        <v>323.38441405546808</v>
      </c>
      <c r="M225" s="615">
        <v>11</v>
      </c>
      <c r="N225" s="616">
        <v>3557.2285546101489</v>
      </c>
    </row>
    <row r="226" spans="1:14" ht="14.4" customHeight="1" x14ac:dyDescent="0.3">
      <c r="A226" s="611" t="s">
        <v>531</v>
      </c>
      <c r="B226" s="612" t="s">
        <v>532</v>
      </c>
      <c r="C226" s="613" t="s">
        <v>545</v>
      </c>
      <c r="D226" s="614" t="s">
        <v>1105</v>
      </c>
      <c r="E226" s="613" t="s">
        <v>1013</v>
      </c>
      <c r="F226" s="614" t="s">
        <v>1110</v>
      </c>
      <c r="G226" s="613" t="s">
        <v>552</v>
      </c>
      <c r="H226" s="613" t="s">
        <v>1032</v>
      </c>
      <c r="I226" s="613" t="s">
        <v>189</v>
      </c>
      <c r="J226" s="613" t="s">
        <v>1033</v>
      </c>
      <c r="K226" s="613"/>
      <c r="L226" s="615">
        <v>414.79460178947778</v>
      </c>
      <c r="M226" s="615">
        <v>26</v>
      </c>
      <c r="N226" s="616">
        <v>10784.659646526423</v>
      </c>
    </row>
    <row r="227" spans="1:14" ht="14.4" customHeight="1" x14ac:dyDescent="0.3">
      <c r="A227" s="611" t="s">
        <v>531</v>
      </c>
      <c r="B227" s="612" t="s">
        <v>532</v>
      </c>
      <c r="C227" s="613" t="s">
        <v>545</v>
      </c>
      <c r="D227" s="614" t="s">
        <v>1105</v>
      </c>
      <c r="E227" s="613" t="s">
        <v>1013</v>
      </c>
      <c r="F227" s="614" t="s">
        <v>1110</v>
      </c>
      <c r="G227" s="613" t="s">
        <v>552</v>
      </c>
      <c r="H227" s="613" t="s">
        <v>1034</v>
      </c>
      <c r="I227" s="613" t="s">
        <v>189</v>
      </c>
      <c r="J227" s="613" t="s">
        <v>1035</v>
      </c>
      <c r="K227" s="613" t="s">
        <v>1036</v>
      </c>
      <c r="L227" s="615">
        <v>412.62945687798367</v>
      </c>
      <c r="M227" s="615">
        <v>4</v>
      </c>
      <c r="N227" s="616">
        <v>1650.5178275119347</v>
      </c>
    </row>
    <row r="228" spans="1:14" ht="14.4" customHeight="1" x14ac:dyDescent="0.3">
      <c r="A228" s="611" t="s">
        <v>531</v>
      </c>
      <c r="B228" s="612" t="s">
        <v>532</v>
      </c>
      <c r="C228" s="613" t="s">
        <v>545</v>
      </c>
      <c r="D228" s="614" t="s">
        <v>1105</v>
      </c>
      <c r="E228" s="613" t="s">
        <v>1013</v>
      </c>
      <c r="F228" s="614" t="s">
        <v>1110</v>
      </c>
      <c r="G228" s="613" t="s">
        <v>552</v>
      </c>
      <c r="H228" s="613" t="s">
        <v>1037</v>
      </c>
      <c r="I228" s="613" t="s">
        <v>189</v>
      </c>
      <c r="J228" s="613" t="s">
        <v>1038</v>
      </c>
      <c r="K228" s="613"/>
      <c r="L228" s="615">
        <v>274.9811489540532</v>
      </c>
      <c r="M228" s="615">
        <v>92</v>
      </c>
      <c r="N228" s="616">
        <v>25298.265703772893</v>
      </c>
    </row>
    <row r="229" spans="1:14" ht="14.4" customHeight="1" x14ac:dyDescent="0.3">
      <c r="A229" s="611" t="s">
        <v>531</v>
      </c>
      <c r="B229" s="612" t="s">
        <v>532</v>
      </c>
      <c r="C229" s="613" t="s">
        <v>545</v>
      </c>
      <c r="D229" s="614" t="s">
        <v>1105</v>
      </c>
      <c r="E229" s="613" t="s">
        <v>1013</v>
      </c>
      <c r="F229" s="614" t="s">
        <v>1110</v>
      </c>
      <c r="G229" s="613" t="s">
        <v>552</v>
      </c>
      <c r="H229" s="613" t="s">
        <v>1039</v>
      </c>
      <c r="I229" s="613" t="s">
        <v>189</v>
      </c>
      <c r="J229" s="613" t="s">
        <v>1040</v>
      </c>
      <c r="K229" s="613"/>
      <c r="L229" s="615">
        <v>486.12097009460041</v>
      </c>
      <c r="M229" s="615">
        <v>65</v>
      </c>
      <c r="N229" s="616">
        <v>31597.863056149028</v>
      </c>
    </row>
    <row r="230" spans="1:14" ht="14.4" customHeight="1" x14ac:dyDescent="0.3">
      <c r="A230" s="611" t="s">
        <v>531</v>
      </c>
      <c r="B230" s="612" t="s">
        <v>532</v>
      </c>
      <c r="C230" s="613" t="s">
        <v>545</v>
      </c>
      <c r="D230" s="614" t="s">
        <v>1105</v>
      </c>
      <c r="E230" s="613" t="s">
        <v>1013</v>
      </c>
      <c r="F230" s="614" t="s">
        <v>1110</v>
      </c>
      <c r="G230" s="613" t="s">
        <v>552</v>
      </c>
      <c r="H230" s="613" t="s">
        <v>1041</v>
      </c>
      <c r="I230" s="613" t="s">
        <v>1042</v>
      </c>
      <c r="J230" s="613" t="s">
        <v>974</v>
      </c>
      <c r="K230" s="613" t="s">
        <v>1043</v>
      </c>
      <c r="L230" s="615">
        <v>2739.911339493131</v>
      </c>
      <c r="M230" s="615">
        <v>10</v>
      </c>
      <c r="N230" s="616">
        <v>27399.113394931308</v>
      </c>
    </row>
    <row r="231" spans="1:14" ht="14.4" customHeight="1" x14ac:dyDescent="0.3">
      <c r="A231" s="611" t="s">
        <v>531</v>
      </c>
      <c r="B231" s="612" t="s">
        <v>532</v>
      </c>
      <c r="C231" s="613" t="s">
        <v>545</v>
      </c>
      <c r="D231" s="614" t="s">
        <v>1105</v>
      </c>
      <c r="E231" s="613" t="s">
        <v>1013</v>
      </c>
      <c r="F231" s="614" t="s">
        <v>1110</v>
      </c>
      <c r="G231" s="613" t="s">
        <v>552</v>
      </c>
      <c r="H231" s="613" t="s">
        <v>1044</v>
      </c>
      <c r="I231" s="613" t="s">
        <v>189</v>
      </c>
      <c r="J231" s="613" t="s">
        <v>1045</v>
      </c>
      <c r="K231" s="613"/>
      <c r="L231" s="615">
        <v>423.46655359278174</v>
      </c>
      <c r="M231" s="615">
        <v>10</v>
      </c>
      <c r="N231" s="616">
        <v>4234.6655359278175</v>
      </c>
    </row>
    <row r="232" spans="1:14" ht="14.4" customHeight="1" x14ac:dyDescent="0.3">
      <c r="A232" s="611" t="s">
        <v>531</v>
      </c>
      <c r="B232" s="612" t="s">
        <v>532</v>
      </c>
      <c r="C232" s="613" t="s">
        <v>545</v>
      </c>
      <c r="D232" s="614" t="s">
        <v>1105</v>
      </c>
      <c r="E232" s="613" t="s">
        <v>1013</v>
      </c>
      <c r="F232" s="614" t="s">
        <v>1110</v>
      </c>
      <c r="G232" s="613" t="s">
        <v>552</v>
      </c>
      <c r="H232" s="613" t="s">
        <v>1046</v>
      </c>
      <c r="I232" s="613" t="s">
        <v>189</v>
      </c>
      <c r="J232" s="613" t="s">
        <v>1047</v>
      </c>
      <c r="K232" s="613"/>
      <c r="L232" s="615">
        <v>453.89036402244443</v>
      </c>
      <c r="M232" s="615">
        <v>3</v>
      </c>
      <c r="N232" s="616">
        <v>1361.6710920673333</v>
      </c>
    </row>
    <row r="233" spans="1:14" ht="14.4" customHeight="1" x14ac:dyDescent="0.3">
      <c r="A233" s="611" t="s">
        <v>531</v>
      </c>
      <c r="B233" s="612" t="s">
        <v>532</v>
      </c>
      <c r="C233" s="613" t="s">
        <v>545</v>
      </c>
      <c r="D233" s="614" t="s">
        <v>1105</v>
      </c>
      <c r="E233" s="613" t="s">
        <v>1013</v>
      </c>
      <c r="F233" s="614" t="s">
        <v>1110</v>
      </c>
      <c r="G233" s="613" t="s">
        <v>552</v>
      </c>
      <c r="H233" s="613" t="s">
        <v>1048</v>
      </c>
      <c r="I233" s="613" t="s">
        <v>189</v>
      </c>
      <c r="J233" s="613" t="s">
        <v>1049</v>
      </c>
      <c r="K233" s="613"/>
      <c r="L233" s="615">
        <v>700.37972678615631</v>
      </c>
      <c r="M233" s="615">
        <v>3</v>
      </c>
      <c r="N233" s="616">
        <v>2101.1391803584688</v>
      </c>
    </row>
    <row r="234" spans="1:14" ht="14.4" customHeight="1" x14ac:dyDescent="0.3">
      <c r="A234" s="611" t="s">
        <v>531</v>
      </c>
      <c r="B234" s="612" t="s">
        <v>532</v>
      </c>
      <c r="C234" s="613" t="s">
        <v>545</v>
      </c>
      <c r="D234" s="614" t="s">
        <v>1105</v>
      </c>
      <c r="E234" s="613" t="s">
        <v>1013</v>
      </c>
      <c r="F234" s="614" t="s">
        <v>1110</v>
      </c>
      <c r="G234" s="613" t="s">
        <v>687</v>
      </c>
      <c r="H234" s="613" t="s">
        <v>1050</v>
      </c>
      <c r="I234" s="613" t="s">
        <v>1051</v>
      </c>
      <c r="J234" s="613" t="s">
        <v>1052</v>
      </c>
      <c r="K234" s="613" t="s">
        <v>1053</v>
      </c>
      <c r="L234" s="615">
        <v>200.24</v>
      </c>
      <c r="M234" s="615">
        <v>1</v>
      </c>
      <c r="N234" s="616">
        <v>200.24</v>
      </c>
    </row>
    <row r="235" spans="1:14" ht="14.4" customHeight="1" x14ac:dyDescent="0.3">
      <c r="A235" s="611" t="s">
        <v>531</v>
      </c>
      <c r="B235" s="612" t="s">
        <v>532</v>
      </c>
      <c r="C235" s="613" t="s">
        <v>545</v>
      </c>
      <c r="D235" s="614" t="s">
        <v>1105</v>
      </c>
      <c r="E235" s="613" t="s">
        <v>1013</v>
      </c>
      <c r="F235" s="614" t="s">
        <v>1110</v>
      </c>
      <c r="G235" s="613" t="s">
        <v>687</v>
      </c>
      <c r="H235" s="613" t="s">
        <v>1054</v>
      </c>
      <c r="I235" s="613" t="s">
        <v>1054</v>
      </c>
      <c r="J235" s="613" t="s">
        <v>1055</v>
      </c>
      <c r="K235" s="613" t="s">
        <v>1056</v>
      </c>
      <c r="L235" s="615">
        <v>1302.1987260049209</v>
      </c>
      <c r="M235" s="615">
        <v>3</v>
      </c>
      <c r="N235" s="616">
        <v>3906.5961780147627</v>
      </c>
    </row>
    <row r="236" spans="1:14" ht="14.4" customHeight="1" x14ac:dyDescent="0.3">
      <c r="A236" s="611" t="s">
        <v>531</v>
      </c>
      <c r="B236" s="612" t="s">
        <v>532</v>
      </c>
      <c r="C236" s="613" t="s">
        <v>545</v>
      </c>
      <c r="D236" s="614" t="s">
        <v>1105</v>
      </c>
      <c r="E236" s="613" t="s">
        <v>670</v>
      </c>
      <c r="F236" s="614" t="s">
        <v>1107</v>
      </c>
      <c r="G236" s="613"/>
      <c r="H236" s="613" t="s">
        <v>1057</v>
      </c>
      <c r="I236" s="613" t="s">
        <v>1058</v>
      </c>
      <c r="J236" s="613" t="s">
        <v>1059</v>
      </c>
      <c r="K236" s="613" t="s">
        <v>1060</v>
      </c>
      <c r="L236" s="615">
        <v>71.459999999999994</v>
      </c>
      <c r="M236" s="615">
        <v>10</v>
      </c>
      <c r="N236" s="616">
        <v>714.59999999999991</v>
      </c>
    </row>
    <row r="237" spans="1:14" ht="14.4" customHeight="1" x14ac:dyDescent="0.3">
      <c r="A237" s="611" t="s">
        <v>531</v>
      </c>
      <c r="B237" s="612" t="s">
        <v>532</v>
      </c>
      <c r="C237" s="613" t="s">
        <v>545</v>
      </c>
      <c r="D237" s="614" t="s">
        <v>1105</v>
      </c>
      <c r="E237" s="613" t="s">
        <v>670</v>
      </c>
      <c r="F237" s="614" t="s">
        <v>1107</v>
      </c>
      <c r="G237" s="613"/>
      <c r="H237" s="613" t="s">
        <v>1061</v>
      </c>
      <c r="I237" s="613" t="s">
        <v>1062</v>
      </c>
      <c r="J237" s="613" t="s">
        <v>1063</v>
      </c>
      <c r="K237" s="613" t="s">
        <v>1064</v>
      </c>
      <c r="L237" s="615">
        <v>494.5</v>
      </c>
      <c r="M237" s="615">
        <v>1</v>
      </c>
      <c r="N237" s="616">
        <v>494.5</v>
      </c>
    </row>
    <row r="238" spans="1:14" ht="14.4" customHeight="1" x14ac:dyDescent="0.3">
      <c r="A238" s="611" t="s">
        <v>531</v>
      </c>
      <c r="B238" s="612" t="s">
        <v>532</v>
      </c>
      <c r="C238" s="613" t="s">
        <v>545</v>
      </c>
      <c r="D238" s="614" t="s">
        <v>1105</v>
      </c>
      <c r="E238" s="613" t="s">
        <v>670</v>
      </c>
      <c r="F238" s="614" t="s">
        <v>1107</v>
      </c>
      <c r="G238" s="613" t="s">
        <v>552</v>
      </c>
      <c r="H238" s="613" t="s">
        <v>671</v>
      </c>
      <c r="I238" s="613" t="s">
        <v>672</v>
      </c>
      <c r="J238" s="613" t="s">
        <v>673</v>
      </c>
      <c r="K238" s="613" t="s">
        <v>674</v>
      </c>
      <c r="L238" s="615">
        <v>40.249979114506829</v>
      </c>
      <c r="M238" s="615">
        <v>3</v>
      </c>
      <c r="N238" s="616">
        <v>120.74993734352049</v>
      </c>
    </row>
    <row r="239" spans="1:14" ht="14.4" customHeight="1" x14ac:dyDescent="0.3">
      <c r="A239" s="611" t="s">
        <v>531</v>
      </c>
      <c r="B239" s="612" t="s">
        <v>532</v>
      </c>
      <c r="C239" s="613" t="s">
        <v>545</v>
      </c>
      <c r="D239" s="614" t="s">
        <v>1105</v>
      </c>
      <c r="E239" s="613" t="s">
        <v>670</v>
      </c>
      <c r="F239" s="614" t="s">
        <v>1107</v>
      </c>
      <c r="G239" s="613" t="s">
        <v>552</v>
      </c>
      <c r="H239" s="613" t="s">
        <v>1065</v>
      </c>
      <c r="I239" s="613" t="s">
        <v>1066</v>
      </c>
      <c r="J239" s="613" t="s">
        <v>1067</v>
      </c>
      <c r="K239" s="613" t="s">
        <v>809</v>
      </c>
      <c r="L239" s="615">
        <v>67.954958364262794</v>
      </c>
      <c r="M239" s="615">
        <v>4</v>
      </c>
      <c r="N239" s="616">
        <v>271.81983345705117</v>
      </c>
    </row>
    <row r="240" spans="1:14" ht="14.4" customHeight="1" x14ac:dyDescent="0.3">
      <c r="A240" s="611" t="s">
        <v>531</v>
      </c>
      <c r="B240" s="612" t="s">
        <v>532</v>
      </c>
      <c r="C240" s="613" t="s">
        <v>545</v>
      </c>
      <c r="D240" s="614" t="s">
        <v>1105</v>
      </c>
      <c r="E240" s="613" t="s">
        <v>670</v>
      </c>
      <c r="F240" s="614" t="s">
        <v>1107</v>
      </c>
      <c r="G240" s="613" t="s">
        <v>552</v>
      </c>
      <c r="H240" s="613" t="s">
        <v>1068</v>
      </c>
      <c r="I240" s="613" t="s">
        <v>1069</v>
      </c>
      <c r="J240" s="613" t="s">
        <v>1070</v>
      </c>
      <c r="K240" s="613" t="s">
        <v>1071</v>
      </c>
      <c r="L240" s="615">
        <v>1528.07</v>
      </c>
      <c r="M240" s="615">
        <v>1</v>
      </c>
      <c r="N240" s="616">
        <v>1528.07</v>
      </c>
    </row>
    <row r="241" spans="1:14" ht="14.4" customHeight="1" x14ac:dyDescent="0.3">
      <c r="A241" s="611" t="s">
        <v>531</v>
      </c>
      <c r="B241" s="612" t="s">
        <v>532</v>
      </c>
      <c r="C241" s="613" t="s">
        <v>545</v>
      </c>
      <c r="D241" s="614" t="s">
        <v>1105</v>
      </c>
      <c r="E241" s="613" t="s">
        <v>670</v>
      </c>
      <c r="F241" s="614" t="s">
        <v>1107</v>
      </c>
      <c r="G241" s="613" t="s">
        <v>552</v>
      </c>
      <c r="H241" s="613" t="s">
        <v>675</v>
      </c>
      <c r="I241" s="613" t="s">
        <v>676</v>
      </c>
      <c r="J241" s="613" t="s">
        <v>677</v>
      </c>
      <c r="K241" s="613" t="s">
        <v>678</v>
      </c>
      <c r="L241" s="615">
        <v>82.889898426429994</v>
      </c>
      <c r="M241" s="615">
        <v>4</v>
      </c>
      <c r="N241" s="616">
        <v>331.55959370571998</v>
      </c>
    </row>
    <row r="242" spans="1:14" ht="14.4" customHeight="1" x14ac:dyDescent="0.3">
      <c r="A242" s="611" t="s">
        <v>531</v>
      </c>
      <c r="B242" s="612" t="s">
        <v>532</v>
      </c>
      <c r="C242" s="613" t="s">
        <v>545</v>
      </c>
      <c r="D242" s="614" t="s">
        <v>1105</v>
      </c>
      <c r="E242" s="613" t="s">
        <v>670</v>
      </c>
      <c r="F242" s="614" t="s">
        <v>1107</v>
      </c>
      <c r="G242" s="613" t="s">
        <v>552</v>
      </c>
      <c r="H242" s="613" t="s">
        <v>1072</v>
      </c>
      <c r="I242" s="613" t="s">
        <v>1073</v>
      </c>
      <c r="J242" s="613" t="s">
        <v>1074</v>
      </c>
      <c r="K242" s="613" t="s">
        <v>868</v>
      </c>
      <c r="L242" s="615">
        <v>235.77000000000004</v>
      </c>
      <c r="M242" s="615">
        <v>1</v>
      </c>
      <c r="N242" s="616">
        <v>235.77000000000004</v>
      </c>
    </row>
    <row r="243" spans="1:14" ht="14.4" customHeight="1" x14ac:dyDescent="0.3">
      <c r="A243" s="611" t="s">
        <v>531</v>
      </c>
      <c r="B243" s="612" t="s">
        <v>532</v>
      </c>
      <c r="C243" s="613" t="s">
        <v>545</v>
      </c>
      <c r="D243" s="614" t="s">
        <v>1105</v>
      </c>
      <c r="E243" s="613" t="s">
        <v>670</v>
      </c>
      <c r="F243" s="614" t="s">
        <v>1107</v>
      </c>
      <c r="G243" s="613" t="s">
        <v>552</v>
      </c>
      <c r="H243" s="613" t="s">
        <v>1075</v>
      </c>
      <c r="I243" s="613" t="s">
        <v>1076</v>
      </c>
      <c r="J243" s="613" t="s">
        <v>1077</v>
      </c>
      <c r="K243" s="613" t="s">
        <v>1078</v>
      </c>
      <c r="L243" s="615">
        <v>72.64</v>
      </c>
      <c r="M243" s="615">
        <v>2</v>
      </c>
      <c r="N243" s="616">
        <v>145.28</v>
      </c>
    </row>
    <row r="244" spans="1:14" ht="14.4" customHeight="1" x14ac:dyDescent="0.3">
      <c r="A244" s="611" t="s">
        <v>531</v>
      </c>
      <c r="B244" s="612" t="s">
        <v>532</v>
      </c>
      <c r="C244" s="613" t="s">
        <v>545</v>
      </c>
      <c r="D244" s="614" t="s">
        <v>1105</v>
      </c>
      <c r="E244" s="613" t="s">
        <v>670</v>
      </c>
      <c r="F244" s="614" t="s">
        <v>1107</v>
      </c>
      <c r="G244" s="613" t="s">
        <v>552</v>
      </c>
      <c r="H244" s="613" t="s">
        <v>679</v>
      </c>
      <c r="I244" s="613" t="s">
        <v>680</v>
      </c>
      <c r="J244" s="613" t="s">
        <v>681</v>
      </c>
      <c r="K244" s="613" t="s">
        <v>682</v>
      </c>
      <c r="L244" s="615">
        <v>23.560000000000002</v>
      </c>
      <c r="M244" s="615">
        <v>1</v>
      </c>
      <c r="N244" s="616">
        <v>23.560000000000002</v>
      </c>
    </row>
    <row r="245" spans="1:14" ht="14.4" customHeight="1" x14ac:dyDescent="0.3">
      <c r="A245" s="611" t="s">
        <v>531</v>
      </c>
      <c r="B245" s="612" t="s">
        <v>532</v>
      </c>
      <c r="C245" s="613" t="s">
        <v>545</v>
      </c>
      <c r="D245" s="614" t="s">
        <v>1105</v>
      </c>
      <c r="E245" s="613" t="s">
        <v>670</v>
      </c>
      <c r="F245" s="614" t="s">
        <v>1107</v>
      </c>
      <c r="G245" s="613" t="s">
        <v>552</v>
      </c>
      <c r="H245" s="613" t="s">
        <v>683</v>
      </c>
      <c r="I245" s="613" t="s">
        <v>684</v>
      </c>
      <c r="J245" s="613" t="s">
        <v>685</v>
      </c>
      <c r="K245" s="613" t="s">
        <v>686</v>
      </c>
      <c r="L245" s="615">
        <v>49.204376059132237</v>
      </c>
      <c r="M245" s="615">
        <v>17</v>
      </c>
      <c r="N245" s="616">
        <v>836.47439300524798</v>
      </c>
    </row>
    <row r="246" spans="1:14" ht="14.4" customHeight="1" x14ac:dyDescent="0.3">
      <c r="A246" s="611" t="s">
        <v>531</v>
      </c>
      <c r="B246" s="612" t="s">
        <v>532</v>
      </c>
      <c r="C246" s="613" t="s">
        <v>545</v>
      </c>
      <c r="D246" s="614" t="s">
        <v>1105</v>
      </c>
      <c r="E246" s="613" t="s">
        <v>670</v>
      </c>
      <c r="F246" s="614" t="s">
        <v>1107</v>
      </c>
      <c r="G246" s="613" t="s">
        <v>552</v>
      </c>
      <c r="H246" s="613" t="s">
        <v>773</v>
      </c>
      <c r="I246" s="613" t="s">
        <v>774</v>
      </c>
      <c r="J246" s="613" t="s">
        <v>775</v>
      </c>
      <c r="K246" s="613" t="s">
        <v>776</v>
      </c>
      <c r="L246" s="615">
        <v>442.59073693911961</v>
      </c>
      <c r="M246" s="615">
        <v>30</v>
      </c>
      <c r="N246" s="616">
        <v>13277.722108173588</v>
      </c>
    </row>
    <row r="247" spans="1:14" ht="14.4" customHeight="1" x14ac:dyDescent="0.3">
      <c r="A247" s="611" t="s">
        <v>531</v>
      </c>
      <c r="B247" s="612" t="s">
        <v>532</v>
      </c>
      <c r="C247" s="613" t="s">
        <v>545</v>
      </c>
      <c r="D247" s="614" t="s">
        <v>1105</v>
      </c>
      <c r="E247" s="613" t="s">
        <v>670</v>
      </c>
      <c r="F247" s="614" t="s">
        <v>1107</v>
      </c>
      <c r="G247" s="613" t="s">
        <v>552</v>
      </c>
      <c r="H247" s="613" t="s">
        <v>1079</v>
      </c>
      <c r="I247" s="613" t="s">
        <v>1080</v>
      </c>
      <c r="J247" s="613" t="s">
        <v>685</v>
      </c>
      <c r="K247" s="613" t="s">
        <v>1081</v>
      </c>
      <c r="L247" s="615">
        <v>46.45</v>
      </c>
      <c r="M247" s="615">
        <v>1</v>
      </c>
      <c r="N247" s="616">
        <v>46.45</v>
      </c>
    </row>
    <row r="248" spans="1:14" ht="14.4" customHeight="1" x14ac:dyDescent="0.3">
      <c r="A248" s="611" t="s">
        <v>531</v>
      </c>
      <c r="B248" s="612" t="s">
        <v>532</v>
      </c>
      <c r="C248" s="613" t="s">
        <v>545</v>
      </c>
      <c r="D248" s="614" t="s">
        <v>1105</v>
      </c>
      <c r="E248" s="613" t="s">
        <v>670</v>
      </c>
      <c r="F248" s="614" t="s">
        <v>1107</v>
      </c>
      <c r="G248" s="613" t="s">
        <v>552</v>
      </c>
      <c r="H248" s="613" t="s">
        <v>1082</v>
      </c>
      <c r="I248" s="613" t="s">
        <v>1082</v>
      </c>
      <c r="J248" s="613" t="s">
        <v>1083</v>
      </c>
      <c r="K248" s="613" t="s">
        <v>1084</v>
      </c>
      <c r="L248" s="615">
        <v>1789.3</v>
      </c>
      <c r="M248" s="615">
        <v>1</v>
      </c>
      <c r="N248" s="616">
        <v>1789.3</v>
      </c>
    </row>
    <row r="249" spans="1:14" ht="14.4" customHeight="1" x14ac:dyDescent="0.3">
      <c r="A249" s="611" t="s">
        <v>531</v>
      </c>
      <c r="B249" s="612" t="s">
        <v>532</v>
      </c>
      <c r="C249" s="613" t="s">
        <v>545</v>
      </c>
      <c r="D249" s="614" t="s">
        <v>1105</v>
      </c>
      <c r="E249" s="613" t="s">
        <v>670</v>
      </c>
      <c r="F249" s="614" t="s">
        <v>1107</v>
      </c>
      <c r="G249" s="613" t="s">
        <v>687</v>
      </c>
      <c r="H249" s="613" t="s">
        <v>1085</v>
      </c>
      <c r="I249" s="613" t="s">
        <v>1085</v>
      </c>
      <c r="J249" s="613" t="s">
        <v>1086</v>
      </c>
      <c r="K249" s="613" t="s">
        <v>1087</v>
      </c>
      <c r="L249" s="615">
        <v>264</v>
      </c>
      <c r="M249" s="615">
        <v>2</v>
      </c>
      <c r="N249" s="616">
        <v>528</v>
      </c>
    </row>
    <row r="250" spans="1:14" ht="14.4" customHeight="1" x14ac:dyDescent="0.3">
      <c r="A250" s="611" t="s">
        <v>531</v>
      </c>
      <c r="B250" s="612" t="s">
        <v>532</v>
      </c>
      <c r="C250" s="613" t="s">
        <v>545</v>
      </c>
      <c r="D250" s="614" t="s">
        <v>1105</v>
      </c>
      <c r="E250" s="613" t="s">
        <v>670</v>
      </c>
      <c r="F250" s="614" t="s">
        <v>1107</v>
      </c>
      <c r="G250" s="613" t="s">
        <v>687</v>
      </c>
      <c r="H250" s="613" t="s">
        <v>777</v>
      </c>
      <c r="I250" s="613" t="s">
        <v>777</v>
      </c>
      <c r="J250" s="613" t="s">
        <v>778</v>
      </c>
      <c r="K250" s="613" t="s">
        <v>779</v>
      </c>
      <c r="L250" s="615">
        <v>84.270401857787547</v>
      </c>
      <c r="M250" s="615">
        <v>5.2</v>
      </c>
      <c r="N250" s="616">
        <v>438.20608966049525</v>
      </c>
    </row>
    <row r="251" spans="1:14" ht="14.4" customHeight="1" x14ac:dyDescent="0.3">
      <c r="A251" s="611" t="s">
        <v>531</v>
      </c>
      <c r="B251" s="612" t="s">
        <v>532</v>
      </c>
      <c r="C251" s="613" t="s">
        <v>545</v>
      </c>
      <c r="D251" s="614" t="s">
        <v>1105</v>
      </c>
      <c r="E251" s="613" t="s">
        <v>670</v>
      </c>
      <c r="F251" s="614" t="s">
        <v>1107</v>
      </c>
      <c r="G251" s="613" t="s">
        <v>687</v>
      </c>
      <c r="H251" s="613" t="s">
        <v>688</v>
      </c>
      <c r="I251" s="613" t="s">
        <v>689</v>
      </c>
      <c r="J251" s="613" t="s">
        <v>690</v>
      </c>
      <c r="K251" s="613" t="s">
        <v>691</v>
      </c>
      <c r="L251" s="615">
        <v>136.94333981652426</v>
      </c>
      <c r="M251" s="615">
        <v>36</v>
      </c>
      <c r="N251" s="616">
        <v>4929.9602333948733</v>
      </c>
    </row>
    <row r="252" spans="1:14" ht="14.4" customHeight="1" x14ac:dyDescent="0.3">
      <c r="A252" s="611" t="s">
        <v>531</v>
      </c>
      <c r="B252" s="612" t="s">
        <v>532</v>
      </c>
      <c r="C252" s="613" t="s">
        <v>545</v>
      </c>
      <c r="D252" s="614" t="s">
        <v>1105</v>
      </c>
      <c r="E252" s="613" t="s">
        <v>670</v>
      </c>
      <c r="F252" s="614" t="s">
        <v>1107</v>
      </c>
      <c r="G252" s="613" t="s">
        <v>687</v>
      </c>
      <c r="H252" s="613" t="s">
        <v>692</v>
      </c>
      <c r="I252" s="613" t="s">
        <v>693</v>
      </c>
      <c r="J252" s="613" t="s">
        <v>694</v>
      </c>
      <c r="K252" s="613" t="s">
        <v>695</v>
      </c>
      <c r="L252" s="615">
        <v>60.239602480424871</v>
      </c>
      <c r="M252" s="615">
        <v>28</v>
      </c>
      <c r="N252" s="616">
        <v>1686.7088694518964</v>
      </c>
    </row>
    <row r="253" spans="1:14" ht="14.4" customHeight="1" x14ac:dyDescent="0.3">
      <c r="A253" s="611" t="s">
        <v>531</v>
      </c>
      <c r="B253" s="612" t="s">
        <v>532</v>
      </c>
      <c r="C253" s="613" t="s">
        <v>545</v>
      </c>
      <c r="D253" s="614" t="s">
        <v>1105</v>
      </c>
      <c r="E253" s="613" t="s">
        <v>670</v>
      </c>
      <c r="F253" s="614" t="s">
        <v>1107</v>
      </c>
      <c r="G253" s="613" t="s">
        <v>687</v>
      </c>
      <c r="H253" s="613" t="s">
        <v>780</v>
      </c>
      <c r="I253" s="613" t="s">
        <v>781</v>
      </c>
      <c r="J253" s="613" t="s">
        <v>782</v>
      </c>
      <c r="K253" s="613" t="s">
        <v>783</v>
      </c>
      <c r="L253" s="615">
        <v>783.88</v>
      </c>
      <c r="M253" s="615">
        <v>7</v>
      </c>
      <c r="N253" s="616">
        <v>5487.16</v>
      </c>
    </row>
    <row r="254" spans="1:14" ht="14.4" customHeight="1" x14ac:dyDescent="0.3">
      <c r="A254" s="611" t="s">
        <v>531</v>
      </c>
      <c r="B254" s="612" t="s">
        <v>532</v>
      </c>
      <c r="C254" s="613" t="s">
        <v>545</v>
      </c>
      <c r="D254" s="614" t="s">
        <v>1105</v>
      </c>
      <c r="E254" s="613" t="s">
        <v>670</v>
      </c>
      <c r="F254" s="614" t="s">
        <v>1107</v>
      </c>
      <c r="G254" s="613" t="s">
        <v>687</v>
      </c>
      <c r="H254" s="613" t="s">
        <v>1088</v>
      </c>
      <c r="I254" s="613" t="s">
        <v>1088</v>
      </c>
      <c r="J254" s="613" t="s">
        <v>1089</v>
      </c>
      <c r="K254" s="613" t="s">
        <v>1090</v>
      </c>
      <c r="L254" s="615">
        <v>462</v>
      </c>
      <c r="M254" s="615">
        <v>2</v>
      </c>
      <c r="N254" s="616">
        <v>924</v>
      </c>
    </row>
    <row r="255" spans="1:14" ht="14.4" customHeight="1" x14ac:dyDescent="0.3">
      <c r="A255" s="611" t="s">
        <v>531</v>
      </c>
      <c r="B255" s="612" t="s">
        <v>532</v>
      </c>
      <c r="C255" s="613" t="s">
        <v>545</v>
      </c>
      <c r="D255" s="614" t="s">
        <v>1105</v>
      </c>
      <c r="E255" s="613" t="s">
        <v>670</v>
      </c>
      <c r="F255" s="614" t="s">
        <v>1107</v>
      </c>
      <c r="G255" s="613" t="s">
        <v>687</v>
      </c>
      <c r="H255" s="613" t="s">
        <v>787</v>
      </c>
      <c r="I255" s="613" t="s">
        <v>787</v>
      </c>
      <c r="J255" s="613" t="s">
        <v>788</v>
      </c>
      <c r="K255" s="613" t="s">
        <v>789</v>
      </c>
      <c r="L255" s="615">
        <v>169.66244999999998</v>
      </c>
      <c r="M255" s="615">
        <v>40</v>
      </c>
      <c r="N255" s="616">
        <v>6786.4979999999996</v>
      </c>
    </row>
    <row r="256" spans="1:14" ht="14.4" customHeight="1" x14ac:dyDescent="0.3">
      <c r="A256" s="611" t="s">
        <v>531</v>
      </c>
      <c r="B256" s="612" t="s">
        <v>532</v>
      </c>
      <c r="C256" s="613" t="s">
        <v>545</v>
      </c>
      <c r="D256" s="614" t="s">
        <v>1105</v>
      </c>
      <c r="E256" s="613" t="s">
        <v>670</v>
      </c>
      <c r="F256" s="614" t="s">
        <v>1107</v>
      </c>
      <c r="G256" s="613" t="s">
        <v>687</v>
      </c>
      <c r="H256" s="613" t="s">
        <v>790</v>
      </c>
      <c r="I256" s="613" t="s">
        <v>790</v>
      </c>
      <c r="J256" s="613" t="s">
        <v>791</v>
      </c>
      <c r="K256" s="613" t="s">
        <v>789</v>
      </c>
      <c r="L256" s="615">
        <v>34.660999999999994</v>
      </c>
      <c r="M256" s="615">
        <v>10</v>
      </c>
      <c r="N256" s="616">
        <v>346.60999999999996</v>
      </c>
    </row>
    <row r="257" spans="1:14" ht="14.4" customHeight="1" x14ac:dyDescent="0.3">
      <c r="A257" s="611" t="s">
        <v>531</v>
      </c>
      <c r="B257" s="612" t="s">
        <v>532</v>
      </c>
      <c r="C257" s="613" t="s">
        <v>545</v>
      </c>
      <c r="D257" s="614" t="s">
        <v>1105</v>
      </c>
      <c r="E257" s="613" t="s">
        <v>696</v>
      </c>
      <c r="F257" s="614" t="s">
        <v>1108</v>
      </c>
      <c r="G257" s="613"/>
      <c r="H257" s="613" t="s">
        <v>1091</v>
      </c>
      <c r="I257" s="613" t="s">
        <v>1092</v>
      </c>
      <c r="J257" s="613" t="s">
        <v>1093</v>
      </c>
      <c r="K257" s="613"/>
      <c r="L257" s="615">
        <v>30.195362163176288</v>
      </c>
      <c r="M257" s="615">
        <v>25</v>
      </c>
      <c r="N257" s="616">
        <v>754.88405407940718</v>
      </c>
    </row>
    <row r="258" spans="1:14" ht="14.4" customHeight="1" x14ac:dyDescent="0.3">
      <c r="A258" s="611" t="s">
        <v>531</v>
      </c>
      <c r="B258" s="612" t="s">
        <v>532</v>
      </c>
      <c r="C258" s="613" t="s">
        <v>545</v>
      </c>
      <c r="D258" s="614" t="s">
        <v>1105</v>
      </c>
      <c r="E258" s="613" t="s">
        <v>696</v>
      </c>
      <c r="F258" s="614" t="s">
        <v>1108</v>
      </c>
      <c r="G258" s="613" t="s">
        <v>552</v>
      </c>
      <c r="H258" s="613" t="s">
        <v>1094</v>
      </c>
      <c r="I258" s="613" t="s">
        <v>1095</v>
      </c>
      <c r="J258" s="613" t="s">
        <v>1096</v>
      </c>
      <c r="K258" s="613" t="s">
        <v>1097</v>
      </c>
      <c r="L258" s="615">
        <v>88.349538966732993</v>
      </c>
      <c r="M258" s="615">
        <v>4</v>
      </c>
      <c r="N258" s="616">
        <v>353.39815586693197</v>
      </c>
    </row>
    <row r="259" spans="1:14" ht="14.4" customHeight="1" x14ac:dyDescent="0.3">
      <c r="A259" s="611" t="s">
        <v>531</v>
      </c>
      <c r="B259" s="612" t="s">
        <v>532</v>
      </c>
      <c r="C259" s="613" t="s">
        <v>545</v>
      </c>
      <c r="D259" s="614" t="s">
        <v>1105</v>
      </c>
      <c r="E259" s="613" t="s">
        <v>696</v>
      </c>
      <c r="F259" s="614" t="s">
        <v>1108</v>
      </c>
      <c r="G259" s="613" t="s">
        <v>552</v>
      </c>
      <c r="H259" s="613" t="s">
        <v>701</v>
      </c>
      <c r="I259" s="613" t="s">
        <v>702</v>
      </c>
      <c r="J259" s="613" t="s">
        <v>703</v>
      </c>
      <c r="K259" s="613" t="s">
        <v>704</v>
      </c>
      <c r="L259" s="615">
        <v>97.504799597823052</v>
      </c>
      <c r="M259" s="615">
        <v>4</v>
      </c>
      <c r="N259" s="616">
        <v>390.01919839129221</v>
      </c>
    </row>
    <row r="260" spans="1:14" ht="14.4" customHeight="1" x14ac:dyDescent="0.3">
      <c r="A260" s="611" t="s">
        <v>531</v>
      </c>
      <c r="B260" s="612" t="s">
        <v>532</v>
      </c>
      <c r="C260" s="613" t="s">
        <v>545</v>
      </c>
      <c r="D260" s="614" t="s">
        <v>1105</v>
      </c>
      <c r="E260" s="613" t="s">
        <v>696</v>
      </c>
      <c r="F260" s="614" t="s">
        <v>1108</v>
      </c>
      <c r="G260" s="613" t="s">
        <v>687</v>
      </c>
      <c r="H260" s="613" t="s">
        <v>1098</v>
      </c>
      <c r="I260" s="613" t="s">
        <v>1098</v>
      </c>
      <c r="J260" s="613" t="s">
        <v>1099</v>
      </c>
      <c r="K260" s="613" t="s">
        <v>1100</v>
      </c>
      <c r="L260" s="615">
        <v>159.49999999999997</v>
      </c>
      <c r="M260" s="615">
        <v>2.2999999999999994</v>
      </c>
      <c r="N260" s="616">
        <v>366.84999999999985</v>
      </c>
    </row>
    <row r="261" spans="1:14" ht="14.4" customHeight="1" x14ac:dyDescent="0.3">
      <c r="A261" s="611" t="s">
        <v>531</v>
      </c>
      <c r="B261" s="612" t="s">
        <v>532</v>
      </c>
      <c r="C261" s="613" t="s">
        <v>545</v>
      </c>
      <c r="D261" s="614" t="s">
        <v>1105</v>
      </c>
      <c r="E261" s="613" t="s">
        <v>709</v>
      </c>
      <c r="F261" s="614" t="s">
        <v>1109</v>
      </c>
      <c r="G261" s="613"/>
      <c r="H261" s="613"/>
      <c r="I261" s="613" t="s">
        <v>710</v>
      </c>
      <c r="J261" s="613" t="s">
        <v>711</v>
      </c>
      <c r="K261" s="613"/>
      <c r="L261" s="615">
        <v>1188</v>
      </c>
      <c r="M261" s="615">
        <v>3</v>
      </c>
      <c r="N261" s="616">
        <v>3564</v>
      </c>
    </row>
    <row r="262" spans="1:14" ht="14.4" customHeight="1" thickBot="1" x14ac:dyDescent="0.35">
      <c r="A262" s="617" t="s">
        <v>531</v>
      </c>
      <c r="B262" s="618" t="s">
        <v>532</v>
      </c>
      <c r="C262" s="619" t="s">
        <v>545</v>
      </c>
      <c r="D262" s="620" t="s">
        <v>1105</v>
      </c>
      <c r="E262" s="619" t="s">
        <v>709</v>
      </c>
      <c r="F262" s="620" t="s">
        <v>1109</v>
      </c>
      <c r="G262" s="619"/>
      <c r="H262" s="619"/>
      <c r="I262" s="619" t="s">
        <v>1101</v>
      </c>
      <c r="J262" s="619" t="s">
        <v>1102</v>
      </c>
      <c r="K262" s="619"/>
      <c r="L262" s="621">
        <v>142.73032258064515</v>
      </c>
      <c r="M262" s="621">
        <v>31</v>
      </c>
      <c r="N262" s="622">
        <v>4424.6399999999994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8" customWidth="1"/>
    <col min="2" max="2" width="10" style="319" customWidth="1"/>
    <col min="3" max="3" width="5.5546875" style="322" customWidth="1"/>
    <col min="4" max="4" width="10" style="319" customWidth="1"/>
    <col min="5" max="5" width="5.5546875" style="322" customWidth="1"/>
    <col min="6" max="6" width="10" style="319" customWidth="1"/>
    <col min="7" max="16384" width="8.88671875" style="238"/>
  </cols>
  <sheetData>
    <row r="1" spans="1:6" ht="37.200000000000003" customHeight="1" thickBot="1" x14ac:dyDescent="0.4">
      <c r="A1" s="489" t="s">
        <v>182</v>
      </c>
      <c r="B1" s="490"/>
      <c r="C1" s="490"/>
      <c r="D1" s="490"/>
      <c r="E1" s="490"/>
      <c r="F1" s="490"/>
    </row>
    <row r="2" spans="1:6" ht="14.4" customHeight="1" thickBot="1" x14ac:dyDescent="0.35">
      <c r="A2" s="361" t="s">
        <v>306</v>
      </c>
      <c r="B2" s="67"/>
      <c r="C2" s="68"/>
      <c r="D2" s="69"/>
      <c r="E2" s="68"/>
      <c r="F2" s="69"/>
    </row>
    <row r="3" spans="1:6" ht="14.4" customHeight="1" thickBot="1" x14ac:dyDescent="0.35">
      <c r="A3" s="194"/>
      <c r="B3" s="491" t="s">
        <v>144</v>
      </c>
      <c r="C3" s="492"/>
      <c r="D3" s="493" t="s">
        <v>143</v>
      </c>
      <c r="E3" s="492"/>
      <c r="F3" s="96" t="s">
        <v>3</v>
      </c>
    </row>
    <row r="4" spans="1:6" ht="14.4" customHeight="1" thickBot="1" x14ac:dyDescent="0.35">
      <c r="A4" s="623" t="s">
        <v>166</v>
      </c>
      <c r="B4" s="624" t="s">
        <v>14</v>
      </c>
      <c r="C4" s="625" t="s">
        <v>2</v>
      </c>
      <c r="D4" s="624" t="s">
        <v>14</v>
      </c>
      <c r="E4" s="625" t="s">
        <v>2</v>
      </c>
      <c r="F4" s="626" t="s">
        <v>14</v>
      </c>
    </row>
    <row r="5" spans="1:6" ht="14.4" customHeight="1" x14ac:dyDescent="0.3">
      <c r="A5" s="637" t="s">
        <v>1111</v>
      </c>
      <c r="B5" s="609">
        <v>3865.1810567113021</v>
      </c>
      <c r="C5" s="627">
        <v>8.0716682458002814E-2</v>
      </c>
      <c r="D5" s="609">
        <v>44020.595947594717</v>
      </c>
      <c r="E5" s="627">
        <v>0.91928331754199721</v>
      </c>
      <c r="F5" s="610">
        <v>47885.777004306015</v>
      </c>
    </row>
    <row r="6" spans="1:6" ht="14.4" customHeight="1" x14ac:dyDescent="0.3">
      <c r="A6" s="638" t="s">
        <v>1112</v>
      </c>
      <c r="B6" s="615"/>
      <c r="C6" s="628">
        <v>0</v>
      </c>
      <c r="D6" s="615">
        <v>4315.593227284985</v>
      </c>
      <c r="E6" s="628">
        <v>1</v>
      </c>
      <c r="F6" s="616">
        <v>4315.593227284985</v>
      </c>
    </row>
    <row r="7" spans="1:6" ht="14.4" customHeight="1" thickBot="1" x14ac:dyDescent="0.35">
      <c r="A7" s="639" t="s">
        <v>1113</v>
      </c>
      <c r="B7" s="630"/>
      <c r="C7" s="631">
        <v>0</v>
      </c>
      <c r="D7" s="630">
        <v>1069.0867774495323</v>
      </c>
      <c r="E7" s="631">
        <v>1</v>
      </c>
      <c r="F7" s="632">
        <v>1069.0867774495323</v>
      </c>
    </row>
    <row r="8" spans="1:6" ht="14.4" customHeight="1" thickBot="1" x14ac:dyDescent="0.35">
      <c r="A8" s="633" t="s">
        <v>3</v>
      </c>
      <c r="B8" s="634">
        <v>3865.1810567113021</v>
      </c>
      <c r="C8" s="635">
        <v>7.255768532369343E-2</v>
      </c>
      <c r="D8" s="634">
        <v>49405.275952329233</v>
      </c>
      <c r="E8" s="635">
        <v>0.92744231467630667</v>
      </c>
      <c r="F8" s="636">
        <v>53270.457009040532</v>
      </c>
    </row>
    <row r="9" spans="1:6" ht="14.4" customHeight="1" thickBot="1" x14ac:dyDescent="0.35"/>
    <row r="10" spans="1:6" ht="14.4" customHeight="1" x14ac:dyDescent="0.3">
      <c r="A10" s="637" t="s">
        <v>1114</v>
      </c>
      <c r="B10" s="609">
        <v>1076.6200026318947</v>
      </c>
      <c r="C10" s="627">
        <v>0.20770311643641251</v>
      </c>
      <c r="D10" s="609">
        <v>4106.8361780147625</v>
      </c>
      <c r="E10" s="627">
        <v>0.79229688356358752</v>
      </c>
      <c r="F10" s="610">
        <v>5183.4561806466572</v>
      </c>
    </row>
    <row r="11" spans="1:6" ht="14.4" customHeight="1" x14ac:dyDescent="0.3">
      <c r="A11" s="638" t="s">
        <v>1115</v>
      </c>
      <c r="B11" s="615">
        <v>943.03700000000026</v>
      </c>
      <c r="C11" s="628">
        <v>1</v>
      </c>
      <c r="D11" s="615"/>
      <c r="E11" s="628">
        <v>0</v>
      </c>
      <c r="F11" s="616">
        <v>943.03700000000026</v>
      </c>
    </row>
    <row r="12" spans="1:6" ht="14.4" customHeight="1" x14ac:dyDescent="0.3">
      <c r="A12" s="638" t="s">
        <v>1116</v>
      </c>
      <c r="B12" s="615">
        <v>914.38405407940718</v>
      </c>
      <c r="C12" s="628">
        <v>0.81515226425913456</v>
      </c>
      <c r="D12" s="615">
        <v>207.34999999999991</v>
      </c>
      <c r="E12" s="628">
        <v>0.18484773574086544</v>
      </c>
      <c r="F12" s="616">
        <v>1121.7340540794071</v>
      </c>
    </row>
    <row r="13" spans="1:6" ht="14.4" customHeight="1" x14ac:dyDescent="0.3">
      <c r="A13" s="638" t="s">
        <v>1117</v>
      </c>
      <c r="B13" s="615">
        <v>714.59999999999991</v>
      </c>
      <c r="C13" s="628">
        <v>1</v>
      </c>
      <c r="D13" s="615"/>
      <c r="E13" s="628">
        <v>0</v>
      </c>
      <c r="F13" s="616">
        <v>714.59999999999991</v>
      </c>
    </row>
    <row r="14" spans="1:6" ht="14.4" customHeight="1" x14ac:dyDescent="0.3">
      <c r="A14" s="638" t="s">
        <v>1118</v>
      </c>
      <c r="B14" s="615">
        <v>216.54</v>
      </c>
      <c r="C14" s="628">
        <v>6.1263978266765343E-2</v>
      </c>
      <c r="D14" s="615">
        <v>3318.0002980052509</v>
      </c>
      <c r="E14" s="628">
        <v>0.93873602173323467</v>
      </c>
      <c r="F14" s="616">
        <v>3534.5402980052509</v>
      </c>
    </row>
    <row r="15" spans="1:6" ht="14.4" customHeight="1" x14ac:dyDescent="0.3">
      <c r="A15" s="638" t="s">
        <v>1119</v>
      </c>
      <c r="B15" s="615"/>
      <c r="C15" s="628">
        <v>0</v>
      </c>
      <c r="D15" s="615">
        <v>589.23699999999985</v>
      </c>
      <c r="E15" s="628">
        <v>1</v>
      </c>
      <c r="F15" s="616">
        <v>589.23699999999985</v>
      </c>
    </row>
    <row r="16" spans="1:6" ht="14.4" customHeight="1" x14ac:dyDescent="0.3">
      <c r="A16" s="638" t="s">
        <v>1120</v>
      </c>
      <c r="B16" s="615"/>
      <c r="C16" s="628">
        <v>0</v>
      </c>
      <c r="D16" s="615">
        <v>6711.1924745458628</v>
      </c>
      <c r="E16" s="628">
        <v>1</v>
      </c>
      <c r="F16" s="616">
        <v>6711.1924745458628</v>
      </c>
    </row>
    <row r="17" spans="1:6" ht="14.4" customHeight="1" x14ac:dyDescent="0.3">
      <c r="A17" s="638" t="s">
        <v>1121</v>
      </c>
      <c r="B17" s="615"/>
      <c r="C17" s="628">
        <v>0</v>
      </c>
      <c r="D17" s="615">
        <v>693</v>
      </c>
      <c r="E17" s="628">
        <v>1</v>
      </c>
      <c r="F17" s="616">
        <v>693</v>
      </c>
    </row>
    <row r="18" spans="1:6" ht="14.4" customHeight="1" x14ac:dyDescent="0.3">
      <c r="A18" s="638" t="s">
        <v>1122</v>
      </c>
      <c r="B18" s="615"/>
      <c r="C18" s="628">
        <v>0</v>
      </c>
      <c r="D18" s="615">
        <v>528</v>
      </c>
      <c r="E18" s="628">
        <v>1</v>
      </c>
      <c r="F18" s="616">
        <v>528</v>
      </c>
    </row>
    <row r="19" spans="1:6" ht="14.4" customHeight="1" x14ac:dyDescent="0.3">
      <c r="A19" s="638" t="s">
        <v>1123</v>
      </c>
      <c r="B19" s="615"/>
      <c r="C19" s="628">
        <v>0</v>
      </c>
      <c r="D19" s="615">
        <v>539.33008966049522</v>
      </c>
      <c r="E19" s="628">
        <v>1</v>
      </c>
      <c r="F19" s="616">
        <v>539.33008966049522</v>
      </c>
    </row>
    <row r="20" spans="1:6" ht="14.4" customHeight="1" x14ac:dyDescent="0.3">
      <c r="A20" s="638" t="s">
        <v>1124</v>
      </c>
      <c r="B20" s="615"/>
      <c r="C20" s="628">
        <v>0</v>
      </c>
      <c r="D20" s="615">
        <v>1789.3</v>
      </c>
      <c r="E20" s="628">
        <v>1</v>
      </c>
      <c r="F20" s="616">
        <v>1789.3</v>
      </c>
    </row>
    <row r="21" spans="1:6" ht="14.4" customHeight="1" x14ac:dyDescent="0.3">
      <c r="A21" s="638" t="s">
        <v>1125</v>
      </c>
      <c r="B21" s="615"/>
      <c r="C21" s="628">
        <v>0</v>
      </c>
      <c r="D21" s="615">
        <v>8982.007585917996</v>
      </c>
      <c r="E21" s="628">
        <v>1</v>
      </c>
      <c r="F21" s="616">
        <v>8982.007585917996</v>
      </c>
    </row>
    <row r="22" spans="1:6" ht="14.4" customHeight="1" x14ac:dyDescent="0.3">
      <c r="A22" s="638" t="s">
        <v>1126</v>
      </c>
      <c r="B22" s="615"/>
      <c r="C22" s="628">
        <v>0</v>
      </c>
      <c r="D22" s="615">
        <v>112.41999608434247</v>
      </c>
      <c r="E22" s="628">
        <v>1</v>
      </c>
      <c r="F22" s="616">
        <v>112.41999608434247</v>
      </c>
    </row>
    <row r="23" spans="1:6" ht="14.4" customHeight="1" x14ac:dyDescent="0.3">
      <c r="A23" s="638" t="s">
        <v>1127</v>
      </c>
      <c r="B23" s="615"/>
      <c r="C23" s="628">
        <v>0</v>
      </c>
      <c r="D23" s="615">
        <v>262.71000000000004</v>
      </c>
      <c r="E23" s="628">
        <v>1</v>
      </c>
      <c r="F23" s="616">
        <v>262.71000000000004</v>
      </c>
    </row>
    <row r="24" spans="1:6" ht="14.4" customHeight="1" x14ac:dyDescent="0.3">
      <c r="A24" s="638" t="s">
        <v>1128</v>
      </c>
      <c r="B24" s="615"/>
      <c r="C24" s="628">
        <v>0</v>
      </c>
      <c r="D24" s="615">
        <v>238.89969727014375</v>
      </c>
      <c r="E24" s="628">
        <v>1</v>
      </c>
      <c r="F24" s="616">
        <v>238.89969727014375</v>
      </c>
    </row>
    <row r="25" spans="1:6" ht="14.4" customHeight="1" x14ac:dyDescent="0.3">
      <c r="A25" s="638" t="s">
        <v>1129</v>
      </c>
      <c r="B25" s="615"/>
      <c r="C25" s="628">
        <v>0</v>
      </c>
      <c r="D25" s="615">
        <v>299.40222728498503</v>
      </c>
      <c r="E25" s="628">
        <v>1</v>
      </c>
      <c r="F25" s="616">
        <v>299.40222728498503</v>
      </c>
    </row>
    <row r="26" spans="1:6" ht="14.4" customHeight="1" x14ac:dyDescent="0.3">
      <c r="A26" s="638" t="s">
        <v>1130</v>
      </c>
      <c r="B26" s="615"/>
      <c r="C26" s="628">
        <v>0</v>
      </c>
      <c r="D26" s="615">
        <v>6515.92</v>
      </c>
      <c r="E26" s="628">
        <v>1</v>
      </c>
      <c r="F26" s="616">
        <v>6515.92</v>
      </c>
    </row>
    <row r="27" spans="1:6" ht="14.4" customHeight="1" x14ac:dyDescent="0.3">
      <c r="A27" s="638" t="s">
        <v>1131</v>
      </c>
      <c r="B27" s="615"/>
      <c r="C27" s="628">
        <v>0</v>
      </c>
      <c r="D27" s="615">
        <v>4632.4800000000005</v>
      </c>
      <c r="E27" s="628">
        <v>1</v>
      </c>
      <c r="F27" s="616">
        <v>4632.4800000000005</v>
      </c>
    </row>
    <row r="28" spans="1:6" ht="14.4" customHeight="1" x14ac:dyDescent="0.3">
      <c r="A28" s="638" t="s">
        <v>1132</v>
      </c>
      <c r="B28" s="615"/>
      <c r="C28" s="628">
        <v>0</v>
      </c>
      <c r="D28" s="615">
        <v>528.08000000000004</v>
      </c>
      <c r="E28" s="628">
        <v>1</v>
      </c>
      <c r="F28" s="616">
        <v>528.08000000000004</v>
      </c>
    </row>
    <row r="29" spans="1:6" ht="14.4" customHeight="1" x14ac:dyDescent="0.3">
      <c r="A29" s="638" t="s">
        <v>1133</v>
      </c>
      <c r="B29" s="615"/>
      <c r="C29" s="628">
        <v>0</v>
      </c>
      <c r="D29" s="615">
        <v>7782.8079999999991</v>
      </c>
      <c r="E29" s="628">
        <v>1</v>
      </c>
      <c r="F29" s="616">
        <v>7782.8079999999991</v>
      </c>
    </row>
    <row r="30" spans="1:6" ht="14.4" customHeight="1" x14ac:dyDescent="0.3">
      <c r="A30" s="638" t="s">
        <v>1134</v>
      </c>
      <c r="B30" s="615"/>
      <c r="C30" s="628">
        <v>0</v>
      </c>
      <c r="D30" s="615">
        <v>68.28</v>
      </c>
      <c r="E30" s="628">
        <v>1</v>
      </c>
      <c r="F30" s="616">
        <v>68.28</v>
      </c>
    </row>
    <row r="31" spans="1:6" ht="14.4" customHeight="1" thickBot="1" x14ac:dyDescent="0.35">
      <c r="A31" s="639" t="s">
        <v>1135</v>
      </c>
      <c r="B31" s="630"/>
      <c r="C31" s="631">
        <v>0</v>
      </c>
      <c r="D31" s="630">
        <v>1500.0224055453905</v>
      </c>
      <c r="E31" s="631">
        <v>1</v>
      </c>
      <c r="F31" s="632">
        <v>1500.0224055453905</v>
      </c>
    </row>
    <row r="32" spans="1:6" ht="14.4" customHeight="1" thickBot="1" x14ac:dyDescent="0.35">
      <c r="A32" s="633" t="s">
        <v>3</v>
      </c>
      <c r="B32" s="634">
        <v>3865.1810567113021</v>
      </c>
      <c r="C32" s="635">
        <v>7.255768532369343E-2</v>
      </c>
      <c r="D32" s="634">
        <v>49405.275952329219</v>
      </c>
      <c r="E32" s="635">
        <v>0.92744231467630633</v>
      </c>
      <c r="F32" s="636">
        <v>53270.457009040532</v>
      </c>
    </row>
  </sheetData>
  <mergeCells count="3">
    <mergeCell ref="A1:F1"/>
    <mergeCell ref="B3:C3"/>
    <mergeCell ref="D3:E3"/>
  </mergeCells>
  <conditionalFormatting sqref="C5:C1048576">
    <cfRule type="cellIs" dxfId="4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3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2015-06-19T14:31:56Z</dcterms:modified>
</cp:coreProperties>
</file>