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40" i="371" l="1"/>
  <c r="U40" i="371"/>
  <c r="T40" i="371"/>
  <c r="S40" i="371"/>
  <c r="R40" i="371"/>
  <c r="Q40" i="371"/>
  <c r="V39" i="371"/>
  <c r="T39" i="371"/>
  <c r="U39" i="371" s="1"/>
  <c r="S39" i="371"/>
  <c r="R39" i="371"/>
  <c r="Q39" i="371"/>
  <c r="T38" i="371"/>
  <c r="V38" i="371" s="1"/>
  <c r="S38" i="371"/>
  <c r="R38" i="371"/>
  <c r="Q38" i="371"/>
  <c r="V37" i="371"/>
  <c r="T37" i="371"/>
  <c r="U37" i="371" s="1"/>
  <c r="S37" i="371"/>
  <c r="R37" i="371"/>
  <c r="Q37" i="371"/>
  <c r="T36" i="371"/>
  <c r="V36" i="371" s="1"/>
  <c r="S36" i="371"/>
  <c r="R36" i="371"/>
  <c r="Q36" i="371"/>
  <c r="V35" i="371"/>
  <c r="T35" i="371"/>
  <c r="U35" i="371" s="1"/>
  <c r="S35" i="371"/>
  <c r="R35" i="371"/>
  <c r="Q35" i="371"/>
  <c r="T34" i="371"/>
  <c r="V34" i="371" s="1"/>
  <c r="S34" i="371"/>
  <c r="R34" i="371"/>
  <c r="Q34" i="371"/>
  <c r="V33" i="371"/>
  <c r="T33" i="371"/>
  <c r="U33" i="371" s="1"/>
  <c r="S33" i="371"/>
  <c r="R33" i="371"/>
  <c r="Q33" i="371"/>
  <c r="T32" i="371"/>
  <c r="V32" i="371" s="1"/>
  <c r="S32" i="371"/>
  <c r="R32" i="371"/>
  <c r="Q32" i="371"/>
  <c r="V31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V27" i="371"/>
  <c r="U27" i="371"/>
  <c r="T27" i="37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T21" i="371"/>
  <c r="U21" i="371" s="1"/>
  <c r="S21" i="371"/>
  <c r="R21" i="371"/>
  <c r="Q21" i="371"/>
  <c r="T20" i="371"/>
  <c r="V20" i="371" s="1"/>
  <c r="S20" i="371"/>
  <c r="R20" i="371"/>
  <c r="Q20" i="371"/>
  <c r="V19" i="371"/>
  <c r="T19" i="371"/>
  <c r="U19" i="371" s="1"/>
  <c r="S19" i="371"/>
  <c r="R19" i="371"/>
  <c r="Q19" i="371"/>
  <c r="T18" i="371"/>
  <c r="V18" i="371" s="1"/>
  <c r="S18" i="371"/>
  <c r="R18" i="371"/>
  <c r="Q18" i="371"/>
  <c r="V17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T15" i="371"/>
  <c r="U15" i="371" s="1"/>
  <c r="S15" i="371"/>
  <c r="R15" i="371"/>
  <c r="Q15" i="371"/>
  <c r="T14" i="371"/>
  <c r="U14" i="371" s="1"/>
  <c r="S14" i="371"/>
  <c r="R14" i="371"/>
  <c r="Q14" i="371"/>
  <c r="V13" i="371"/>
  <c r="T13" i="371"/>
  <c r="U13" i="371" s="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T9" i="371"/>
  <c r="U9" i="371" s="1"/>
  <c r="S9" i="371"/>
  <c r="R9" i="371"/>
  <c r="Q9" i="371"/>
  <c r="T8" i="371"/>
  <c r="U8" i="371" s="1"/>
  <c r="S8" i="371"/>
  <c r="R8" i="371"/>
  <c r="Q8" i="371"/>
  <c r="V7" i="371"/>
  <c r="T7" i="371"/>
  <c r="U7" i="371" s="1"/>
  <c r="S7" i="371"/>
  <c r="R7" i="371"/>
  <c r="Q7" i="371"/>
  <c r="T6" i="371"/>
  <c r="U6" i="371" s="1"/>
  <c r="S6" i="371"/>
  <c r="R6" i="371"/>
  <c r="Q6" i="371"/>
  <c r="V5" i="371"/>
  <c r="U5" i="371"/>
  <c r="T5" i="371"/>
  <c r="S5" i="371"/>
  <c r="R5" i="371"/>
  <c r="Q5" i="371"/>
  <c r="V6" i="371" l="1"/>
  <c r="V8" i="371"/>
  <c r="V14" i="371"/>
  <c r="U12" i="371"/>
  <c r="U18" i="371"/>
  <c r="U20" i="371"/>
  <c r="U22" i="371"/>
  <c r="U24" i="371"/>
  <c r="U26" i="371"/>
  <c r="U28" i="371"/>
  <c r="U32" i="371"/>
  <c r="U34" i="371"/>
  <c r="U36" i="371"/>
  <c r="U38" i="371"/>
  <c r="A9" i="414"/>
  <c r="A8" i="414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Q6" i="419"/>
  <c r="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U6" i="419"/>
  <c r="M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14" i="414"/>
  <c r="A4" i="414"/>
  <c r="A6" i="339" l="1"/>
  <c r="A5" i="339"/>
  <c r="D4" i="414"/>
  <c r="C14" i="414"/>
  <c r="D17" i="414"/>
  <c r="D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M3" i="387"/>
  <c r="K3" i="387" s="1"/>
  <c r="L3" i="387"/>
  <c r="J3" i="387"/>
  <c r="I3" i="387"/>
  <c r="G3" i="387"/>
  <c r="F3" i="387"/>
  <c r="N3" i="220"/>
  <c r="L3" i="220" s="1"/>
  <c r="D19" i="414"/>
  <c r="C19" i="414"/>
  <c r="N3" i="372" l="1"/>
  <c r="H3" i="387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<sst xmlns="http://schemas.openxmlformats.org/spreadsheetml/2006/main" count="9689" uniqueCount="2586">
  <si>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</si>
  <si>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</si>
  <si>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</si>
  <si>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</si>
  <si>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</si>
  <si>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</si>
  <si>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</si>
  <si>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</si>
  <si>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</si>
  <si>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</si>
  <si>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</si>
  <si>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</si>
  <si>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</si>
  <si>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</si>
  <si>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</si>
  <si>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</si>
  <si>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</si>
  <si>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</si>
  <si>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</si>
  <si>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</si>
  <si>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</si>
  <si>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</si>
  <si>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</si>
  <si>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</si>
  <si>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</si>
  <si>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</si>
  <si>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</si>
  <si>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</si>
  <si>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</si>
  <si>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</si>
  <si>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</si>
  <si>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</si>
  <si>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</si>
  <si>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</si>
  <si>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</si>
  <si>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</si>
  <si>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</si>
  <si>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</si>
  <si>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</si>
  <si>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</si>
  <si>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</si>
  <si>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</si>
  <si>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</si>
  <si>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</si>
  <si>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</si>
  <si>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</si>
  <si>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</si>
  <si>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</si>
  <si>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</si>
  <si>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</si>
  <si>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</si>
  <si>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</si>
  <si>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</si>
  <si>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</si>
  <si>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</si>
  <si>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</si>
  <si>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</si>
  <si>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</si>
  <si>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</si>
  <si>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</si>
  <si>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</si>
  <si>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</si>
  <si>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</si>
  <si>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</si>
  <si>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</si>
  <si>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</si>
  <si>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</si>
  <si>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</si>
  <si>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</si>
  <si>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</si>
  <si>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</si>
  <si>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</si>
  <si>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</si>
  <si>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</si>
  <si>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</si>
  <si>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</si>
  <si>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</si>
  <si>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</si>
  <si>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</si>
  <si>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</si>
  <si>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</si>
  <si>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</si>
  <si>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</si>
  <si>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</si>
  <si>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</si>
  <si>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</si>
  <si>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</si>
  <si>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</si>
  <si>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</si>
  <si>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</si>
  <si>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</si>
  <si>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</si>
  <si>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</si>
  <si>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</si>
  <si>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</si>
  <si>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</si>
  <si>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</si>
  <si>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</si>
  <si>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</si>
  <si>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</si>
  <si>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</si>
  <si>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</si>
  <si>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</si>
  <si>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</si>
  <si>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</si>
  <si>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</si>
  <si>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</si>
  <si>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</si>
  <si>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</si>
  <si>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</si>
  <si>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</si>
  <si>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</si>
  <si>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</si>
  <si>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</si>
  <si>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</si>
  <si>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</si>
  <si>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</si>
  <si>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</si>
  <si>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</si>
  <si>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</si>
  <si>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</si>
  <si>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</si>
  <si>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</si>
  <si>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</si>
  <si>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</si>
  <si>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</si>
  <si>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</si>
  <si>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</si>
  <si>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</si>
  <si>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</si>
  <si>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</si>
  <si>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</si>
  <si>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</si>
  <si>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</si>
  <si>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</si>
  <si>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</si>
  <si>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</si>
  <si>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</si>
  <si>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</si>
  <si>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</si>
  <si>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</si>
  <si>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</si>
  <si>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</si>
  <si>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</si>
  <si>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</si>
  <si>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</si>
  <si>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</si>
  <si>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</si>
  <si>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</si>
  <si>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</si>
  <si>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</si>
  <si>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</si>
  <si>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</si>
  <si>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</si>
  <si>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</si>
  <si>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</si>
  <si>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</si>
  <si>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</si>
  <si>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</si>
  <si>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</si>
  <si>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</si>
  <si>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</si>
  <si>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</si>
  <si>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</si>
  <si>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</si>
  <si>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</si>
  <si>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</si>
  <si>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</si>
  <si>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</si>
  <si>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</si>
  <si>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</si>
  <si>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</si>
  <si>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</si>
  <si>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</si>
  <si>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</si>
  <si>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</si>
  <si>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</si>
  <si>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</si>
  <si>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</si>
  <si>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</si>
  <si>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</si>
  <si>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</si>
  <si>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</si>
  <si>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</si>
  <si>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</si>
  <si>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</si>
  <si>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</si>
  <si>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</si>
  <si>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</si>
  <si>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</si>
  <si>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</si>
  <si>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</si>
  <si>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</si>
  <si>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</si>
  <si>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</si>
  <si>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</si>
  <si>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</si>
  <si>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</si>
  <si>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</si>
  <si>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</si>
  <si>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</si>
  <si>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</si>
  <si>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</si>
  <si>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</si>
  <si>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</si>
  <si>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</si>
  <si>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</si>
  <si>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</si>
  <si>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</si>
  <si>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</si>
  <si>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</si>
  <si>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</si>
  <si>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</si>
  <si>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</si>
  <si>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</si>
  <si>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</si>
  <si>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</si>
  <si>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</si>
  <si>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</si>
  <si>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</si>
  <si>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</si>
  <si>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</si>
  <si>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</si>
  <si>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</si>
  <si>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</si>
  <si>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</si>
  <si>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</si>
  <si>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</si>
  <si>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</si>
  <si>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</si>
  <si>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</si>
  <si>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</si>
  <si>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</si>
  <si>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</si>
  <si>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</si>
  <si>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</si>
  <si>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</si>
  <si>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</si>
  <si>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</si>
  <si>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</si>
  <si>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</si>
  <si>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</si>
  <si>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</si>
  <si>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</si>
  <si>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</si>
  <si>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</si>
  <si>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</si>
  <si>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</si>
  <si>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</si>
  <si>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</si>
  <si>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</si>
  <si>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</si>
  <si>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</si>
  <si>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</si>
  <si>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</si>
  <si>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</si>
  <si>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</si>
  <si>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</si>
  <si>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</si>
  <si>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</si>
  <si>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</si>
  <si>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</si>
  <si>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</si>
  <si>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</si>
  <si>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</si>
  <si>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</si>
  <si>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</si>
  <si>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</si>
  <si>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</si>
  <si>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</si>
  <si>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</si>
  <si>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</si>
  <si>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</si>
  <si>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</si>
  <si>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</si>
  <si>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</si>
  <si>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</si>
  <si>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</si>
  <si>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</si>
  <si>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</si>
  <si>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</si>
  <si>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</si>
  <si>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</si>
  <si>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</si>
  <si>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</si>
  <si>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</si>
  <si>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</si>
  <si>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</si>
  <si>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</si>
  <si>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</si>
  <si>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</si>
  <si>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</si>
  <si>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</si>
  <si>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</si>
  <si>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</si>
  <si>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</si>
  <si>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</si>
  <si>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</si>
  <si>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</si>
  <si>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</si>
  <si>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</si>
  <si>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</si>
  <si>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Případy hospitalizací se při výpočtu casemixu v letech 2013, 2014, 2015 rozumí případy hospitalizací přepočtené pomocí pravidel pro Klasifikaci a sestavování případů</t>
  </si>
  <si>
    <t>hospitalizací platných pro rok 2015 (grouper 010.006)</t>
  </si>
  <si>
    <t>Casemix v letech 2013, 2014, 2015 je počet případů hospitalizací ukončených ve sledovaném období, poskytovatelem vykázaných a zdravotní pojišťovnou uznaných,</t>
  </si>
  <si>
    <t>které jsou podle Klasifikace zařazeny do skupin vztažených k diagnóze, vynásobený indexy 2015 (viz příloha č. 10)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</si>
  <si>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</si>
  <si>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</si>
  <si>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</si>
  <si>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</si>
  <si>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</si>
  <si>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</si>
  <si>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</si>
  <si>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</si>
  <si>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</si>
  <si>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</si>
  <si>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</si>
  <si>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</si>
  <si>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</si>
  <si>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</si>
  <si>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</si>
  <si>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</si>
  <si>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</si>
  <si>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</si>
  <si>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</si>
  <si>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</si>
  <si>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--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</si>
  <si>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</si>
  <si>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</si>
  <si>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</si>
  <si>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</si>
  <si>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</si>
  <si>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</si>
  <si>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</si>
  <si>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</si>
  <si>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</si>
  <si>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</si>
  <si>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</si>
  <si>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</si>
  <si>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</si>
  <si>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</si>
  <si>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50116004     výživa kojenců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</si>
  <si>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</si>
  <si>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</si>
  <si>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</si>
  <si>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</si>
  <si>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</si>
  <si>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</si>
  <si>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</si>
  <si>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</si>
  <si>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</si>
  <si>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</si>
  <si>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</si>
  <si>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</si>
  <si>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</si>
  <si>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50117201     obaly ostatní - LEK (sk.Z519)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</si>
  <si>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</si>
  <si>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</si>
  <si>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</si>
  <si>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</si>
  <si>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</si>
  <si>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</si>
  <si>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</si>
  <si>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</si>
  <si>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</si>
  <si>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</si>
  <si>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</si>
  <si>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</si>
  <si>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</si>
  <si>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</si>
  <si>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</si>
  <si>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</si>
  <si>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</si>
  <si>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</si>
  <si>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</si>
  <si>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</si>
  <si>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</si>
  <si>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</si>
  <si>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</si>
  <si>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</si>
  <si>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</si>
  <si>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</si>
  <si>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</si>
  <si>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</si>
  <si>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</si>
  <si>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</si>
  <si>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</si>
  <si>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</si>
  <si>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</si>
  <si>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</si>
  <si>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</si>
  <si>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</si>
  <si>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</si>
  <si>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</si>
  <si>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</si>
  <si>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</si>
  <si>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</si>
  <si>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</si>
  <si>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</si>
  <si>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</si>
  <si>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</si>
  <si>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</si>
  <si>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</si>
  <si>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</si>
  <si>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</si>
  <si>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</si>
  <si>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</si>
  <si>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</si>
  <si>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</si>
  <si>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</si>
  <si>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</si>
  <si>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</si>
  <si>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</si>
  <si>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</si>
  <si>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</si>
  <si>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</si>
  <si>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</si>
  <si>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</si>
  <si>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</si>
  <si>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</si>
  <si>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</si>
  <si>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</si>
  <si>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</si>
  <si>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</si>
  <si>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</si>
  <si>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</si>
  <si>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</si>
  <si>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</si>
  <si>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</si>
  <si>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</si>
  <si>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</si>
  <si>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</si>
  <si>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</si>
  <si>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</si>
  <si>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</si>
  <si>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</si>
  <si>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</si>
  <si>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</si>
  <si>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</si>
  <si>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</si>
  <si>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</si>
  <si>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</si>
  <si>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</si>
  <si>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</si>
  <si>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</si>
  <si>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</si>
  <si>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</si>
  <si>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</si>
  <si>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</si>
  <si>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</si>
  <si>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</si>
  <si>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</si>
  <si>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55801081     DDHM - zdravotnický a laboratorní (finanční dary)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</si>
  <si>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</si>
  <si>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</si>
  <si>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</si>
  <si>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</si>
  <si>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</si>
  <si>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</si>
  <si>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</si>
  <si>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</si>
  <si>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</si>
  <si>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</si>
  <si>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</si>
  <si>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</si>
  <si>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</si>
  <si>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</si>
  <si>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</si>
  <si>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</si>
  <si>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</si>
  <si>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</si>
  <si>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</si>
  <si>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</si>
  <si>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</si>
  <si>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</si>
  <si>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</si>
  <si>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</si>
  <si>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</si>
  <si>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</si>
  <si>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</si>
  <si>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</si>
  <si>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</si>
  <si>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</si>
  <si>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</si>
  <si>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</si>
  <si>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</si>
  <si>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</si>
  <si>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</si>
  <si>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</si>
  <si>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</si>
  <si>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</si>
  <si>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</si>
  <si>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</si>
  <si>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</si>
  <si>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</si>
  <si>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</si>
  <si>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</si>
  <si>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</si>
  <si>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</si>
  <si>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</si>
  <si>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</si>
  <si>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</si>
  <si>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</si>
  <si>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</si>
  <si>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</si>
  <si>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</si>
  <si>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</si>
  <si>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</si>
  <si>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</si>
  <si>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</si>
  <si>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</si>
  <si>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</si>
  <si>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</si>
  <si>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</si>
  <si>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</si>
  <si>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</si>
  <si>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</si>
  <si>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</si>
  <si>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</si>
  <si>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</si>
  <si>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</si>
  <si>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</si>
  <si>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</si>
  <si>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</si>
  <si>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</si>
  <si>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</si>
  <si>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</si>
  <si>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</si>
  <si>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</si>
  <si>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</si>
  <si>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</si>
  <si>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</si>
  <si>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</si>
  <si>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</si>
  <si>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</si>
  <si>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</si>
  <si>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</si>
  <si>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</si>
  <si>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09</t>
  </si>
  <si>
    <t>Novorozenecké oddělení</t>
  </si>
  <si>
    <t/>
  </si>
  <si>
    <t>50113016     léky - spotřeba v centrech (LEK)</t>
  </si>
  <si>
    <t>Novorozenecké oddělení Celkem</t>
  </si>
  <si>
    <t>SumaKL</t>
  </si>
  <si>
    <t>0911</t>
  </si>
  <si>
    <t xml:space="preserve">lůžkové oddělení 16C </t>
  </si>
  <si>
    <t>lůžkové oddělení 16C  Celkem</t>
  </si>
  <si>
    <t>SumaNS</t>
  </si>
  <si>
    <t>mezeraNS</t>
  </si>
  <si>
    <t>0912</t>
  </si>
  <si>
    <t>lůžkové oddělení 16B + 16D</t>
  </si>
  <si>
    <t>lůžkové oddělení 16B + 16D Celkem</t>
  </si>
  <si>
    <t>0931</t>
  </si>
  <si>
    <t>JIP 16A</t>
  </si>
  <si>
    <t>JIP 16A Celkem</t>
  </si>
  <si>
    <t>0994</t>
  </si>
  <si>
    <t>centrum - novorozenecké</t>
  </si>
  <si>
    <t>centrum - novorozenecké Celkem</t>
  </si>
  <si>
    <t>50113001</t>
  </si>
  <si>
    <t>O</t>
  </si>
  <si>
    <t>51366</t>
  </si>
  <si>
    <t>CHLORID SODNÝ 0,9% BRAUN</t>
  </si>
  <si>
    <t>INF SOL 20X100MLPELAH</t>
  </si>
  <si>
    <t>47256</t>
  </si>
  <si>
    <t>GLUKÓZA 5 BRAUN</t>
  </si>
  <si>
    <t>INF SOL 20X100ML-PE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</si>
  <si>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</si>
  <si>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</si>
  <si>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</si>
  <si>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</si>
  <si>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</si>
  <si>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</si>
  <si>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</si>
  <si>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</si>
  <si>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</si>
  <si>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</si>
  <si>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</si>
  <si>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</si>
  <si>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</si>
  <si>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</si>
  <si>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</si>
  <si>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</si>
  <si>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152266</t>
  </si>
  <si>
    <t>52266</t>
  </si>
  <si>
    <t>INFADOLAN</t>
  </si>
  <si>
    <t>DRM UNG 1X30GM</t>
  </si>
  <si>
    <t>395997</t>
  </si>
  <si>
    <t>DZ SOFTASEPT N BEZBARVÝ 250 ml</t>
  </si>
  <si>
    <t>840220</t>
  </si>
  <si>
    <t>Lactobacillus acidophil.cps.75 bez laktózy</t>
  </si>
  <si>
    <t>847974</t>
  </si>
  <si>
    <t>125525</t>
  </si>
  <si>
    <t>APO-IBUPROFEN 400 MG</t>
  </si>
  <si>
    <t>POR TBL FLM 30X400MG</t>
  </si>
  <si>
    <t>905097</t>
  </si>
  <si>
    <t>158767</t>
  </si>
  <si>
    <t>DZ OCTENISEPT 250 ml</t>
  </si>
  <si>
    <t>sprej</t>
  </si>
  <si>
    <t>930444</t>
  </si>
  <si>
    <t>KL AQUA PURIF. KUL., FAG. 1 kg</t>
  </si>
  <si>
    <t>102684</t>
  </si>
  <si>
    <t>2684</t>
  </si>
  <si>
    <t>MESOCAIN</t>
  </si>
  <si>
    <t>GEL 1X20GM</t>
  </si>
  <si>
    <t>100392</t>
  </si>
  <si>
    <t>392</t>
  </si>
  <si>
    <t>ATROPIN BIOTIKA 0.5MG</t>
  </si>
  <si>
    <t>INJ 10X1ML/0.5MG</t>
  </si>
  <si>
    <t>900321</t>
  </si>
  <si>
    <t>KL PRIPRAVEK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</si>
  <si>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</si>
  <si>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</si>
  <si>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</si>
  <si>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</si>
  <si>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</si>
  <si>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</si>
  <si>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</si>
  <si>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</si>
  <si>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</si>
  <si>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</si>
  <si>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840987</t>
  </si>
  <si>
    <t>IR  AQUA STERILE OPLACH.6x1000 ml</t>
  </si>
  <si>
    <t>IR OPLACH-FR</t>
  </si>
  <si>
    <t>189997</t>
  </si>
  <si>
    <t>89997</t>
  </si>
  <si>
    <t>LINOLA-FETT OLBAD</t>
  </si>
  <si>
    <t>OLE 1X400ML</t>
  </si>
  <si>
    <t>394072</t>
  </si>
  <si>
    <t>KL KAPSLE</t>
  </si>
  <si>
    <t>900071</t>
  </si>
  <si>
    <t>KL TBL MAGN.LACT 0,5G+B6 0,02G, 100TBL</t>
  </si>
  <si>
    <t>921017</t>
  </si>
  <si>
    <t>KL KAL.PERMANGANAS 2G</t>
  </si>
  <si>
    <t>100584</t>
  </si>
  <si>
    <t>584</t>
  </si>
  <si>
    <t>PYRIDOXIN LECIVA</t>
  </si>
  <si>
    <t>INJ 5X1ML 50MG</t>
  </si>
  <si>
    <t>194763</t>
  </si>
  <si>
    <t>94763</t>
  </si>
  <si>
    <t>NALOXONE POLFA</t>
  </si>
  <si>
    <t>INJ 10X1ML/0.4MG</t>
  </si>
  <si>
    <t>196886</t>
  </si>
  <si>
    <t>96886</t>
  </si>
  <si>
    <t>0.9% W/V SODIUM CHLORIDE I.V.</t>
  </si>
  <si>
    <t>INJ 20X10ML</t>
  </si>
  <si>
    <t>156171</t>
  </si>
  <si>
    <t>56171</t>
  </si>
  <si>
    <t>ENGERIX-B 20RG(VE STRIKACCE)</t>
  </si>
  <si>
    <t>INJ 1X1ML/20RG</t>
  </si>
  <si>
    <t>189996</t>
  </si>
  <si>
    <t>89996</t>
  </si>
  <si>
    <t>OLE 1X200ML</t>
  </si>
  <si>
    <t>394627</t>
  </si>
  <si>
    <t>KL BARVA NA  DETI 20 g</t>
  </si>
  <si>
    <t>844879</t>
  </si>
  <si>
    <t>KL HELIANTHI OLEUM 45g</t>
  </si>
  <si>
    <t>848241</t>
  </si>
  <si>
    <t>107854</t>
  </si>
  <si>
    <t>NEOHEPATECT</t>
  </si>
  <si>
    <t>INF SOL 1X2ML/100UT</t>
  </si>
  <si>
    <t>920352</t>
  </si>
  <si>
    <t>KL HELIANTHI OLEUM 180G</t>
  </si>
  <si>
    <t>921326</t>
  </si>
  <si>
    <t>KL SOL.NOVIKOV SINE V.N. 20G</t>
  </si>
  <si>
    <t>921412</t>
  </si>
  <si>
    <t>KL UNG.LENIENS, 30G</t>
  </si>
  <si>
    <t>930332</t>
  </si>
  <si>
    <t>KL BENZINUM 20g</t>
  </si>
  <si>
    <t>930676</t>
  </si>
  <si>
    <t>KL SACCHAROSUM  24 %  65 g</t>
  </si>
  <si>
    <t>846941</t>
  </si>
  <si>
    <t>Swiss Laktobacilky baby 30 cps</t>
  </si>
  <si>
    <t>920020</t>
  </si>
  <si>
    <t>IR OG. COLL.HOMAT.HYDROBROM.1%10G</t>
  </si>
  <si>
    <t>COLL</t>
  </si>
  <si>
    <t>930224</t>
  </si>
  <si>
    <t>KL BENZINUM 900ml/ 600g</t>
  </si>
  <si>
    <t>UN 3295</t>
  </si>
  <si>
    <t>845031</t>
  </si>
  <si>
    <t>101113</t>
  </si>
  <si>
    <t>NUROFEN PRO DĚTI JAHODA (od 3 měsíců)</t>
  </si>
  <si>
    <t>POR SUS 2000MG/100ML TRUB</t>
  </si>
  <si>
    <t>189831</t>
  </si>
  <si>
    <t>89831</t>
  </si>
  <si>
    <t>CILOXAN STERILE OPHTHALMIC.SOL.</t>
  </si>
  <si>
    <t>GTT OPH 1X5ML</t>
  </si>
  <si>
    <t>395180</t>
  </si>
  <si>
    <t>Arfen 400mg/3ml inj. 6 amp.</t>
  </si>
  <si>
    <t>200863</t>
  </si>
  <si>
    <t>OPHTHALMO-SEPTONEX</t>
  </si>
  <si>
    <t>OPH GTT SOL 1X10ML PLAST</t>
  </si>
  <si>
    <t>394153</t>
  </si>
  <si>
    <t>Calcium pantotenicum mast 30g Generica</t>
  </si>
  <si>
    <t>395712</t>
  </si>
  <si>
    <t>HBF Calcium panthotenát mast 30g</t>
  </si>
  <si>
    <t>500968</t>
  </si>
  <si>
    <t>KL SACCHAROSUM 24%  120g</t>
  </si>
  <si>
    <t>901176</t>
  </si>
  <si>
    <t>IR AC.BORICI AQ.OPHTAL.50 ML</t>
  </si>
  <si>
    <t>IR OČNI VODA 50 ml</t>
  </si>
  <si>
    <t>119686</t>
  </si>
  <si>
    <t>NASIVIN 0,01%</t>
  </si>
  <si>
    <t>NAS GTT SOL 1X5ML</t>
  </si>
  <si>
    <t>50113013</t>
  </si>
  <si>
    <t>101066</t>
  </si>
  <si>
    <t>1066</t>
  </si>
  <si>
    <t>FRAMYKOIN</t>
  </si>
  <si>
    <t>UNG 1X10GM</t>
  </si>
  <si>
    <t>190778</t>
  </si>
  <si>
    <t>90778</t>
  </si>
  <si>
    <t>BACTROBAN</t>
  </si>
  <si>
    <t>DRM UNG 1X15GM</t>
  </si>
  <si>
    <t>166366</t>
  </si>
  <si>
    <t>66366</t>
  </si>
  <si>
    <t>OSPAMOX 250MG/5ML</t>
  </si>
  <si>
    <t>GRA SUS 1X60ML</t>
  </si>
  <si>
    <t>186264</t>
  </si>
  <si>
    <t>86264</t>
  </si>
  <si>
    <t>TOBREX</t>
  </si>
  <si>
    <t>GTT OPH 5ML 3MG/1ML</t>
  </si>
  <si>
    <t>184792</t>
  </si>
  <si>
    <t>84792</t>
  </si>
  <si>
    <t>AUGMENTIN DUO</t>
  </si>
  <si>
    <t>PLV SUS 1X70ML</t>
  </si>
  <si>
    <t>201970</t>
  </si>
  <si>
    <t>PAMYCON NA PŘÍPRAVU KAPEK</t>
  </si>
  <si>
    <t>DRM PLV SOL 1X1LAH</t>
  </si>
  <si>
    <t>P</t>
  </si>
  <si>
    <t>168999</t>
  </si>
  <si>
    <t>68999</t>
  </si>
  <si>
    <t>AMPICILIN BIOTIKA</t>
  </si>
  <si>
    <t>INJ 10X500MG</t>
  </si>
  <si>
    <t>196413</t>
  </si>
  <si>
    <t>96413</t>
  </si>
  <si>
    <t>GENTAMICIN 40MG LEK</t>
  </si>
  <si>
    <t>INJ 10X2ML/40MG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</si>
  <si>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</si>
  <si>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</si>
  <si>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</si>
  <si>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</si>
  <si>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</si>
  <si>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</si>
  <si>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</si>
  <si>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</si>
  <si>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</si>
  <si>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159074</t>
  </si>
  <si>
    <t>59074</t>
  </si>
  <si>
    <t>PEVARYL</t>
  </si>
  <si>
    <t>DRM CRM 1X30GM 1%</t>
  </si>
  <si>
    <t>50113008</t>
  </si>
  <si>
    <t>26039</t>
  </si>
  <si>
    <t>KIOVIG 1 g CZ Baxter</t>
  </si>
  <si>
    <t>103575</t>
  </si>
  <si>
    <t>3575</t>
  </si>
  <si>
    <t>HEPAROID LECIVA</t>
  </si>
  <si>
    <t>UNG 1X30GM</t>
  </si>
  <si>
    <t>395294</t>
  </si>
  <si>
    <t>180306</t>
  </si>
  <si>
    <t>TANTUM VERDE</t>
  </si>
  <si>
    <t>LIQ 1X240ML-PET TR</t>
  </si>
  <si>
    <t>846599</t>
  </si>
  <si>
    <t>107754</t>
  </si>
  <si>
    <t>Dobutamin Admeda 250 inf.sol50ml</t>
  </si>
  <si>
    <t>900503</t>
  </si>
  <si>
    <t>KL AQUA PURIF. 1000G</t>
  </si>
  <si>
    <t>169724</t>
  </si>
  <si>
    <t>69724</t>
  </si>
  <si>
    <t>ARDEAELYTOSOL NA.HYDR.CARB.4.2%</t>
  </si>
  <si>
    <t>INF 1X80ML</t>
  </si>
  <si>
    <t>199138</t>
  </si>
  <si>
    <t>99138</t>
  </si>
  <si>
    <t>AKTIFERRIN</t>
  </si>
  <si>
    <t>GTT 1X30ML</t>
  </si>
  <si>
    <t>112023</t>
  </si>
  <si>
    <t>12023</t>
  </si>
  <si>
    <t>VIGANTOL</t>
  </si>
  <si>
    <t>POR GTT SOL 1x10ML</t>
  </si>
  <si>
    <t>115646</t>
  </si>
  <si>
    <t>15646</t>
  </si>
  <si>
    <t>CIPLOX</t>
  </si>
  <si>
    <t>GTT OPH/OTO 5ML</t>
  </si>
  <si>
    <t>920064</t>
  </si>
  <si>
    <t>KL SOL.METHYLROS.CHL.1% 10G</t>
  </si>
  <si>
    <t>120053</t>
  </si>
  <si>
    <t>20053</t>
  </si>
  <si>
    <t>BENOXI 0.4 % UNIMED PHARMA</t>
  </si>
  <si>
    <t>OPH GTT SOL 1X10ML</t>
  </si>
  <si>
    <t>845628</t>
  </si>
  <si>
    <t>IR OG. COLL.PHENYLEPHRINI 10g 2%</t>
  </si>
  <si>
    <t>COLL  2%</t>
  </si>
  <si>
    <t>920367</t>
  </si>
  <si>
    <t>KL EREVIT GTT. 18G</t>
  </si>
  <si>
    <t>921342</t>
  </si>
  <si>
    <t>KL SOL.COFFEINI 1% 50G</t>
  </si>
  <si>
    <t>142495</t>
  </si>
  <si>
    <t>42495</t>
  </si>
  <si>
    <t>GLUCOSE-1-PHOSPH.FRESENIUS 1MO</t>
  </si>
  <si>
    <t>INF CNC SOL 5X10ML</t>
  </si>
  <si>
    <t>921296</t>
  </si>
  <si>
    <t>KL SUPP.GLYCEROLI  30KS, pro novorozence</t>
  </si>
  <si>
    <t>168578</t>
  </si>
  <si>
    <t>68578</t>
  </si>
  <si>
    <t>PHENAEMALETTEN</t>
  </si>
  <si>
    <t>TBL 50X15MG</t>
  </si>
  <si>
    <t>849449</t>
  </si>
  <si>
    <t>GASTROTUSS Baby sirup 200ml</t>
  </si>
  <si>
    <t>920254</t>
  </si>
  <si>
    <t>Kulíšek sáčky 10x6,6g</t>
  </si>
  <si>
    <t>988271</t>
  </si>
  <si>
    <t>BioLac Baby drops Generica 6 ml</t>
  </si>
  <si>
    <t>186288</t>
  </si>
  <si>
    <t>FUCITHALMIC</t>
  </si>
  <si>
    <t>OPH GTT SUS 1X5GM/50MG</t>
  </si>
  <si>
    <t>133152</t>
  </si>
  <si>
    <t>33152</t>
  </si>
  <si>
    <t>FANTOMALT</t>
  </si>
  <si>
    <t>POR PLV SOL 1X400GMenterar.</t>
  </si>
  <si>
    <t>195604</t>
  </si>
  <si>
    <t>95604</t>
  </si>
  <si>
    <t>FLIXOTIDE 50 INHALER N</t>
  </si>
  <si>
    <t>INH SUS PSS120X50RG</t>
  </si>
  <si>
    <t>50113006</t>
  </si>
  <si>
    <t>841583</t>
  </si>
  <si>
    <t>33218</t>
  </si>
  <si>
    <t>Nutrilon Nutriton 135g</t>
  </si>
  <si>
    <t>105114</t>
  </si>
  <si>
    <t>5114</t>
  </si>
  <si>
    <t>TARGOCID 200MG</t>
  </si>
  <si>
    <t>INJ SIC 1X200MG+SOL</t>
  </si>
  <si>
    <t>174991</t>
  </si>
  <si>
    <t>74991</t>
  </si>
  <si>
    <t>AMOKSIKLAV 156,25mg/5ml</t>
  </si>
  <si>
    <t>PLV SUS 1X100ML</t>
  </si>
  <si>
    <t>72973</t>
  </si>
  <si>
    <t>AMOKSIKLAV 600 MG</t>
  </si>
  <si>
    <t>INJ PLV SOL 5X600MG</t>
  </si>
  <si>
    <t>847759</t>
  </si>
  <si>
    <t>142077</t>
  </si>
  <si>
    <t>TIENAM 500 MG/500 MG I.V.</t>
  </si>
  <si>
    <t>INF PLV SOL 1X10LAH/20ML</t>
  </si>
  <si>
    <t>94176</t>
  </si>
  <si>
    <t>CEFOTAXIME LEK 1 G PRÁŠEK PRO INJEKČNÍ ROZTOK</t>
  </si>
  <si>
    <t>INJ PLV SOL 1X1GM</t>
  </si>
  <si>
    <t>137499</t>
  </si>
  <si>
    <t>KLACID I.V.</t>
  </si>
  <si>
    <t>INF PLV SOL 1X500MG</t>
  </si>
  <si>
    <t>166265</t>
  </si>
  <si>
    <t>VANCOMYCIN MYLAN 500 MG</t>
  </si>
  <si>
    <t>131739</t>
  </si>
  <si>
    <t>31739</t>
  </si>
  <si>
    <t>HELICID « 40 INF. LYOF.1X40MG</t>
  </si>
  <si>
    <t>130187</t>
  </si>
  <si>
    <t>30187</t>
  </si>
  <si>
    <t>MIDAZOLAM TORREX 5MG/ML</t>
  </si>
  <si>
    <t>INJ 10X1ML/5MG</t>
  </si>
  <si>
    <t>31915</t>
  </si>
  <si>
    <t>GLUKÓZA 10 BRAUN</t>
  </si>
  <si>
    <t>INF SOL 10X500ML-PE</t>
  </si>
  <si>
    <t>51367</t>
  </si>
  <si>
    <t>INF SOL 10X250MLPELAH</t>
  </si>
  <si>
    <t>100843</t>
  </si>
  <si>
    <t>843</t>
  </si>
  <si>
    <t>DERMAZULEN</t>
  </si>
  <si>
    <t>100876</t>
  </si>
  <si>
    <t>876</t>
  </si>
  <si>
    <t>UNG OPH 1X5GM</t>
  </si>
  <si>
    <t>100889</t>
  </si>
  <si>
    <t>889</t>
  </si>
  <si>
    <t>PITYOL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</si>
  <si>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</si>
  <si>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</si>
  <si>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</si>
  <si>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</si>
  <si>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</si>
  <si>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</si>
  <si>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</si>
  <si>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</si>
  <si>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102679</t>
  </si>
  <si>
    <t>2679</t>
  </si>
  <si>
    <t>BERODUAL N</t>
  </si>
  <si>
    <t>INH SOL PSS 200DÁV</t>
  </si>
  <si>
    <t>124067</t>
  </si>
  <si>
    <t>HYDROCORTISON VUAB 100 MG</t>
  </si>
  <si>
    <t>INJ PLV SOL 1X100MG</t>
  </si>
  <si>
    <t>132992</t>
  </si>
  <si>
    <t>32992</t>
  </si>
  <si>
    <t>ATROVENT N</t>
  </si>
  <si>
    <t>INH SOL PSS200X20RG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</si>
  <si>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</si>
  <si>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</si>
  <si>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</si>
  <si>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</si>
  <si>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</si>
  <si>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</si>
  <si>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</si>
  <si>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</si>
  <si>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162316</t>
  </si>
  <si>
    <t>62316</t>
  </si>
  <si>
    <t>BETADINE - zelená</t>
  </si>
  <si>
    <t>LIQ 1X120ML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</si>
  <si>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</si>
  <si>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</si>
  <si>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</si>
  <si>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</si>
  <si>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</si>
  <si>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</si>
  <si>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</si>
  <si>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</si>
  <si>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184090</t>
  </si>
  <si>
    <t>84090</t>
  </si>
  <si>
    <t>DEXAMED</t>
  </si>
  <si>
    <t>INJ 10X2ML/8MG</t>
  </si>
  <si>
    <t>192351</t>
  </si>
  <si>
    <t>92351</t>
  </si>
  <si>
    <t>ATROVENT 0.025%</t>
  </si>
  <si>
    <t>INH SOL 1X20ML</t>
  </si>
  <si>
    <t>193746</t>
  </si>
  <si>
    <t>93746</t>
  </si>
  <si>
    <t>HEPARIN LECIVA</t>
  </si>
  <si>
    <t>INJ 1X10ML/50KU</t>
  </si>
  <si>
    <t>847713</t>
  </si>
  <si>
    <t>125526</t>
  </si>
  <si>
    <t>POR TBL FLM 100X400MG</t>
  </si>
  <si>
    <t>100489</t>
  </si>
  <si>
    <t>489</t>
  </si>
  <si>
    <t>INJ 5X1ML/10MG</t>
  </si>
  <si>
    <t>100536</t>
  </si>
  <si>
    <t>536</t>
  </si>
  <si>
    <t>NORADRENALIN LECIVA</t>
  </si>
  <si>
    <t>104380</t>
  </si>
  <si>
    <t>4380</t>
  </si>
  <si>
    <t>TENSAMIN</t>
  </si>
  <si>
    <t>INJ 10X5ML</t>
  </si>
  <si>
    <t>162315</t>
  </si>
  <si>
    <t>62315</t>
  </si>
  <si>
    <t>LIQ 1X30ML</t>
  </si>
  <si>
    <t>196610</t>
  </si>
  <si>
    <t>96610</t>
  </si>
  <si>
    <t>APAURIN</t>
  </si>
  <si>
    <t>INJ 10X2ML/10MG</t>
  </si>
  <si>
    <t>47706</t>
  </si>
  <si>
    <t>GLUKÓZA 20 BRAUN</t>
  </si>
  <si>
    <t>100874</t>
  </si>
  <si>
    <t>874</t>
  </si>
  <si>
    <t>OPHTHALMO-AZULEN</t>
  </si>
  <si>
    <t>159398</t>
  </si>
  <si>
    <t>59398</t>
  </si>
  <si>
    <t>TRACUTIL</t>
  </si>
  <si>
    <t>INF 5X10ML</t>
  </si>
  <si>
    <t>187822</t>
  </si>
  <si>
    <t>87822</t>
  </si>
  <si>
    <t>ARDUAN</t>
  </si>
  <si>
    <t>INJ SIC 25X4MG+2ML</t>
  </si>
  <si>
    <t>194852</t>
  </si>
  <si>
    <t>94852</t>
  </si>
  <si>
    <t>SOLUVIT N PRO INFUS.</t>
  </si>
  <si>
    <t>INJ SIC 10</t>
  </si>
  <si>
    <t>100512</t>
  </si>
  <si>
    <t>512</t>
  </si>
  <si>
    <t>NATRIUM CHLORATUM BIOTIKA 10%</t>
  </si>
  <si>
    <t>INJ 10X5ML 10%</t>
  </si>
  <si>
    <t>117011</t>
  </si>
  <si>
    <t>17011</t>
  </si>
  <si>
    <t>DICYNONE 250</t>
  </si>
  <si>
    <t>INJ SOL 4X2ML/250MG</t>
  </si>
  <si>
    <t>176205</t>
  </si>
  <si>
    <t>180825</t>
  </si>
  <si>
    <t>HYDROCORTISON 10MG</t>
  </si>
  <si>
    <t>TBL 20X10MG</t>
  </si>
  <si>
    <t>102668</t>
  </si>
  <si>
    <t>2668</t>
  </si>
  <si>
    <t>OPHTHALMO-HYDROCORTISON LECIVA</t>
  </si>
  <si>
    <t>UNG OPH 1X5GM 0.5%</t>
  </si>
  <si>
    <t>169755</t>
  </si>
  <si>
    <t>69755</t>
  </si>
  <si>
    <t>ARDEANUTRISOL G 40</t>
  </si>
  <si>
    <t>117996</t>
  </si>
  <si>
    <t>17996</t>
  </si>
  <si>
    <t>KINEDRYL</t>
  </si>
  <si>
    <t>TBL 10</t>
  </si>
  <si>
    <t>147300</t>
  </si>
  <si>
    <t>47300</t>
  </si>
  <si>
    <t>ELOCOM</t>
  </si>
  <si>
    <t>DRM CRM 1X30GM 0.1%</t>
  </si>
  <si>
    <t>840155</t>
  </si>
  <si>
    <t>Vincentka nosní sprej  25ml (30ml)</t>
  </si>
  <si>
    <t>185812</t>
  </si>
  <si>
    <t>85812</t>
  </si>
  <si>
    <t>LIDOCAIN</t>
  </si>
  <si>
    <t>INJ 10X2ML 2%</t>
  </si>
  <si>
    <t>101681</t>
  </si>
  <si>
    <t>1681</t>
  </si>
  <si>
    <t>EMLA KREM 5%</t>
  </si>
  <si>
    <t>CRM 1X30GM</t>
  </si>
  <si>
    <t>186970</t>
  </si>
  <si>
    <t>86970</t>
  </si>
  <si>
    <t>ARDEANUTRISOL G 20</t>
  </si>
  <si>
    <t>INF SOL 1X250ML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</si>
  <si>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</si>
  <si>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</si>
  <si>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</si>
  <si>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</si>
  <si>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</si>
  <si>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</si>
  <si>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</si>
  <si>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118656</t>
  </si>
  <si>
    <t>NALBUPHIN ORPHA</t>
  </si>
  <si>
    <t>INJ SOL 10X2ML</t>
  </si>
  <si>
    <t>846113</t>
  </si>
  <si>
    <t>107712</t>
  </si>
  <si>
    <t>EPANUTIN PARENTERAL</t>
  </si>
  <si>
    <t>INJ SOL 5X5ML/250MG</t>
  </si>
  <si>
    <t>155939</t>
  </si>
  <si>
    <t>HERPESIN 250</t>
  </si>
  <si>
    <t>INF PLV SOL 10X250MG</t>
  </si>
  <si>
    <t>156675</t>
  </si>
  <si>
    <t>56675</t>
  </si>
  <si>
    <t>FLOXAL</t>
  </si>
  <si>
    <t>921416</t>
  </si>
  <si>
    <t>KL CPS CALC.GLUC.+KAL.DIH. 100CPS</t>
  </si>
  <si>
    <t>142594</t>
  </si>
  <si>
    <t>42594</t>
  </si>
  <si>
    <t>VITALIPID N INFANT</t>
  </si>
  <si>
    <t>INF CNC SOL 10X10ML</t>
  </si>
  <si>
    <t>167679</t>
  </si>
  <si>
    <t>PEYONA 20 MG/ML</t>
  </si>
  <si>
    <t>IVN+POR SOL 10X1ML</t>
  </si>
  <si>
    <t>169747</t>
  </si>
  <si>
    <t>69747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</si>
  <si>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</si>
  <si>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</si>
  <si>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</si>
  <si>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</si>
  <si>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</si>
  <si>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</si>
  <si>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</si>
  <si>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</si>
  <si>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</si>
  <si>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</si>
  <si>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</si>
  <si>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191249</t>
  </si>
  <si>
    <t>91249</t>
  </si>
  <si>
    <t>PARALEN PRO INFANTIBUS</t>
  </si>
  <si>
    <t>SUP 5X100MG</t>
  </si>
  <si>
    <t>196023</t>
  </si>
  <si>
    <t>2693</t>
  </si>
  <si>
    <t>PENTAGLOBIN</t>
  </si>
  <si>
    <t>INJ 1X10ML</t>
  </si>
  <si>
    <t>199814</t>
  </si>
  <si>
    <t>99814</t>
  </si>
  <si>
    <t>VODA NA INJEKCI VIAFLO</t>
  </si>
  <si>
    <t>PAR LQF 20X500ML</t>
  </si>
  <si>
    <t>501062</t>
  </si>
  <si>
    <t>KL MORPHINI HYDROCHL. 0,008 AQ.P. AD 20G</t>
  </si>
  <si>
    <t>Novoroz. odd.</t>
  </si>
  <si>
    <t>844978</t>
  </si>
  <si>
    <t>107475</t>
  </si>
  <si>
    <t>PRIMENE 10%</t>
  </si>
  <si>
    <t>INF SOL 10X250ML 10%</t>
  </si>
  <si>
    <t>900892</t>
  </si>
  <si>
    <t>KL SUPP.DIAZEPAMI 0,0005G  10KS</t>
  </si>
  <si>
    <t>920368</t>
  </si>
  <si>
    <t>KL EREVIT GTT. 30G</t>
  </si>
  <si>
    <t>921404</t>
  </si>
  <si>
    <t>KL SUPP.IBUPROFENI 0,05G  20KS</t>
  </si>
  <si>
    <t>921573</t>
  </si>
  <si>
    <t>KL SUPP.PARACETAMOLI 0,02G  30KS</t>
  </si>
  <si>
    <t>930608</t>
  </si>
  <si>
    <t>KL CHLORAL.HYDRATUM 50 g</t>
  </si>
  <si>
    <t>157871</t>
  </si>
  <si>
    <t>PARACETAMOL KABI 10 MG/ML</t>
  </si>
  <si>
    <t>INF SOL 10X50ML/500MG</t>
  </si>
  <si>
    <t>125034</t>
  </si>
  <si>
    <t>25034</t>
  </si>
  <si>
    <t>DORMICUM</t>
  </si>
  <si>
    <t>INJ SOL 10X1ML/5MG</t>
  </si>
  <si>
    <t>132090</t>
  </si>
  <si>
    <t>32090</t>
  </si>
  <si>
    <t>TRALGIT 50 INJ</t>
  </si>
  <si>
    <t>INJ SOL 5X1ML/50MG</t>
  </si>
  <si>
    <t>193969</t>
  </si>
  <si>
    <t>93969</t>
  </si>
  <si>
    <t>RANITAL</t>
  </si>
  <si>
    <t>INJ 5X2ML/50MG</t>
  </si>
  <si>
    <t>131934</t>
  </si>
  <si>
    <t>31934</t>
  </si>
  <si>
    <t>VENTOLIN INHALER N</t>
  </si>
  <si>
    <t>INHSUSPSS200X100RG</t>
  </si>
  <si>
    <t>849266</t>
  </si>
  <si>
    <t>162444</t>
  </si>
  <si>
    <t xml:space="preserve">SUFENTANIL TORREX 5 MCG/ML </t>
  </si>
  <si>
    <t>INJ SOL 5X2ML/10RG</t>
  </si>
  <si>
    <t>140361</t>
  </si>
  <si>
    <t>40361</t>
  </si>
  <si>
    <t>NIMBEX</t>
  </si>
  <si>
    <t>INJ SOL 5X2.5ML/5MG</t>
  </si>
  <si>
    <t>133491</t>
  </si>
  <si>
    <t>33491</t>
  </si>
  <si>
    <t>PRE BEBA DISCHARGE</t>
  </si>
  <si>
    <t>POR SOL 1X400GM</t>
  </si>
  <si>
    <t>133401</t>
  </si>
  <si>
    <t>33401</t>
  </si>
  <si>
    <t>NUTRILON 1 ALLERGY DIGESTIVE CARE</t>
  </si>
  <si>
    <t>POR SOL 1X450GM</t>
  </si>
  <si>
    <t>840010</t>
  </si>
  <si>
    <t>Nutrilon 1 A.R. plv.1x400g</t>
  </si>
  <si>
    <t>116336</t>
  </si>
  <si>
    <t>16336</t>
  </si>
  <si>
    <t>LIPOPLUS 20%</t>
  </si>
  <si>
    <t>INFEML10X100ML-SKLO</t>
  </si>
  <si>
    <t>116337</t>
  </si>
  <si>
    <t>16337</t>
  </si>
  <si>
    <t>INFEML10X250ML-SKLO</t>
  </si>
  <si>
    <t>161451</t>
  </si>
  <si>
    <t>NUTRILON 1 800g</t>
  </si>
  <si>
    <t>394317</t>
  </si>
  <si>
    <t>NESTLÉ Beba H.A.1 400g</t>
  </si>
  <si>
    <t>500708</t>
  </si>
  <si>
    <t>Nutrilon 0 Nenatal 24 x 70ml</t>
  </si>
  <si>
    <t>845564</t>
  </si>
  <si>
    <t>Nutrilon 1  24x90ml RTF</t>
  </si>
  <si>
    <t>24 x 90 ml</t>
  </si>
  <si>
    <t>850713</t>
  </si>
  <si>
    <t>Nutrilon 0 Nenatal (Premature) 400g</t>
  </si>
  <si>
    <t>987826</t>
  </si>
  <si>
    <t>NESTLÉ PreBEBA FM85 200g</t>
  </si>
  <si>
    <t>845045</t>
  </si>
  <si>
    <t>107472</t>
  </si>
  <si>
    <t>INF SOL 20X100ML 10%</t>
  </si>
  <si>
    <t>988073</t>
  </si>
  <si>
    <t>NESTLÉ Beba H.A.1 800g NEW</t>
  </si>
  <si>
    <t>989641</t>
  </si>
  <si>
    <t>Nutrilon 1 hypoalergenní 24x90ml</t>
  </si>
  <si>
    <t>990209</t>
  </si>
  <si>
    <t>NESTLE Beba H.A.1 Premium tekutá 32x90ml</t>
  </si>
  <si>
    <t>133220</t>
  </si>
  <si>
    <t>33220</t>
  </si>
  <si>
    <t>PROTIFAR</t>
  </si>
  <si>
    <t>POR PLV SOL 1X225GM</t>
  </si>
  <si>
    <t>33811</t>
  </si>
  <si>
    <t>NEOCATE INFANT</t>
  </si>
  <si>
    <t>POR PLV SOL 1X400GM</t>
  </si>
  <si>
    <t>153922</t>
  </si>
  <si>
    <t>53922</t>
  </si>
  <si>
    <t>CIPHIN PRO INFUSION.200MG/100ML</t>
  </si>
  <si>
    <t>INF 1X100ML/200MG</t>
  </si>
  <si>
    <t>989957</t>
  </si>
  <si>
    <t>185481</t>
  </si>
  <si>
    <t>EDICIN 0,5 G</t>
  </si>
  <si>
    <t>INF PLV SOL 10X500MG</t>
  </si>
  <si>
    <t>101076</t>
  </si>
  <si>
    <t>1076</t>
  </si>
  <si>
    <t>OPHTHALMO-FRAMYKOIN</t>
  </si>
  <si>
    <t>183487</t>
  </si>
  <si>
    <t>83487</t>
  </si>
  <si>
    <t>MERONEM 500MG I.V.</t>
  </si>
  <si>
    <t>INJ SIC 10X500MG</t>
  </si>
  <si>
    <t>111706</t>
  </si>
  <si>
    <t>11706</t>
  </si>
  <si>
    <t>BISEPTOL 480</t>
  </si>
  <si>
    <t>155759</t>
  </si>
  <si>
    <t>55759</t>
  </si>
  <si>
    <t>PAMYCON NA PRIPRAVU KAPEK</t>
  </si>
  <si>
    <t>PLV 1X1LAHV</t>
  </si>
  <si>
    <t>193207</t>
  </si>
  <si>
    <t>93207</t>
  </si>
  <si>
    <t>UNG OPH 3.5GM 0.3%</t>
  </si>
  <si>
    <t>147976</t>
  </si>
  <si>
    <t>MEROPENEM HOSPIRA 500 MG</t>
  </si>
  <si>
    <t>INJ+INF PLV SOL 10X500MG</t>
  </si>
  <si>
    <t>131654</t>
  </si>
  <si>
    <t>CEFTAZIDIM KABI 1 GM</t>
  </si>
  <si>
    <t>INJ PLV SOL 10X1GM</t>
  </si>
  <si>
    <t>197000</t>
  </si>
  <si>
    <t>97000</t>
  </si>
  <si>
    <t>METRONIDAZOLE 0.5% POLFA</t>
  </si>
  <si>
    <t>INJ 1X100ML 5MG/1ML</t>
  </si>
  <si>
    <t>113453</t>
  </si>
  <si>
    <t>PIPERACILLIN/TAZOBACTAM KABI 4 G/0,5 G</t>
  </si>
  <si>
    <t>INF PLV SOL 10X4.5GM</t>
  </si>
  <si>
    <t>165989</t>
  </si>
  <si>
    <t>65989</t>
  </si>
  <si>
    <t>MYCOMAX « INF. INFUZ</t>
  </si>
  <si>
    <t>116896</t>
  </si>
  <si>
    <t>16896</t>
  </si>
  <si>
    <t>IMAZOL PLUS</t>
  </si>
  <si>
    <t>DRM CRM 1X30GM</t>
  </si>
  <si>
    <t>164401</t>
  </si>
  <si>
    <t>FLUCONAZOL KABI 2 MG/ML</t>
  </si>
  <si>
    <t>INF SOL 10X100ML/200MG</t>
  </si>
  <si>
    <t>42144</t>
  </si>
  <si>
    <t>Human Albumin 20% 10 ml GRIFOLS</t>
  </si>
  <si>
    <t>NOVO, lůžkové oddělení 16C</t>
  </si>
  <si>
    <t>NOVO, lůžkové oddělení 16B + 16D</t>
  </si>
  <si>
    <t>NOVO, JIP 16A</t>
  </si>
  <si>
    <t>Lékárna - léčiva</t>
  </si>
  <si>
    <t>Lékárna - antibiotika</t>
  </si>
  <si>
    <t>Lékárna - antimykotika</t>
  </si>
  <si>
    <t>393 TO krevní deriváty IVLP (112 01 003)</t>
  </si>
  <si>
    <t>Lékárna - enterární výživa</t>
  </si>
  <si>
    <t>0931 - NOVO, JIP 16A</t>
  </si>
  <si>
    <t>0912 - NOVO, lůžkové oddělení 16B + 16D</t>
  </si>
  <si>
    <t>0911 - NOVO, lůžkové oddělení 16C</t>
  </si>
  <si>
    <t>V06XX - Potraviny pro zvláštní lékařské účely (PZLÚ)</t>
  </si>
  <si>
    <t>A02BC01 - Omeprazol</t>
  </si>
  <si>
    <t>J02AC01 - Flukonazol</t>
  </si>
  <si>
    <t>J01MA02 - Ciprofloxacin</t>
  </si>
  <si>
    <t>N05CD08 - Midazolam</t>
  </si>
  <si>
    <t>J01CA01 - Ampicilin</t>
  </si>
  <si>
    <t>J01CR05 - Piperacilin a enzymový inhibitor</t>
  </si>
  <si>
    <t>J01DD01 - Cefotaxim</t>
  </si>
  <si>
    <t>N01AH03 - Sufentanyl</t>
  </si>
  <si>
    <t>J01DD02 - Ceftazidim</t>
  </si>
  <si>
    <t>R03BA05 - Flutikason</t>
  </si>
  <si>
    <t>J01DH02 - Meropenem</t>
  </si>
  <si>
    <t>J01XD01 - Metronidazol</t>
  </si>
  <si>
    <t>J01DH51 - Imipenem a enzymový inhibitor</t>
  </si>
  <si>
    <t>M03AC11 - Cisatrakurium</t>
  </si>
  <si>
    <t>J01FA09 - Klarithromycin</t>
  </si>
  <si>
    <t>N02AX02 - Tramadol</t>
  </si>
  <si>
    <t>J01GB03 - Gentamicin</t>
  </si>
  <si>
    <t>R03AC02 - Salbutamol</t>
  </si>
  <si>
    <t>A02BA02 - Ranitidin</t>
  </si>
  <si>
    <t>J01CR02 - Amoxicilin a enzymový inhibitor</t>
  </si>
  <si>
    <t>J01XA01 - Vankomycin</t>
  </si>
  <si>
    <t>J01XA02 - Teikoplanin</t>
  </si>
  <si>
    <t>J01CA01</t>
  </si>
  <si>
    <t>AMPICILIN 0,5 BIOTIKA</t>
  </si>
  <si>
    <t>INJ PLV SOL 10X500MG</t>
  </si>
  <si>
    <t>J01GB03</t>
  </si>
  <si>
    <t>GENTAMICIN LEK 40 MG/2 ML</t>
  </si>
  <si>
    <t>INJ+INF SOL 10X2ML/40MG</t>
  </si>
  <si>
    <t>J01CR02</t>
  </si>
  <si>
    <t>INJ PLV SOL 5</t>
  </si>
  <si>
    <t>AMOKSIKLAV 156,25 MG/5 ML SUSPENZE</t>
  </si>
  <si>
    <t>POR PLV SUS 1X3.125GM</t>
  </si>
  <si>
    <t>J01DD01</t>
  </si>
  <si>
    <t>J01DH51</t>
  </si>
  <si>
    <t>INF PLV SOL 1X10</t>
  </si>
  <si>
    <t>J01FA09</t>
  </si>
  <si>
    <t>J01XA01</t>
  </si>
  <si>
    <t>R03BA05</t>
  </si>
  <si>
    <t>INH SUS PSS 120X50RG</t>
  </si>
  <si>
    <t>V06XX</t>
  </si>
  <si>
    <t>NUTRITON</t>
  </si>
  <si>
    <t>POR SOL 1X135GM</t>
  </si>
  <si>
    <t>A02BA02</t>
  </si>
  <si>
    <t>RANITAL 50 MG/2 ML</t>
  </si>
  <si>
    <t>INJ SOL 5X2ML/50MG</t>
  </si>
  <si>
    <t>A02BC01</t>
  </si>
  <si>
    <t>HELICID 40 INF</t>
  </si>
  <si>
    <t>INF PLV SOL 1X40MG</t>
  </si>
  <si>
    <t>J01CR05</t>
  </si>
  <si>
    <t>J01DD02</t>
  </si>
  <si>
    <t>CEFTAZIDIM KABI 1 G</t>
  </si>
  <si>
    <t>INF PLV SOL 10X1GM</t>
  </si>
  <si>
    <t>J01DH02</t>
  </si>
  <si>
    <t>J01MA02</t>
  </si>
  <si>
    <t>CIPHIN PRO INFUSIONE 200 MG/100 ML</t>
  </si>
  <si>
    <t>INF SOL 1X100ML/200MG</t>
  </si>
  <si>
    <t>J01XA02</t>
  </si>
  <si>
    <t>TARGOCID 200 MG</t>
  </si>
  <si>
    <t>INJ+POR PSO LQF 1X200MG</t>
  </si>
  <si>
    <t>J01XD01</t>
  </si>
  <si>
    <t>METRONIDAZOLE 0.5%-POLPHARMA</t>
  </si>
  <si>
    <t>INF SOL 1X100ML/500MG</t>
  </si>
  <si>
    <t>J02AC01</t>
  </si>
  <si>
    <t>MYCOMAX INF</t>
  </si>
  <si>
    <t>INF SOL 1X100ML</t>
  </si>
  <si>
    <t>M03AC11</t>
  </si>
  <si>
    <t>N01AH03</t>
  </si>
  <si>
    <t>SUFENTANIL TORREX 5 MCG/ML</t>
  </si>
  <si>
    <t>N02AX02</t>
  </si>
  <si>
    <t>N05CD08</t>
  </si>
  <si>
    <t>MIDAZOLAM TORREX 5 MG/ML</t>
  </si>
  <si>
    <t>R03AC02</t>
  </si>
  <si>
    <t>INH SUS PSS 200X100RG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</si>
  <si>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</si>
  <si>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</si>
  <si>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</si>
  <si>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</si>
  <si>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</si>
  <si>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0921</t>
  </si>
  <si>
    <t>ambulance</t>
  </si>
  <si>
    <t>ambulance Celkem</t>
  </si>
  <si>
    <t>ZA318</t>
  </si>
  <si>
    <t>Náplast transpore 1,25 cm x 9,14 m 1527-0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</si>
  <si>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</si>
  <si>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</si>
  <si>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</si>
  <si>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</si>
  <si>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</si>
  <si>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</si>
  <si>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ZA466</t>
  </si>
  <si>
    <t>Tyčinka vatová sterilní 14 cm bal. á 200 ks 9679501</t>
  </si>
  <si>
    <t>ZA467</t>
  </si>
  <si>
    <t>Tyčinka vatová nesterilní 15 cm bal. á 100 ks 9679369</t>
  </si>
  <si>
    <t>ZA570</t>
  </si>
  <si>
    <t>Náplast tegaderm 4,4 cm x 4,4 cm bal. á 100 ks 1622W</t>
  </si>
  <si>
    <t>ZF225</t>
  </si>
  <si>
    <t>Náplast hypoalergenní á 250 ks 5353811</t>
  </si>
  <si>
    <t>ZK522</t>
  </si>
  <si>
    <t>Tampon sterilní z buničité vaty / 20 ks karton á 2400 ks 1230213120</t>
  </si>
  <si>
    <t>ZL684</t>
  </si>
  <si>
    <t>Náplast santiband standard poinjekční jednotl. baleno 19 mm x 72 mm 652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</si>
  <si>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</si>
  <si>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</si>
  <si>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</si>
  <si>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</si>
  <si>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</si>
  <si>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</si>
  <si>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ZA737</t>
  </si>
  <si>
    <t>Filtr mini spike modrý 4550234</t>
  </si>
  <si>
    <t>ZA743</t>
  </si>
  <si>
    <t>Zkumavka odběrová 0,5 ml tapval fialová 11170</t>
  </si>
  <si>
    <t>ZA744</t>
  </si>
  <si>
    <t>Kanyla neoflon 24G žlutá BDC391350</t>
  </si>
  <si>
    <t>ZA746</t>
  </si>
  <si>
    <t>Stříkačka injekční 3-dílná 1 ml L tuberculin Omnifix Solo 9161406V</t>
  </si>
  <si>
    <t>ZA775</t>
  </si>
  <si>
    <t>Sáček močový 80x220 mm 744988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</si>
  <si>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</si>
  <si>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</si>
  <si>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</si>
  <si>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</si>
  <si>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</si>
  <si>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</si>
  <si>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</si>
  <si>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</si>
  <si>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ZA888</t>
  </si>
  <si>
    <t>Zkumavka odběrová s gelem tapval bílá 19860</t>
  </si>
  <si>
    <t>ZB117</t>
  </si>
  <si>
    <t>Lanceta haemolance modrá bal. á 100 ks DIS7575</t>
  </si>
  <si>
    <t>ZB299</t>
  </si>
  <si>
    <t>Konektor bezjehlový s prodl.hadičkou, bal.á 50 ks, 4097154</t>
  </si>
  <si>
    <t>ZB338</t>
  </si>
  <si>
    <t>Hadička spojovací tlaková unicath pr. 1,0 mm x 200 cm PB 3120 M</t>
  </si>
  <si>
    <t>ZB384</t>
  </si>
  <si>
    <t>Stříkačka injekční 3-dílná 20 ml LL Omnifix Solo závit bal. á 100 ks 4617207V</t>
  </si>
  <si>
    <t>ZB439</t>
  </si>
  <si>
    <t>Odstraňovač náplastí Convacare á 100 ks 0011279 37443</t>
  </si>
  <si>
    <t>ZB452</t>
  </si>
  <si>
    <t>Víko kompletní kompaktní podtl. odsáv. P00341</t>
  </si>
  <si>
    <t>ZC722</t>
  </si>
  <si>
    <t>Páska fixační bal. á 12 ks LNOP 1053</t>
  </si>
  <si>
    <t>ZC768</t>
  </si>
  <si>
    <t>Zkumavka 10 ml sterilní bal. á 1250 ks 1009/TE/SG</t>
  </si>
  <si>
    <t>ZD350</t>
  </si>
  <si>
    <t>Lanceta haemolance zelená 21 G á 100 ks DIS7372</t>
  </si>
  <si>
    <t>ZD662</t>
  </si>
  <si>
    <t>Cévka odsávací CH8 s přerušovačem sání  bal. á 60 ks ZAR-CO-A08-60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</si>
  <si>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</si>
  <si>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</si>
  <si>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</si>
  <si>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</si>
  <si>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</si>
  <si>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</si>
  <si>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</si>
  <si>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</si>
  <si>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</si>
  <si>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</si>
  <si>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ZI681</t>
  </si>
  <si>
    <t>Kapilára s heparinovou úpravou UH á 100 ks 140ul 102090</t>
  </si>
  <si>
    <t>ZI026</t>
  </si>
  <si>
    <t>Šidítko dětské Flora 03 kytička bal. á 30 ks 1001</t>
  </si>
  <si>
    <t>ZL688</t>
  </si>
  <si>
    <t>Proužky Accu-Check Inform IIStrip 50 EU1 á 50 ks 05942861</t>
  </si>
  <si>
    <t>ZL689</t>
  </si>
  <si>
    <t>Roztok Accu-Check Performa Int´l Controls 1+2 level 04861736</t>
  </si>
  <si>
    <t>ZC793</t>
  </si>
  <si>
    <t>Čidlo saturační neonatální LNOP Neo-L děti 1 - 10 kg adhesivní sens. bal. á 20 ks 1798</t>
  </si>
  <si>
    <t>ZD030</t>
  </si>
  <si>
    <t>Skalpel jednorázový cutfix sterilní bal. á 10 ks 5518040</t>
  </si>
  <si>
    <t>ZI035</t>
  </si>
  <si>
    <t>Savička náhradní kulatá k šidítkům Flora kytička 100N</t>
  </si>
  <si>
    <t>ZD892</t>
  </si>
  <si>
    <t>Filtr akustický echo screen bal. á 5 ks 1770</t>
  </si>
  <si>
    <t>ZH286</t>
  </si>
  <si>
    <t>Teploměr digitální s ohebným hrotem Flexo 91925</t>
  </si>
  <si>
    <t>ZC837</t>
  </si>
  <si>
    <t>Fonendoskop neonatální dvoustranný modrý P00202</t>
  </si>
  <si>
    <t>ZA400</t>
  </si>
  <si>
    <t>Sáček jímací dětský sterilní bal. á 10 ks 4425030</t>
  </si>
  <si>
    <t>ZM517</t>
  </si>
  <si>
    <t>Ventil včetně 6 bílých membrán K800.0727</t>
  </si>
  <si>
    <t>ZB843</t>
  </si>
  <si>
    <t>Zavaděč trach. rourek bal. á 10 ks 100/120/100</t>
  </si>
  <si>
    <t>ZM625</t>
  </si>
  <si>
    <t>Lopatka lékařská sterilizovaná dřevěná ústní bal. á 100 ks 922600</t>
  </si>
  <si>
    <t>ZD784</t>
  </si>
  <si>
    <t>Nástavec ušní echoscreen 4 mm modrý bal. á 10 ks 1908</t>
  </si>
  <si>
    <t>ZN020</t>
  </si>
  <si>
    <t>Konektor k prsním nástavcům PersonalFit Medela K800.0710</t>
  </si>
  <si>
    <t>ZB428</t>
  </si>
  <si>
    <t>Kanyla ET 2,5 bez manžety bal. á 10 ks 9325E</t>
  </si>
  <si>
    <t>ZC864</t>
  </si>
  <si>
    <t>Hadička spojovací HS 1,8 x 1800UNIV 606307</t>
  </si>
  <si>
    <t>ZN021</t>
  </si>
  <si>
    <t>Nástavec prsní personal fit M K800.0668</t>
  </si>
  <si>
    <t>ZB332</t>
  </si>
  <si>
    <t>Láhev ke kompakt.odsávač. 0,5 l P00340</t>
  </si>
  <si>
    <t>ZF672</t>
  </si>
  <si>
    <t>Set resuscitační neonatální 1,2 m s variabilním PEEP 6431</t>
  </si>
  <si>
    <t>ZN206</t>
  </si>
  <si>
    <t>Lopatka lékařská sterilní dřevěná ústní 150 x 17 mm bal. á 500 ks 4002/SG/CS/L</t>
  </si>
  <si>
    <t>ZA118</t>
  </si>
  <si>
    <t>Kanyla ET 3,5 bez manžetou bal. á 10 ks 9335E</t>
  </si>
  <si>
    <t>ZA360</t>
  </si>
  <si>
    <t>Jehla sterican 0,5 x 25 mm oranžová 9186158</t>
  </si>
  <si>
    <t>ZA832</t>
  </si>
  <si>
    <t>Jehla injekční 0,9 x 40 mm žlutá 4657519</t>
  </si>
  <si>
    <t>ZB556</t>
  </si>
  <si>
    <t>Jehla injekční 1,2 x 40 mm růžová 4665120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</si>
  <si>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</si>
  <si>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</si>
  <si>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</si>
  <si>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</si>
  <si>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</si>
  <si>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</si>
  <si>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ZN041</t>
  </si>
  <si>
    <t>Rukavice operační gammex ansell PF bez pudru 6,5 A351143</t>
  </si>
  <si>
    <t>ZN126</t>
  </si>
  <si>
    <t>Rukavice operační gammex ansell PF bez pudru 7,0 A351144</t>
  </si>
  <si>
    <t>DG383</t>
  </si>
  <si>
    <t>Bactec PEDS</t>
  </si>
  <si>
    <t>DF171</t>
  </si>
  <si>
    <t>KALIBRAČNÍ ROZTOK 1  S1820 (ABL 825)</t>
  </si>
  <si>
    <t>DF169</t>
  </si>
  <si>
    <t>PROPLACHOVACÍ ROZTOK 600 ml S4980 (ABL 825)</t>
  </si>
  <si>
    <t>DG426</t>
  </si>
  <si>
    <t>Clot Catcher 250 Pc</t>
  </si>
  <si>
    <t>DB437</t>
  </si>
  <si>
    <t>KALIBRACNI PLYN 1(10 bar)</t>
  </si>
  <si>
    <t>ZC905</t>
  </si>
  <si>
    <t>Hadice silikon 7 x 11,0 x 2,00 mm á 10 m pro drenáž těl.dutin KVS60-070110</t>
  </si>
  <si>
    <t>ZA516</t>
  </si>
  <si>
    <t>Kompresa NT 7,5 x 7,5 cm / 10 sterilní karton á 900 ks 1230119526</t>
  </si>
  <si>
    <t>ZA593</t>
  </si>
  <si>
    <t>Tampon stáčený sterilní 20 x 20 cm / 5 ks 28003</t>
  </si>
  <si>
    <t>ZC845</t>
  </si>
  <si>
    <t>Kompresa NT 10 x 20 cm / 5 ks sterilní 26621</t>
  </si>
  <si>
    <t>ZF351</t>
  </si>
  <si>
    <t>Náplast transpore bílá 1,25 cm x 9,14 m bal. á 24 ks 1534-0</t>
  </si>
  <si>
    <t>ZI558</t>
  </si>
  <si>
    <t>Náplast curapor   7 x   5 cm 22120 ( náhrada za cosmopor )</t>
  </si>
  <si>
    <t>ZA415</t>
  </si>
  <si>
    <t>Obinadlo idealast-haft 6 cm x 10 m 931114</t>
  </si>
  <si>
    <t>ZA674</t>
  </si>
  <si>
    <t>Cévka CN-01 646959</t>
  </si>
  <si>
    <t>ZA729</t>
  </si>
  <si>
    <t>Tyčinka vatová sterilní velká 1 bal/200 ks 9679520</t>
  </si>
  <si>
    <t>Stříkačka injekční 3-dílná 1 ml L Omnifix Solo tuberculin 9161406V</t>
  </si>
  <si>
    <t>Sáček močový lepicí dětský pro novoroz. 80x220 mm 744988</t>
  </si>
  <si>
    <t>ZB199</t>
  </si>
  <si>
    <t>Kanyla neoflon 26G fialová BDC391349</t>
  </si>
  <si>
    <t>ZB360</t>
  </si>
  <si>
    <t>Rourka rektální CH12 délka 12 cm sterilní bal. á 20 ks 646699</t>
  </si>
  <si>
    <t>ZI682</t>
  </si>
  <si>
    <t>Zátka ke kapiláře á 500 ks (8153) 110180</t>
  </si>
  <si>
    <t>ZK798</t>
  </si>
  <si>
    <t>Zátka combi modrá 4495152</t>
  </si>
  <si>
    <t>ZK083</t>
  </si>
  <si>
    <t>Elektroda EKG bal. á 12 ks 100 BRS-50-K/12</t>
  </si>
  <si>
    <t>ZB701</t>
  </si>
  <si>
    <t>Šidítko pro nezralé novorozence do 30.týdne čiré Wee Thumbie P03373</t>
  </si>
  <si>
    <t>ZB898</t>
  </si>
  <si>
    <t>Klobouček kojící kontaktní vel. S 16 mm K200.1628</t>
  </si>
  <si>
    <t>ZB985</t>
  </si>
  <si>
    <t>Urin-Monovette s pístem 10 ml sterilní bal. á 100 ks 10.252.020</t>
  </si>
  <si>
    <t>ZJ485</t>
  </si>
  <si>
    <t>Rozvěrač oční dětský barraquer E4107P</t>
  </si>
  <si>
    <t>ZM352</t>
  </si>
  <si>
    <t>Láhev kojenecká jednorázová 130 ml + dudlík s otvorem multipack bal. á 16 ks NCB2130V</t>
  </si>
  <si>
    <t>Láhev kojenecká jednorázová 130 ml + dudlík s otvorem multipack bal. á 16 ks NCB 2130 V</t>
  </si>
  <si>
    <t>ZM337</t>
  </si>
  <si>
    <t>Láhev kojenecká jednorázová 240 ml + krytka multipack bal. á 16 ks NCB1240V</t>
  </si>
  <si>
    <t>ZM338</t>
  </si>
  <si>
    <t>Láhev kojenecká jednorázová 130 ml + krytka multipack bal. á 25 ks NCB1130V</t>
  </si>
  <si>
    <t>ZM362</t>
  </si>
  <si>
    <t>Láhev kojenecká jednorázová 60 ml + dudlík s otvorem multipack bal. á 30 ks NCB2060V</t>
  </si>
  <si>
    <t>ZM407</t>
  </si>
  <si>
    <t>Láhev kojenecká jednorázová 60 ml + krytka multipack bal. á 35 ks NCB1060V</t>
  </si>
  <si>
    <t>ZE079</t>
  </si>
  <si>
    <t>Set transfúzní non PVC s odvzdušněním a bakteriálním filtrem ZAR-I-TS</t>
  </si>
  <si>
    <t>ZF925</t>
  </si>
  <si>
    <t>Jehla injekční 0,9 x 25 mm žlutá á 100 ks 4657500</t>
  </si>
  <si>
    <t>ZN125</t>
  </si>
  <si>
    <t>Rukavice operační gammex ansell PF bez pudru 7,5 A351145</t>
  </si>
  <si>
    <t>ZN183</t>
  </si>
  <si>
    <t>Držák injekčních stříkaček do inkubátoru 5905</t>
  </si>
  <si>
    <t>ZA542</t>
  </si>
  <si>
    <t>Náplast wet pruf voduvzd. 1,25 cm x 9,14 m bal. á 24 ks K00-3063C</t>
  </si>
  <si>
    <t>ZA544</t>
  </si>
  <si>
    <t>Krytí inadine nepřilnavé 5,0 x 5,0 cm 1/10 SYS01481EE</t>
  </si>
  <si>
    <t>ZA627</t>
  </si>
  <si>
    <t>Krytí granuflex extra thin 5 x 10 cm á 10 ks 0021661 187959</t>
  </si>
  <si>
    <t>ZB084</t>
  </si>
  <si>
    <t>Náplast transpore 2,50 cm x 9,14 m 1527-1</t>
  </si>
  <si>
    <t>ZC550</t>
  </si>
  <si>
    <t>Krytí mepilex silikonový Ag 10 x 10 cm bal. á 5 ks 287110-00</t>
  </si>
  <si>
    <t>ZE108</t>
  </si>
  <si>
    <t>Krytí mepilex lite 10 x 10 cm bal. á 10 ks 284100-01</t>
  </si>
  <si>
    <t>ZF108</t>
  </si>
  <si>
    <t>Krytí mepilex lite 6 x  8,5 cm bal. á 5 ks 284000-01</t>
  </si>
  <si>
    <t>ZG613</t>
  </si>
  <si>
    <t>Krytí mepitel one 8 x 10 cm  bal. á 5 ks 289200-00</t>
  </si>
  <si>
    <t>ZI599</t>
  </si>
  <si>
    <t>Náplast curapor 10 x   8 cm 22121 ( náhrada za cosmopor )</t>
  </si>
  <si>
    <t>ZA326</t>
  </si>
  <si>
    <t>Krytí hypro-sorb R 20 x 25 mm bal. á 6 ks 003</t>
  </si>
  <si>
    <t>ZA602</t>
  </si>
  <si>
    <t>Kompresa gáza 5 x 5 cm / 2 ks sterilní karton á 1000 ks 26001</t>
  </si>
  <si>
    <t>ZA525</t>
  </si>
  <si>
    <t>Normlgel   5 g 370500</t>
  </si>
  <si>
    <t>ZN100</t>
  </si>
  <si>
    <t>Náplast reflexní k měření teploty v inkubátoru GIRAFFE á 50 ks 0203-1980-300</t>
  </si>
  <si>
    <t>ZN101</t>
  </si>
  <si>
    <t>Náplast Neo Smile k měření teploty v inkubátoru GIRAFFE bal. á 150 ks N731</t>
  </si>
  <si>
    <t>ZA210</t>
  </si>
  <si>
    <t>Cévka vyživovací CV-01 GAM646957</t>
  </si>
  <si>
    <t>ZA687</t>
  </si>
  <si>
    <t>Sáček močový curity s hod.diurézou 200 ml hadička 150 cm 6502</t>
  </si>
  <si>
    <t>Sáček močový curity s hod. diurézou 200 ml hadička 150 cm 6502</t>
  </si>
  <si>
    <t>ZA705</t>
  </si>
  <si>
    <t>Hadička spojovací HS 1,8 x 450UNIV</t>
  </si>
  <si>
    <t>ZA728</t>
  </si>
  <si>
    <t>Lopatka lékařská nesterilní dřevěná ústní bal. á 100 ks 1320100655</t>
  </si>
  <si>
    <t>ZA749</t>
  </si>
  <si>
    <t>Stříkačka injekční 3-dílná 50 ml LL Omnifix Solo 4617509F</t>
  </si>
  <si>
    <t>ZA754</t>
  </si>
  <si>
    <t>Stříkačka injekční 3-dílná 10 ml LL Omnifix Solo 4617100V</t>
  </si>
  <si>
    <t>ZB102</t>
  </si>
  <si>
    <t>Láhev k odsávačce flovac 1l hadice 1,8 m á 45 ks 000-036-020</t>
  </si>
  <si>
    <t>ZB103</t>
  </si>
  <si>
    <t>Láhev k odsávačce flovac 2l hadice 1,8 m 000-036-021</t>
  </si>
  <si>
    <t>ZB301</t>
  </si>
  <si>
    <t>Rampa 5 kohoutů bez PVC lipidorezistentní bal. á 20 ks RP 5000 M</t>
  </si>
  <si>
    <t>ZB336</t>
  </si>
  <si>
    <t>Zkumavka odběrová 1 ml tapval modrá bal. á 50 ks 13060</t>
  </si>
  <si>
    <t>ZB543</t>
  </si>
  <si>
    <t>Souprava odběrová tracheální G05206</t>
  </si>
  <si>
    <t>ZB668</t>
  </si>
  <si>
    <t>Hadička spojovací tlaková unicath pr. 1,0 mm x   50 cm PB 3105 M</t>
  </si>
  <si>
    <t>ZB755</t>
  </si>
  <si>
    <t>Zkumavka 1,0 ml K3 edta fialová 454034</t>
  </si>
  <si>
    <t>ZB949</t>
  </si>
  <si>
    <t>Pinzeta UH sterilní HAR999565</t>
  </si>
  <si>
    <t>ZD492</t>
  </si>
  <si>
    <t>Svěrka držáku flovac-plast 100 11-5122 (230-500)</t>
  </si>
  <si>
    <t>ZE308</t>
  </si>
  <si>
    <t>Stříkačka injekční 3-dílná 5 ml LL Omnifix Solo 4617053V</t>
  </si>
  <si>
    <t>ZI182</t>
  </si>
  <si>
    <t>Zkumavka + aplikátor s chem.stabilizátorem UriSwab žlutá 802CE.A</t>
  </si>
  <si>
    <t>Zátka ke kapiláře á 500 ks 110235</t>
  </si>
  <si>
    <t>ZJ659</t>
  </si>
  <si>
    <t>Kohout trojcestný s bezjehlovým konektorem Discofix C bal. á 100 ks 16494CSF</t>
  </si>
  <si>
    <t>ZK799</t>
  </si>
  <si>
    <t>Zátka combi červená 4495101</t>
  </si>
  <si>
    <t>ZK884</t>
  </si>
  <si>
    <t>Kohout trojcestný discofix modrý 4095111</t>
  </si>
  <si>
    <t>ZA718</t>
  </si>
  <si>
    <t>Patrona nízkoprůtoková vapotherm á 2 ks VT01-B</t>
  </si>
  <si>
    <t>ZD992</t>
  </si>
  <si>
    <t>Čidlo saturační jednorázové pro novorozence masimo k monitoru Mindray bal. á 20 ks 2329LHL</t>
  </si>
  <si>
    <t>ZK424</t>
  </si>
  <si>
    <t>Teploměr digitální s ohebným hrotem flexi P02605</t>
  </si>
  <si>
    <t>ZL952</t>
  </si>
  <si>
    <t>Stříkačka injekční 3-dílná 50 ml LL light protected bal.á 60 ks 2022920A</t>
  </si>
  <si>
    <t>ZL951</t>
  </si>
  <si>
    <t>Hadička prodlužovací PVC 150 cm pro světlocitlivé léky NO DOP bal. á 20  ks V686423</t>
  </si>
  <si>
    <t>ZI120</t>
  </si>
  <si>
    <t>Manžeta TK novorozenecká č. 4 M1872B + konektory</t>
  </si>
  <si>
    <t>ZD293</t>
  </si>
  <si>
    <t>Spojka heimlich na napoj. pediatr. drénů 800,01</t>
  </si>
  <si>
    <t>ZE784</t>
  </si>
  <si>
    <t>Konektor bezjehlový smartsite modrý 2000E7D</t>
  </si>
  <si>
    <t>ZB095</t>
  </si>
  <si>
    <t>Systém odsávací uzavřený TC CH6 neo / pedi 30,5 cm 196-5</t>
  </si>
  <si>
    <t>ZG229</t>
  </si>
  <si>
    <t>Stojan na zkumavky s alfanumerickým popisem 17, 50 pozic bílá BSP 217</t>
  </si>
  <si>
    <t>ZE623</t>
  </si>
  <si>
    <t>Cévka odsávací CH6 s přerušovačem sání bal. á 80 ks GCR1021-6</t>
  </si>
  <si>
    <t>ZE783</t>
  </si>
  <si>
    <t>Trn na vak jednosměrný bal. á 100 ks 2309E</t>
  </si>
  <si>
    <t>ZI119</t>
  </si>
  <si>
    <t>Manžeta TK novorozenecká č. 2 M1868B  (dřív.kč.M1868A se již nevyrábí)</t>
  </si>
  <si>
    <t>ZB088</t>
  </si>
  <si>
    <t>Kanyla ET 3,0 bez manžety 9336E</t>
  </si>
  <si>
    <t>ZL887</t>
  </si>
  <si>
    <t>Kanyla nasální CPAP extra malá bal. á 10 ks 8888162024</t>
  </si>
  <si>
    <t>ZC134</t>
  </si>
  <si>
    <t>Manžeta TK novorozenecká č. 3 M1870B + konektor (M1870A se již nevyrábí)</t>
  </si>
  <si>
    <t>ZL537</t>
  </si>
  <si>
    <t>Čidlo teplotní jednorázové bal. á 10 ks 2074816-001</t>
  </si>
  <si>
    <t>ZD271</t>
  </si>
  <si>
    <t>Držák láhve flovac-plast 100 11-5121 (300 970-010-210)</t>
  </si>
  <si>
    <t>ZM753</t>
  </si>
  <si>
    <t>Sada Infant Flow LP nCPAP aolikátor. okruh, komora zvlhčovače s automatickým plněním bal. á 10 ks 7772011AK</t>
  </si>
  <si>
    <t>ZM756</t>
  </si>
  <si>
    <t>Čelenka fixační Infant Flow nCPAP S/M 24 - 28 cm bal. á 10 ks 777040SM</t>
  </si>
  <si>
    <t>ZM757</t>
  </si>
  <si>
    <t>Čelenka fixační Infant Flow nCPAP M 26 - 32 cm bal. á 10 ks 777040M</t>
  </si>
  <si>
    <t>ZM758</t>
  </si>
  <si>
    <t>Čelenka fixační Infant Flow nCPAP L 32 - 37 cm bal. á 10 ks 777040L</t>
  </si>
  <si>
    <t>ZA980</t>
  </si>
  <si>
    <t>Elektroda EEG subdermalní needle PRO-E3 bal. á 30 ks 62056</t>
  </si>
  <si>
    <t>ZM945</t>
  </si>
  <si>
    <t>Senzor fore-sight neadhezivní malý 01-07-2000</t>
  </si>
  <si>
    <t>ZM759</t>
  </si>
  <si>
    <t>Čelenka fixační Infant Flow nCPAP XL 37 - 42 cm bal. á 10 ks 777040XL</t>
  </si>
  <si>
    <t>ZD283</t>
  </si>
  <si>
    <t>Aplikátor nasální neonatal bal. á 25 ks MN1100B</t>
  </si>
  <si>
    <t>ZG230</t>
  </si>
  <si>
    <t>Stojan na zkumavky s alfanumerickým popisem 13, 50 pozic bílá BSP 213</t>
  </si>
  <si>
    <t>ZB708</t>
  </si>
  <si>
    <t>Katetr močový foley silikon CH6 23.000.14.206</t>
  </si>
  <si>
    <t>ZN051</t>
  </si>
  <si>
    <t>Konektor k novorozenecké manžetě M1870A BP05-P</t>
  </si>
  <si>
    <t>ZN156</t>
  </si>
  <si>
    <t>Kanyla ET 2,0 mm bez manžety bal. á 10 ks 100/111/020</t>
  </si>
  <si>
    <t>ZD147</t>
  </si>
  <si>
    <t>Trokar hrudní 8F 8 cm á 15 ks 625,08</t>
  </si>
  <si>
    <t>ZC222</t>
  </si>
  <si>
    <t>Kanyla TS 3,0 s manžetou 67P030</t>
  </si>
  <si>
    <t>ZD284</t>
  </si>
  <si>
    <t>Aplikátor nasální premature bal. á 25 MN1100A</t>
  </si>
  <si>
    <t>ZM618</t>
  </si>
  <si>
    <t>Čidlo saturační neonatální iMEC 8 AL-110204M</t>
  </si>
  <si>
    <t>ZC847</t>
  </si>
  <si>
    <t>Systém odsávací uzavřený TC CH5  neo / pedi Y adaptér 30,5 cm 195-5</t>
  </si>
  <si>
    <t>ZM755</t>
  </si>
  <si>
    <t>Čelenka fixační Infant Flow nCPAP S 21 - 26 cm bal. á 10 ks 777040S</t>
  </si>
  <si>
    <t>ZB228</t>
  </si>
  <si>
    <t>Systém hrudní drenáže Pleur-evac bal. á 6 ks pro děti A-6020-08LF</t>
  </si>
  <si>
    <t>ZB416</t>
  </si>
  <si>
    <t>Kanyla ET 4,0 bez manžety bal. á 10 ks 9342E</t>
  </si>
  <si>
    <t>ZB672</t>
  </si>
  <si>
    <t>Spojka drénová variabilní  bal. á 100 ks 5524989</t>
  </si>
  <si>
    <t>ZC058</t>
  </si>
  <si>
    <t>Kapilára hep. litný 200 ul+drátek 125/200</t>
  </si>
  <si>
    <t>ZC040</t>
  </si>
  <si>
    <t>Kádinka 25 ml nízká sklo 632411010025</t>
  </si>
  <si>
    <t>ZE276</t>
  </si>
  <si>
    <t>Kádinka 25 ml vysoká sklo 632411012025</t>
  </si>
  <si>
    <t>ZC619</t>
  </si>
  <si>
    <t>Katetr pupeční žilní  F5/38 cm dvoucestný bal. á 5 ks 8888160556</t>
  </si>
  <si>
    <t>ZC649</t>
  </si>
  <si>
    <t>Katetr broviak 1 lumen 4,2Fr x 71 cm 0600520CE</t>
  </si>
  <si>
    <t>ZL818</t>
  </si>
  <si>
    <t>Katetr pupeční dvoucestný 1272.14</t>
  </si>
  <si>
    <t>ZC628</t>
  </si>
  <si>
    <t>Katetr pupeční žilní  F3,5/38 cm jednocestný bal. á 10 ks 8888160333</t>
  </si>
  <si>
    <t>ZA716</t>
  </si>
  <si>
    <t>Set infuzní intrafix air bez PVC 180 cm 4063002</t>
  </si>
  <si>
    <t>ZA878</t>
  </si>
  <si>
    <t>Šití ethilon bl 4-0 bal. á 12 ks W319</t>
  </si>
  <si>
    <t>ZA834</t>
  </si>
  <si>
    <t>Jehla injekční 0,7 x 40 mm černá 4660021</t>
  </si>
  <si>
    <t>ZA999</t>
  </si>
  <si>
    <t>Jehla injekční 0,5 x 16 mm oranžová 4657853</t>
  </si>
  <si>
    <t>ZA925</t>
  </si>
  <si>
    <t>Jehla spinální spinocan G22 40 mm černá 4507401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</si>
  <si>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</si>
  <si>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</si>
  <si>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</si>
  <si>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</si>
  <si>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</si>
  <si>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</si>
  <si>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</si>
  <si>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</si>
  <si>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</si>
  <si>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</si>
  <si>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Rukavice operační  gamex ansell PF bez pudru 6,5 A351143</t>
  </si>
  <si>
    <t>ZN108</t>
  </si>
  <si>
    <t>Rukavice operační gammex ansell PF bez pudru 8,0 A351146</t>
  </si>
  <si>
    <t>ZN040</t>
  </si>
  <si>
    <t>Rukavice operační gammex ansell PF bez pudru 8,5 A351147</t>
  </si>
  <si>
    <t>DG388</t>
  </si>
  <si>
    <t>Játrový bujon (10ml)</t>
  </si>
  <si>
    <t>DG395</t>
  </si>
  <si>
    <t>Diagnostická souprava AB0 set monoklonální na 30</t>
  </si>
  <si>
    <t>DC515</t>
  </si>
  <si>
    <t>Čistící roztok k dekontaminaci 100 ml  (HYPOCHLORID.ROZTOK,S5362)</t>
  </si>
  <si>
    <t>DC320</t>
  </si>
  <si>
    <t>AUTOCHECK TM5+/LEVEL3/S7755</t>
  </si>
  <si>
    <t>DG416</t>
  </si>
  <si>
    <t>S1 Rinse Solution, 2 Pcs</t>
  </si>
  <si>
    <t>DG417</t>
  </si>
  <si>
    <t>S2 Fluid pack, 1 Pc</t>
  </si>
  <si>
    <t>DC319</t>
  </si>
  <si>
    <t>AUTOCHECK TM5+/LEVEL1/S7735</t>
  </si>
  <si>
    <t>DG418</t>
  </si>
  <si>
    <t>S3 Fluid pack, 1 Pc</t>
  </si>
  <si>
    <t>DD305</t>
  </si>
  <si>
    <t>KARTICKY TEST.SCREENING 45X70 á 100 ks</t>
  </si>
  <si>
    <t>DG427</t>
  </si>
  <si>
    <t>Printer paper OMNI/OMNI S, 6 Pcs</t>
  </si>
  <si>
    <t>DC402</t>
  </si>
  <si>
    <t>AUTOCHECK TM5+/LEVEL2/S7745</t>
  </si>
  <si>
    <t>DF170</t>
  </si>
  <si>
    <t>NOVÝ ČISTÍCÍ ROZTOK s aditivem, S8375 (ABL 825)</t>
  </si>
  <si>
    <t>DG424</t>
  </si>
  <si>
    <t>Autotrol plus B, level 2, 40 pcs</t>
  </si>
  <si>
    <t>DF166</t>
  </si>
  <si>
    <t>KALIBRAČNÍ ROZTOK 2  S1830 (ABL 825)</t>
  </si>
  <si>
    <t>DF445</t>
  </si>
  <si>
    <t>Odpadni nadoba D512 600 ml</t>
  </si>
  <si>
    <t>DG422</t>
  </si>
  <si>
    <t>Sensor GLU/LAC</t>
  </si>
  <si>
    <t>DG419</t>
  </si>
  <si>
    <t>W Waste container, 2 Pcs</t>
  </si>
  <si>
    <t>DG191</t>
  </si>
  <si>
    <t>UNIV.INDIK.PAPIRKY pH 0-12</t>
  </si>
  <si>
    <t>DC321</t>
  </si>
  <si>
    <t>AUTOCHECK TM5+/LEVEL4/,S7765</t>
  </si>
  <si>
    <t>DA702</t>
  </si>
  <si>
    <t>Zaslepovací elektroda</t>
  </si>
  <si>
    <t>DC634</t>
  </si>
  <si>
    <t>THB KALIBRAČNÍ ROZTOK,S7770</t>
  </si>
  <si>
    <t>DG379</t>
  </si>
  <si>
    <t>Doprava 21%</t>
  </si>
  <si>
    <t>ZD478</t>
  </si>
  <si>
    <t>Převodník tlakový arteriální 90 cm jednokom. pediatrický 1 linka bal. á 20 ks T432105A</t>
  </si>
  <si>
    <t>ZK806</t>
  </si>
  <si>
    <t>Okruh dýchací ventilační jednorázový k ventilátoru babylog 8000IC 5068810</t>
  </si>
  <si>
    <t>ZD406</t>
  </si>
  <si>
    <t>Okruh dýchací pro novorozence jednorázový 150 cm á 10 ks 305/8173</t>
  </si>
  <si>
    <t>ZM762</t>
  </si>
  <si>
    <t>Maska Infant Flow LP nCPAP M bal. á 10 ks 777002M</t>
  </si>
  <si>
    <t>ZM761</t>
  </si>
  <si>
    <t>Maska Infant Flow LP nCPAP S bal. á 10 ks 777002S</t>
  </si>
  <si>
    <t>ZM953</t>
  </si>
  <si>
    <t>Hadice silikon 5 / 9 mm á 25 m 34.000.00.108</t>
  </si>
  <si>
    <t>ZM996</t>
  </si>
  <si>
    <t>Membrána výdechová autoklávovatelná k ventilátoru Fabian 7007</t>
  </si>
  <si>
    <t>ZI235</t>
  </si>
  <si>
    <t>Komora pro zvlhčovače jednorázová k ventilátoru Fabian bal. á 10 ks 500380</t>
  </si>
  <si>
    <t>ZK464</t>
  </si>
  <si>
    <t>Okruh dýchací jednorázový BTS118W k ventilátoru Fabian bal. á 10 ks 270.471</t>
  </si>
  <si>
    <t>ZM998</t>
  </si>
  <si>
    <t>Adaptér pro průtokový/teplotní senzor FP aitoklávovatelný k ventilátoru Fabian 900MR830</t>
  </si>
  <si>
    <t>ZM993</t>
  </si>
  <si>
    <t>Senzor průtokový novorozenecký autoklávovatelný k ventilátoru Fabian 1031</t>
  </si>
  <si>
    <t>ZK465</t>
  </si>
  <si>
    <t>Hadička propojovací ventilátor/zvlhčovač jednorázová k ventilátoru Fabian bal. á 10 ks 270.520</t>
  </si>
  <si>
    <t>ZM999</t>
  </si>
  <si>
    <t>Adaptér HFO autoklávovatelný k ventilátoru Fabian 7209</t>
  </si>
  <si>
    <t>ZM997</t>
  </si>
  <si>
    <t>Blok výdechový autoklávovatelný k ventilátoru Fabian 7360</t>
  </si>
  <si>
    <t>ZN107</t>
  </si>
  <si>
    <t>Okruh dýchací ventilační F&amp;P vysokofrekvenční ventilaci k ventilátoru Babylog 8000 resterilizovatelný 8411153</t>
  </si>
  <si>
    <t>ZM760</t>
  </si>
  <si>
    <t>Maska Infant Flow LP nCPAP X/S bal. á 10 ks 777002XS</t>
  </si>
  <si>
    <t>ZN304</t>
  </si>
  <si>
    <t>Nostrilka Infant Flow LP nCPAP velikost XS bal. á 10 ks 777000XS</t>
  </si>
  <si>
    <t>ZN305</t>
  </si>
  <si>
    <t>Rezervoár k resuscitátoru Dartin objem 600 ml bal. á 10 ks PAL30212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</si>
  <si>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</si>
  <si>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</si>
  <si>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</si>
  <si>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</si>
  <si>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</si>
  <si>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</si>
  <si>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</si>
  <si>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</si>
  <si>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</si>
  <si>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</si>
  <si>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</si>
  <si>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</si>
  <si>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50115063</t>
  </si>
  <si>
    <t>528 SZM sety (112 02 105)</t>
  </si>
  <si>
    <t>50115040</t>
  </si>
  <si>
    <t>505 SZM laboratorní sklo a materiál (112 02 140)</t>
  </si>
  <si>
    <t>50115070</t>
  </si>
  <si>
    <t>513 SZM katetry (112 02 101)</t>
  </si>
  <si>
    <t>50115064</t>
  </si>
  <si>
    <t>529 SZM šicí materiál (112 02 106)</t>
  </si>
  <si>
    <t>Spotřeba zdravotnického materiálu - orientační přehled</t>
  </si>
  <si>
    <t>ON Data</t>
  </si>
  <si>
    <t>08 - Porodnicko-gynekologická klinika</t>
  </si>
  <si>
    <t>08</t>
  </si>
  <si>
    <t>3T4</t>
  </si>
  <si>
    <t>V</t>
  </si>
  <si>
    <t>09544</t>
  </si>
  <si>
    <t>SIGNÁLNÍ VÝKON POBYTU V ZAŘÍZENÍ LŮŽKOVÉ PÉČE / DO</t>
  </si>
  <si>
    <t>3F4</t>
  </si>
  <si>
    <t>1</t>
  </si>
  <si>
    <t>0005114</t>
  </si>
  <si>
    <t>0014583</t>
  </si>
  <si>
    <t>0015273</t>
  </si>
  <si>
    <t>SULPERAZON 2 G IM/IV</t>
  </si>
  <si>
    <t>0053922</t>
  </si>
  <si>
    <t>0065989</t>
  </si>
  <si>
    <t>0068998</t>
  </si>
  <si>
    <t>AMPICILIN 1,0 BIOTIKA</t>
  </si>
  <si>
    <t>0068999</t>
  </si>
  <si>
    <t>0072973</t>
  </si>
  <si>
    <t>0077044</t>
  </si>
  <si>
    <t>ZINACEF 750 MG</t>
  </si>
  <si>
    <t>0092206</t>
  </si>
  <si>
    <t>AUGMENTIN 600 MG</t>
  </si>
  <si>
    <t>0092289</t>
  </si>
  <si>
    <t>0094176</t>
  </si>
  <si>
    <t>0096413</t>
  </si>
  <si>
    <t>0096414</t>
  </si>
  <si>
    <t>GENTAMICIN LEK 80 MG/2 ML</t>
  </si>
  <si>
    <t>0137499</t>
  </si>
  <si>
    <t>0142077</t>
  </si>
  <si>
    <t>0164350</t>
  </si>
  <si>
    <t>TAZOCIN 4 G/0,5 G</t>
  </si>
  <si>
    <t>0107854</t>
  </si>
  <si>
    <t>2</t>
  </si>
  <si>
    <t>0007957</t>
  </si>
  <si>
    <t>Erytrocyty deleukotizované</t>
  </si>
  <si>
    <t>0107960</t>
  </si>
  <si>
    <t>Trombocyty z aferézy deleukotizované</t>
  </si>
  <si>
    <t>0407942</t>
  </si>
  <si>
    <t>Příplatek za ozáření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</si>
  <si>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</si>
  <si>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</si>
  <si>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</si>
  <si>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</si>
  <si>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</si>
  <si>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</si>
  <si>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</si>
  <si>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</si>
  <si>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</si>
  <si>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</si>
  <si>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</si>
  <si>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</si>
  <si>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34450</t>
  </si>
  <si>
    <t>(VZP) PORODNÍ VÁHA NOVOROZENCE POD 750 GRAMŮ</t>
  </si>
  <si>
    <t>34455</t>
  </si>
  <si>
    <t>(VZP) PORODNÍ VÁHA NOVOROZENCE NAD 2499 GRAMŮ</t>
  </si>
  <si>
    <t>31022</t>
  </si>
  <si>
    <t>CÍLENÉ VYŠETŘENÍ DĚTSKÝM LÉKAŘEM</t>
  </si>
  <si>
    <t>31021</t>
  </si>
  <si>
    <t>KOMPLEXNÍ VYŠETŘENÍ DĚTSKÝM LÉKAŘEM</t>
  </si>
  <si>
    <t>99999</t>
  </si>
  <si>
    <t>Nespecifikovany vykon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</si>
  <si>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</si>
  <si>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</si>
  <si>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</si>
  <si>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</si>
  <si>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</si>
  <si>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</si>
  <si>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34452</t>
  </si>
  <si>
    <t>(VZP) PORODNÍ VÁHA NOVOROZENCE OD 1000 DO 1499 GRA</t>
  </si>
  <si>
    <t>34451</t>
  </si>
  <si>
    <t>(VZP) PORODNÍ VÁHA NOVOROZENCE OD 750 DO 999 GRAMŮ</t>
  </si>
  <si>
    <t>0001619</t>
  </si>
  <si>
    <t>0003952</t>
  </si>
  <si>
    <t>AMIKIN 500 MG</t>
  </si>
  <si>
    <t>0011592</t>
  </si>
  <si>
    <t>METRONIDAZOL B. BRAUN 5 MG/ML</t>
  </si>
  <si>
    <t>0026039</t>
  </si>
  <si>
    <t>KIOVIG 100 MG/ML</t>
  </si>
  <si>
    <t>0027636</t>
  </si>
  <si>
    <t>SYNAGI</t>
  </si>
  <si>
    <t>SYNAGIS 100 MG</t>
  </si>
  <si>
    <t>0042144</t>
  </si>
  <si>
    <t>HUMAN ALBUMIN GRIFOLS 20%</t>
  </si>
  <si>
    <t>0056801</t>
  </si>
  <si>
    <t>0083050</t>
  </si>
  <si>
    <t>SEFOTAK 1 G</t>
  </si>
  <si>
    <t>0083487</t>
  </si>
  <si>
    <t>MERONEM 500 MG</t>
  </si>
  <si>
    <t>0087226</t>
  </si>
  <si>
    <t>0131654</t>
  </si>
  <si>
    <t>0137484</t>
  </si>
  <si>
    <t>ANBINEX</t>
  </si>
  <si>
    <t>0155939</t>
  </si>
  <si>
    <t>0129056</t>
  </si>
  <si>
    <t>ATENATIV</t>
  </si>
  <si>
    <t>0076355</t>
  </si>
  <si>
    <t>FORTUM 500 MG</t>
  </si>
  <si>
    <t>0007955</t>
  </si>
  <si>
    <t>0207921</t>
  </si>
  <si>
    <t>Plazma čerstvá zmrazená</t>
  </si>
  <si>
    <t>0107961</t>
  </si>
  <si>
    <t>Trombocyty patogen-inaktivované</t>
  </si>
  <si>
    <t>3</t>
  </si>
  <si>
    <t>0012999</t>
  </si>
  <si>
    <t>STAPLER LINEÁRNÍ S BŘITEM TCT55 TLC55</t>
  </si>
  <si>
    <t>0069598</t>
  </si>
  <si>
    <t>SYSTÉM HYDROCEPHALNÍ DRENÁŽNÍ-SHUNT</t>
  </si>
  <si>
    <t>0095636</t>
  </si>
  <si>
    <t>SYSTÉM HYDROCEPHALNÍ DRENÁŽNÍ - SHUNT HAKIM BACTIS</t>
  </si>
  <si>
    <t>0095661</t>
  </si>
  <si>
    <t>SYSTÉM ZEVNÍ DRENÁŽNÍ LIKVOROVÝ DOČASNÝ CODMAN</t>
  </si>
  <si>
    <t>00671</t>
  </si>
  <si>
    <t>OD TYPU 71 - PRO NEMOCNICE TYPU 3, (KATEGORIE 6) -</t>
  </si>
  <si>
    <t>00675</t>
  </si>
  <si>
    <t>OD TYPU 75 - PRO NEMOCNICE TYPU 3, (KATEGORIE 6) -</t>
  </si>
  <si>
    <t>09547</t>
  </si>
  <si>
    <t>REGULAČNÍ POPLATEK -- POJIŠTĚNEC OD ÚHRADY POPLATK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</si>
  <si>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</si>
  <si>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</si>
  <si>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</si>
  <si>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</si>
  <si>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99991</t>
  </si>
  <si>
    <t>(VZP) KÓD POUZE PRO CENTRA DLE VYHL. 368/2006 - SL</t>
  </si>
  <si>
    <t>90906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</si>
  <si>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</si>
  <si>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</si>
  <si>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</si>
  <si>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</si>
  <si>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</si>
  <si>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</si>
  <si>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</si>
  <si>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78320</t>
  </si>
  <si>
    <t xml:space="preserve">NEODKLADNÁ KARDIOPULMONÁLNÍ RESUSCITACE ROZŠÍŘENÁ </t>
  </si>
  <si>
    <t>90905</t>
  </si>
  <si>
    <t>09213</t>
  </si>
  <si>
    <t>NEODKLADNÁ KARDIOPULMONÁLNÍ RESUSCITACE ZÁKLADNÍ Á</t>
  </si>
  <si>
    <t>90955</t>
  </si>
  <si>
    <t>(DRG) VENTILAČNÍ PODPORA U NOVOROZENCŮ</t>
  </si>
  <si>
    <t>501</t>
  </si>
  <si>
    <t>51386</t>
  </si>
  <si>
    <t>SUTURA EV. EXCIZE A SUTURA LÉZE STĚNY ŽALUDKU NEBO</t>
  </si>
  <si>
    <t>APENDEKTOMIE NEBO OPERAČNÍ DRENÁŽ PERIAPENDIKULÁRN</t>
  </si>
  <si>
    <t>52221</t>
  </si>
  <si>
    <t>ATRESIE TENKÉHO STŘEVA VČETNĚ DUODENA U NOVOROZENC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</si>
  <si>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</si>
  <si>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</si>
  <si>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</si>
  <si>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</si>
  <si>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</si>
  <si>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</si>
  <si>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</si>
  <si>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</si>
  <si>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</si>
  <si>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</si>
  <si>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</si>
  <si>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51392</t>
  </si>
  <si>
    <t>RELAPAROTOMIE PRO POOPERAČNÍ KRVÁCENÍ, PERITONITID</t>
  </si>
  <si>
    <t>52219</t>
  </si>
  <si>
    <t>OPERACE PRO NEKROTIZUJÍCÍ ENTEROKOLIDU</t>
  </si>
  <si>
    <t>51111</t>
  </si>
  <si>
    <t>OPERACE CYSTY NEBO HEMANGIOMU NEBO LIPOMU NEBO PIL</t>
  </si>
  <si>
    <t>51821</t>
  </si>
  <si>
    <t>CHIRURGICKÉ ODSTRANĚNÍ CIZÍHO TĚLESA</t>
  </si>
  <si>
    <t>51357</t>
  </si>
  <si>
    <t>JEJUNOSTOMIE, ILEOSTOMIE NEBO KOLOSTOMIE, ANTEPOZI</t>
  </si>
  <si>
    <t>52311</t>
  </si>
  <si>
    <t xml:space="preserve">OPERACE TŘÍSELNÉ NEBO FEMORÁLNÍ NEBO PUPEČNÍ KÝLY </t>
  </si>
  <si>
    <t>5F6</t>
  </si>
  <si>
    <t>56163</t>
  </si>
  <si>
    <t>ZEVNÍ KOMOROVÁ DRENÁŽ NEBO ZAVEDENÍ ČIDLA NA MĚŘEN</t>
  </si>
  <si>
    <t>56125</t>
  </si>
  <si>
    <t>OPERAČNÍ REVIZE NEBO ZAVEDENÍ DRENÁŽE MOZKOMÍŠNÍHO</t>
  </si>
  <si>
    <t>606</t>
  </si>
  <si>
    <t>66021</t>
  </si>
  <si>
    <t>KOMPLEXNÍ VYŠETŘENÍ ORTOPEDEM</t>
  </si>
  <si>
    <t>66031</t>
  </si>
  <si>
    <t>PREVENTIVNÍ VYŠETŘENÍ KYČELNÍCH KLOUBŮ U KOJENCE</t>
  </si>
  <si>
    <t>7F6</t>
  </si>
  <si>
    <t>76335</t>
  </si>
  <si>
    <t>OPERAČNÍ REVIZE PERIRENÁLNÍCH NEBO PERIURETERÁLNÍC</t>
  </si>
  <si>
    <t>Zdravotní výkony vykázané na pracovišti pro pacienty hospitalizované ve FNOL - orientační přehled</t>
  </si>
  <si>
    <t>10302</t>
  </si>
  <si>
    <t>A</t>
  </si>
  <si>
    <t xml:space="preserve">DIABETES, NUTRIČNÍ A JINÉ METABOLICKÉ PORUCHY S CC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</si>
  <si>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</si>
  <si>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</si>
  <si>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</si>
  <si>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</si>
  <si>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</si>
  <si>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</si>
  <si>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</si>
  <si>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 xml:space="preserve">NOVOROZENEC, VÁHA PŘI PORODU &lt;=1000G, SE ZÁKLADNÍM VÝKONEM S MCC                                    </t>
  </si>
  <si>
    <t>15632</t>
  </si>
  <si>
    <t xml:space="preserve">NOVOROZENEC, VÁHA PŘI PORODU &lt;=1000G, BEZ ZÁKLADNÍHO VÝKONU S CC                                    </t>
  </si>
  <si>
    <t>15633</t>
  </si>
  <si>
    <t xml:space="preserve">NOVOROZENEC, VÁHA PŘI PORODU &lt;=1000G, BEZ ZÁKLADNÍHO VÝKONU S MCC                                   </t>
  </si>
  <si>
    <t>15642</t>
  </si>
  <si>
    <t xml:space="preserve">NOVOROZENEC, VÁHA PŘI PORODU 1000-1499G, SE ZÁKLADNÍM VÝKONEM S CC                                  </t>
  </si>
  <si>
    <t>15652</t>
  </si>
  <si>
    <t xml:space="preserve">NOVOROZENEC, VÁHA PŘI PORODU 1000-1499G, BEZ ZÁKLADNÍHO VÝKONU S CC                                 </t>
  </si>
  <si>
    <t>15653</t>
  </si>
  <si>
    <t xml:space="preserve">NOVOROZENEC, VÁHA PŘI PORODU 1000-1499G, BEZ ZÁKLADNÍHO VÝKONU S MCC                                </t>
  </si>
  <si>
    <t>15662</t>
  </si>
  <si>
    <t xml:space="preserve">NOVOROZENEC, VÁHA PŘI PORODU 1500-1999G, SE ZÁKLADNÍM VÝKONEM S CC                                  </t>
  </si>
  <si>
    <t>15663</t>
  </si>
  <si>
    <t xml:space="preserve">NOVOROZENEC, VÁHA PŘI PORODU 1500-1999G, SE ZÁKLADNÍM VÝKONEM S MCC                                 </t>
  </si>
  <si>
    <t>15671</t>
  </si>
  <si>
    <t xml:space="preserve">NOVOROZENEC, VÁHA PŘI PORODU 1500-1999G, BEZ ZÁKLADNÍHO VÝKONU BEZ CC                               </t>
  </si>
  <si>
    <t>15672</t>
  </si>
  <si>
    <t xml:space="preserve">NOVOROZENEC, VÁHA PŘI PORODU 1500-1999G, BEZ ZÁKLADNÍHO VÝKONU S CC                                 </t>
  </si>
  <si>
    <t>15673</t>
  </si>
  <si>
    <t xml:space="preserve">NOVOROZENEC, VÁHA PŘI PORODU 1500-1999G, BEZ ZÁKLADNÍHO VÝKONU S MCC                                </t>
  </si>
  <si>
    <t>15691</t>
  </si>
  <si>
    <t xml:space="preserve">NOVOROZENEC, VÁHA PŘI PORODU 2000-2499G, BEZ ZÁKLADNÍHO VÝKONU BEZ CC                               </t>
  </si>
  <si>
    <t>15692</t>
  </si>
  <si>
    <t xml:space="preserve">NOVOROZENEC, VÁHA PŘI PORODU 2000-2499G, BEZ ZÁKLADNÍHO VÝKONU S CC                                 </t>
  </si>
  <si>
    <t>15693</t>
  </si>
  <si>
    <t xml:space="preserve">NOVOROZENEC, VÁHA PŘI PORODU 2000-2499G, BEZ ZÁKLADNÍHO VÝKONU S MCC                                </t>
  </si>
  <si>
    <t>15702</t>
  </si>
  <si>
    <t xml:space="preserve">NOVOROZENEC, VÁHA PŘI PORODU &gt;2499G, SE ZÁKLADNÍM VÝKONEM S CC                                      </t>
  </si>
  <si>
    <t>15703</t>
  </si>
  <si>
    <t xml:space="preserve">NOVOROZENEC, VÁHA PŘI PORODU &gt;2499G, SE ZÁKLADNÍM VÝKONEM S MCC                                     </t>
  </si>
  <si>
    <t>15711</t>
  </si>
  <si>
    <t xml:space="preserve">NOVOROZENEC, VÁHA PŘI PORODU &gt;2499G, S VÁŽNOU ANOMÁLIÍ NEBO DĚDIČNÝM STAVEM BEZ CC                  </t>
  </si>
  <si>
    <t>15712</t>
  </si>
  <si>
    <t xml:space="preserve">NOVOROZENEC, VÁHA PŘI PORODU &gt;2499G, S VÁŽNOU ANOMÁLIÍ NEBO DĚDIČNÝM STAVEM S CC                    </t>
  </si>
  <si>
    <t>15713</t>
  </si>
  <si>
    <t xml:space="preserve">NOVOROZENEC, VÁHA PŘI PORODU &gt;2499G, S VÁŽNOU ANOMÁLIÍ NEBO DĚDIČNÝM STAVEM S MCC                   </t>
  </si>
  <si>
    <t>15720</t>
  </si>
  <si>
    <t xml:space="preserve">NOVOROZENEC, VÁHA PŘI PORODU &gt; 2499G, SE SYNDROMEM DÝCHACÍCH POTÍŽÍ                                 </t>
  </si>
  <si>
    <t>15732</t>
  </si>
  <si>
    <t xml:space="preserve">NOVOROZENEC, VÁHA PŘI PORODU &gt; 2499G, S ASPIRAČNÍM SYNDROMEM S CC                                   </t>
  </si>
  <si>
    <t>15741</t>
  </si>
  <si>
    <t xml:space="preserve">NOVOROZENEC, VÁHA PŘI PORODU &gt; 2499G, S VROZENOU NEBO PERINATÁLNÍ INFEKCÍ BEZ CC                    </t>
  </si>
  <si>
    <t>15742</t>
  </si>
  <si>
    <t xml:space="preserve">NOVOROZENEC, VÁHA PŘI PORODU &gt; 2499G, S VROZENOU NEBO PERINATÁLNÍ INFEKCÍ S CC                      </t>
  </si>
  <si>
    <t>15743</t>
  </si>
  <si>
    <t xml:space="preserve">NOVOROZENEC, VÁHA PŘI PORODU &gt; 2499G, S VROZENOU NEBO PERINATÁLNÍ INFEKCÍ S MCC                     </t>
  </si>
  <si>
    <t>15751</t>
  </si>
  <si>
    <t xml:space="preserve">NOVOROZENEC, VÁHA PŘI PORODU &gt; 2499G, BEZ ZÁKLADNÍHO VÝKONU BEZ CC                                  </t>
  </si>
  <si>
    <t>15752</t>
  </si>
  <si>
    <t xml:space="preserve">NOVOROZENEC, VÁHA PŘI PORODU &gt; 2499G, BEZ ZÁKLADNÍHO VÝKONU S CC                                    </t>
  </si>
  <si>
    <t>15753</t>
  </si>
  <si>
    <t xml:space="preserve">NOVOROZENEC, VÁHA PŘI PORODU &gt; 2499G, BEZ ZÁKLADNÍHO VÝKONU S MCC                                   </t>
  </si>
  <si>
    <t>23013</t>
  </si>
  <si>
    <t xml:space="preserve">OPERAČNÍ VÝKON S DIAGNÓZOU JINÉHO KONTAKTU SE ZDRAVOTNICKÝMI SLUŽBAMI S MCC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</si>
  <si>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</si>
  <si>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</si>
  <si>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</si>
  <si>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</si>
  <si>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</si>
  <si>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</si>
  <si>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</si>
  <si>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</si>
  <si>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</si>
  <si>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</si>
  <si>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</si>
  <si>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</si>
  <si>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</si>
  <si>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</si>
  <si>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</si>
  <si>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</si>
  <si>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</si>
  <si>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603</t>
  </si>
  <si>
    <t>82056</t>
  </si>
  <si>
    <t>MIKROSKOPICKÉ STANOVENÍ MIKROBIÁLNÍHO OBRAZU POŠEV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</si>
  <si>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</si>
  <si>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</si>
  <si>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</si>
  <si>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</si>
  <si>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</si>
  <si>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</si>
  <si>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</si>
  <si>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</si>
  <si>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</si>
  <si>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</si>
  <si>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32</t>
  </si>
  <si>
    <t>94191</t>
  </si>
  <si>
    <t>FOTOGRAFIE GELU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</si>
  <si>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</si>
  <si>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</si>
  <si>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</si>
  <si>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</si>
  <si>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</si>
  <si>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</si>
  <si>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</si>
  <si>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</si>
  <si>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</si>
  <si>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</si>
  <si>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</si>
  <si>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</si>
  <si>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</si>
  <si>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</si>
  <si>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</si>
  <si>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</si>
  <si>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</si>
  <si>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</si>
  <si>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</si>
  <si>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</si>
  <si>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</si>
  <si>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</si>
  <si>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</si>
  <si>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</si>
  <si>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</si>
  <si>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</si>
  <si>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</si>
  <si>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</si>
  <si>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</si>
  <si>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</si>
  <si>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</si>
  <si>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</si>
  <si>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</si>
  <si>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96163</t>
  </si>
  <si>
    <t>KREVNÍ OBRAZ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</si>
  <si>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</si>
  <si>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</si>
  <si>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</si>
  <si>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</si>
  <si>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</si>
  <si>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</si>
  <si>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</si>
  <si>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</si>
  <si>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</si>
  <si>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</si>
  <si>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</si>
  <si>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</si>
  <si>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</si>
  <si>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</si>
  <si>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</si>
  <si>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</si>
  <si>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</si>
  <si>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</si>
  <si>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</si>
  <si>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</si>
  <si>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</si>
  <si>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</si>
  <si>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</si>
  <si>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</si>
  <si>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</si>
  <si>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</si>
  <si>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</si>
  <si>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</si>
  <si>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</si>
  <si>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</si>
  <si>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</si>
  <si>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</si>
  <si>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</si>
  <si>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</si>
  <si>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</si>
  <si>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</si>
  <si>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</si>
  <si>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</si>
  <si>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</si>
  <si>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</si>
  <si>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</si>
  <si>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</si>
  <si>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</si>
  <si>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</si>
  <si>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81221</t>
  </si>
  <si>
    <t>POTNÍ TEST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</si>
  <si>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</si>
  <si>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</si>
  <si>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</si>
  <si>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</si>
  <si>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</si>
  <si>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</si>
  <si>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81341</t>
  </si>
  <si>
    <t>AMONIAK</t>
  </si>
  <si>
    <t>81347</t>
  </si>
  <si>
    <t>ANALÝZA MOČI CHEMICKY A MIKROSKOPICKY</t>
  </si>
  <si>
    <t>81351</t>
  </si>
  <si>
    <t>ANDROSTENDION</t>
  </si>
  <si>
    <t>81377</t>
  </si>
  <si>
    <t>SACHARIDY TENKOVRSTEVNOU CHROMATOGRAFIÍ V MOČI</t>
  </si>
  <si>
    <t>81391</t>
  </si>
  <si>
    <t>DISACHARIDY</t>
  </si>
  <si>
    <t>81427</t>
  </si>
  <si>
    <t>FOSFOR ANORGANICKÝ</t>
  </si>
  <si>
    <t>81481</t>
  </si>
  <si>
    <t>AMYLÁZA PANKREATICKÁ</t>
  </si>
  <si>
    <t>81521</t>
  </si>
  <si>
    <t>LAKTÁT (KYSELINA MLÉČNÁ)</t>
  </si>
  <si>
    <t>81527</t>
  </si>
  <si>
    <t>CHOLESTEROL LDL</t>
  </si>
  <si>
    <t>81561</t>
  </si>
  <si>
    <t>PRŮKAZ OKULTNÍHO KRVÁCENÍ</t>
  </si>
  <si>
    <t>81641</t>
  </si>
  <si>
    <t>ŽELEZO CELKOVÉ</t>
  </si>
  <si>
    <t>81651</t>
  </si>
  <si>
    <t xml:space="preserve">VYŠETŘENÍ DĚDIČNÝCH PORUCH METABOLISMU (DÁLE DPM) 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</si>
  <si>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</si>
  <si>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</si>
  <si>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</si>
  <si>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</si>
  <si>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</si>
  <si>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</si>
  <si>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</si>
  <si>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</si>
  <si>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</si>
  <si>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</si>
  <si>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</si>
  <si>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</si>
  <si>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91141</t>
  </si>
  <si>
    <t>STANOVENÍ CERULOPLASMINU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</si>
  <si>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</si>
  <si>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</si>
  <si>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</si>
  <si>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</si>
  <si>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</si>
  <si>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</si>
  <si>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</si>
  <si>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</si>
  <si>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</si>
  <si>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</si>
  <si>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</si>
  <si>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</si>
  <si>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</si>
  <si>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</si>
  <si>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</si>
  <si>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</si>
  <si>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93181</t>
  </si>
  <si>
    <t>SOMATOTROPIN (STH, HGH)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</si>
  <si>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</si>
  <si>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</si>
  <si>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</si>
  <si>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</si>
  <si>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</si>
  <si>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</si>
  <si>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</si>
  <si>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</si>
  <si>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</si>
  <si>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</si>
  <si>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</si>
  <si>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</si>
  <si>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</si>
  <si>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</si>
  <si>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</si>
  <si>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</si>
  <si>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</si>
  <si>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</si>
  <si>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</si>
  <si>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</si>
  <si>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</si>
  <si>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</si>
  <si>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</si>
  <si>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</si>
  <si>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</si>
  <si>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</si>
  <si>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</si>
  <si>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</si>
  <si>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</si>
  <si>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</si>
  <si>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</si>
  <si>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</si>
  <si>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</si>
  <si>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</si>
  <si>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</si>
  <si>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</si>
  <si>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</si>
  <si>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</si>
  <si>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</si>
  <si>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</si>
  <si>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</si>
  <si>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</si>
  <si>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</si>
  <si>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</si>
  <si>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</si>
  <si>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</si>
  <si>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</si>
  <si>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</si>
  <si>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</si>
  <si>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</si>
  <si>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</si>
  <si>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</si>
  <si>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</si>
  <si>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</si>
  <si>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</si>
  <si>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</si>
  <si>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</si>
  <si>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</si>
  <si>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</si>
  <si>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</si>
  <si>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</si>
  <si>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</si>
  <si>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</si>
  <si>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</si>
  <si>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</si>
  <si>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</si>
  <si>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</si>
  <si>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</si>
  <si>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</si>
  <si>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</si>
  <si>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</si>
  <si>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</si>
  <si>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</si>
  <si>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</si>
  <si>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</si>
  <si>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</si>
  <si>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</si>
  <si>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</si>
  <si>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</si>
  <si>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</si>
  <si>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</si>
  <si>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</si>
  <si>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</si>
  <si>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</si>
  <si>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</si>
  <si>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</si>
  <si>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</si>
  <si>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</si>
  <si>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</si>
  <si>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</si>
  <si>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</si>
  <si>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</si>
  <si>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</si>
  <si>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</si>
  <si>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</si>
  <si>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</si>
  <si>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</si>
  <si>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</si>
  <si>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</si>
  <si>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</si>
  <si>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</si>
  <si>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</si>
  <si>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</si>
  <si>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</si>
  <si>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</si>
  <si>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</si>
  <si>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</si>
  <si>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</si>
  <si>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</si>
  <si>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</si>
  <si>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</si>
  <si>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</si>
  <si>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</si>
  <si>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</si>
  <si>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</si>
  <si>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</si>
  <si>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</si>
  <si>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</si>
  <si>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</si>
  <si>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</si>
  <si>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</si>
  <si>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</si>
  <si>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</si>
  <si>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</si>
  <si>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</si>
  <si>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81733</t>
  </si>
  <si>
    <t>KVANTITATIVNÍ STANOVENÍ KRVE VE STOLICI NA ANALYZÁ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</si>
  <si>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</si>
  <si>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</si>
  <si>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</si>
  <si>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</si>
  <si>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</si>
  <si>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</si>
  <si>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</si>
  <si>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</si>
  <si>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</si>
  <si>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</si>
  <si>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</si>
  <si>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</si>
  <si>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</si>
  <si>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</si>
  <si>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</si>
  <si>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</si>
  <si>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81687</t>
  </si>
  <si>
    <t>DIHYDROTESTOSTERON</t>
  </si>
  <si>
    <t>813</t>
  </si>
  <si>
    <t>91197</t>
  </si>
  <si>
    <t>STANOVENÍ CYTOKINU ELISA</t>
  </si>
  <si>
    <t>34</t>
  </si>
  <si>
    <t>809</t>
  </si>
  <si>
    <t>0017039</t>
  </si>
  <si>
    <t>VISIPAQUE 320 MG I/ML</t>
  </si>
  <si>
    <t>0022075</t>
  </si>
  <si>
    <t>IOMERON 400</t>
  </si>
  <si>
    <t>0042433</t>
  </si>
  <si>
    <t>0045119</t>
  </si>
  <si>
    <t>VISIPAQUE 270 MG I/ML</t>
  </si>
  <si>
    <t>0045123</t>
  </si>
  <si>
    <t>0045124</t>
  </si>
  <si>
    <t>0077018</t>
  </si>
  <si>
    <t>ULTRAVIST 370</t>
  </si>
  <si>
    <t>0077019</t>
  </si>
  <si>
    <t>0077024</t>
  </si>
  <si>
    <t>ULTRAVIST 300</t>
  </si>
  <si>
    <t>0093626</t>
  </si>
  <si>
    <t>0151208</t>
  </si>
  <si>
    <t>0038482</t>
  </si>
  <si>
    <t>DRÁT VODÍCÍ GUIDE WIRE M</t>
  </si>
  <si>
    <t>0052140</t>
  </si>
  <si>
    <t>KATETR BALÓNKOVÝ PTA - WANDA; SMASH</t>
  </si>
  <si>
    <t>0053563</t>
  </si>
  <si>
    <t>KATETR DIAGNOSTICKÝ TEMPO4F,5F</t>
  </si>
  <si>
    <t>0059345</t>
  </si>
  <si>
    <t>INDEFLÁTOR 622510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</si>
  <si>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</si>
  <si>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</si>
  <si>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</si>
  <si>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</si>
  <si>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</si>
  <si>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</si>
  <si>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</si>
  <si>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</si>
  <si>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</si>
  <si>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</si>
  <si>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</si>
  <si>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</si>
  <si>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</si>
  <si>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</si>
  <si>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</si>
  <si>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</si>
  <si>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</si>
  <si>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</si>
  <si>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</si>
  <si>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</si>
  <si>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</si>
  <si>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</si>
  <si>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</si>
  <si>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</si>
  <si>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</si>
  <si>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</si>
  <si>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</si>
  <si>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</si>
  <si>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</si>
  <si>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</si>
  <si>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</si>
  <si>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</si>
  <si>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</si>
  <si>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</si>
  <si>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</si>
  <si>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</si>
  <si>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</si>
  <si>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</si>
  <si>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</si>
  <si>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</si>
  <si>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</si>
  <si>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</si>
  <si>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</si>
  <si>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</si>
  <si>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</si>
  <si>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</si>
  <si>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</si>
  <si>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</si>
  <si>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</si>
  <si>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</si>
  <si>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</si>
  <si>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</si>
  <si>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</si>
  <si>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</si>
  <si>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</si>
  <si>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</si>
  <si>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</si>
  <si>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</si>
  <si>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</si>
  <si>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22319</t>
  </si>
  <si>
    <t>ELUCE ANTIERYTROCYTÁRNÍCH PROTILÁTEK METODOU MRAZO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</si>
  <si>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</si>
  <si>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</si>
  <si>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</si>
  <si>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</si>
  <si>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</si>
  <si>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</si>
  <si>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</si>
  <si>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</si>
  <si>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</si>
  <si>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</si>
  <si>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</si>
  <si>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</si>
  <si>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</si>
  <si>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</si>
  <si>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</si>
  <si>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</si>
  <si>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</si>
  <si>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</si>
  <si>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</si>
  <si>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</si>
  <si>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</si>
  <si>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</si>
  <si>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</si>
  <si>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</si>
  <si>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</si>
  <si>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</si>
  <si>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</si>
  <si>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</si>
  <si>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</si>
  <si>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</si>
  <si>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</si>
  <si>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</si>
  <si>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</si>
  <si>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</si>
  <si>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</si>
  <si>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</si>
  <si>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</si>
  <si>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</si>
  <si>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</si>
  <si>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</si>
  <si>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</si>
  <si>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</si>
  <si>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</si>
  <si>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</si>
  <si>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</si>
  <si>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</si>
  <si>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</si>
  <si>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</si>
  <si>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</si>
  <si>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</si>
  <si>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</si>
  <si>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</si>
  <si>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</si>
  <si>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</si>
  <si>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</si>
  <si>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</si>
  <si>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</si>
  <si>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</si>
  <si>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</si>
  <si>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</si>
  <si>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</si>
  <si>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</si>
  <si>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</si>
  <si>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</si>
  <si>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</si>
  <si>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</si>
  <si>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</si>
  <si>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</si>
  <si>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</si>
  <si>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</si>
  <si>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</si>
  <si>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</si>
  <si>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</si>
  <si>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</si>
  <si>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</si>
  <si>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</si>
  <si>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</si>
  <si>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</si>
  <si>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</si>
  <si>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</si>
  <si>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</si>
  <si>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</si>
  <si>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</si>
  <si>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</si>
  <si>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</si>
  <si>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</si>
  <si>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</si>
  <si>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</si>
  <si>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</si>
  <si>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</si>
  <si>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</si>
  <si>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</si>
  <si>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</si>
  <si>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</si>
  <si>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82059</t>
  </si>
  <si>
    <t>IDENTIFIKACE KMENE PODROBNÁ</t>
  </si>
  <si>
    <t>82015</t>
  </si>
  <si>
    <t>KVANTITATIVNÍ KULTIVAČNÍ VYŠETŘENÍ MOČI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</si>
  <si>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</si>
  <si>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</si>
  <si>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</si>
  <si>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</si>
  <si>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</si>
  <si>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</si>
  <si>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82149</t>
  </si>
  <si>
    <t>SEROTYPIZACE STŘEVNÍCH A JINÝCH PATOGENŮ</t>
  </si>
  <si>
    <t>41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</si>
  <si>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</si>
  <si>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</si>
  <si>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</si>
  <si>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</si>
  <si>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</si>
  <si>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</si>
  <si>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</si>
  <si>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</si>
  <si>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</si>
  <si>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</si>
  <si>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91317</t>
  </si>
  <si>
    <t>PRŮKAZ ANTINUKLEÁRNÍCH PROTILÁTEK - JINÉ SUBSTRÁTY</t>
  </si>
  <si>
    <t>91567</t>
  </si>
  <si>
    <t>IMUNOANALYTICKÉ STANOVENÍ AUTOPROTILÁTEK</t>
  </si>
  <si>
    <t>91439</t>
  </si>
  <si>
    <t>IMUNOFENOTYPIZACE BUNĚČNÝCH SUBPOPULACÍ DLE POVRCH</t>
  </si>
  <si>
    <t>91355</t>
  </si>
  <si>
    <t>STANOVENÍ CIK METODOU PEG-IKEM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</si>
  <si>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</si>
  <si>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</si>
  <si>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</si>
  <si>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</si>
  <si>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</si>
  <si>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</si>
  <si>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</si>
  <si>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</si>
  <si>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</si>
  <si>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</si>
  <si>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</si>
  <si>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</si>
  <si>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91253</t>
  </si>
  <si>
    <t>STANOVENÍ ANTI ds-DNA Ab ELISA</t>
  </si>
  <si>
    <t>91159</t>
  </si>
  <si>
    <t>STANOVENÍ C3 SLOŽKY KOMPLEMENTU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</si>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</sst>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1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8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8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4" fillId="0" borderId="45" xfId="26" applyNumberFormat="1" applyFont="1" applyFill="1" applyBorder="1" applyAlignment="1">
      <alignment horizontal="right" vertical="top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0" fontId="35" fillId="0" borderId="45" xfId="0" applyFont="1" applyFill="1" applyBorder="1" applyAlignment="1">
      <alignment horizontal="right" vertical="top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2" xfId="0" applyNumberFormat="1" applyFont="1" applyFill="1" applyBorder="1" applyAlignment="1">
      <alignment horizontal="right" vertical="top"/>
    </xf>
    <xf numFmtId="3" fontId="36" fillId="10" borderId="113" xfId="0" applyNumberFormat="1" applyFont="1" applyFill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6" fillId="0" borderId="112" xfId="0" applyNumberFormat="1" applyFont="1" applyBorder="1" applyAlignment="1">
      <alignment horizontal="right" vertical="top"/>
    </xf>
    <xf numFmtId="176" fontId="36" fillId="10" borderId="115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3" fontId="38" fillId="10" borderId="118" xfId="0" applyNumberFormat="1" applyFont="1" applyFill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3" fontId="38" fillId="0" borderId="117" xfId="0" applyNumberFormat="1" applyFont="1" applyBorder="1" applyAlignment="1">
      <alignment horizontal="right" vertical="top"/>
    </xf>
    <xf numFmtId="0" fontId="38" fillId="10" borderId="120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0" fontId="36" fillId="10" borderId="115" xfId="0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176" fontId="38" fillId="10" borderId="120" xfId="0" applyNumberFormat="1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0" borderId="123" xfId="0" applyFont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0" fontId="40" fillId="11" borderId="111" xfId="0" applyFont="1" applyFill="1" applyBorder="1" applyAlignment="1">
      <alignment vertical="top"/>
    </xf>
    <xf numFmtId="0" fontId="40" fillId="11" borderId="111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 indent="6"/>
    </xf>
    <xf numFmtId="0" fontId="40" fillId="11" borderId="111" xfId="0" applyFont="1" applyFill="1" applyBorder="1" applyAlignment="1">
      <alignment vertical="top" indent="8"/>
    </xf>
    <xf numFmtId="0" fontId="41" fillId="11" borderId="116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6"/>
    </xf>
    <xf numFmtId="0" fontId="41" fillId="11" borderId="116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/>
    </xf>
    <xf numFmtId="0" fontId="35" fillId="11" borderId="111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5" xfId="53" applyNumberFormat="1" applyFont="1" applyFill="1" applyBorder="1" applyAlignment="1">
      <alignment horizontal="left"/>
    </xf>
    <xf numFmtId="164" fontId="34" fillId="2" borderId="126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5" xfId="0" applyFont="1" applyFill="1" applyBorder="1"/>
    <xf numFmtId="3" fontId="42" fillId="2" borderId="127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77" xfId="0" applyNumberFormat="1" applyFont="1" applyFill="1" applyBorder="1"/>
    <xf numFmtId="9" fontId="35" fillId="0" borderId="87" xfId="0" applyNumberFormat="1" applyFont="1" applyFill="1" applyBorder="1"/>
    <xf numFmtId="9" fontId="35" fillId="0" borderId="80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8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26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5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8" xfId="0" applyNumberFormat="1" applyFont="1" applyFill="1" applyBorder="1"/>
    <xf numFmtId="9" fontId="35" fillId="0" borderId="81" xfId="0" applyNumberFormat="1" applyFont="1" applyFill="1" applyBorder="1"/>
    <xf numFmtId="0" fontId="42" fillId="0" borderId="108" xfId="0" applyFont="1" applyFill="1" applyBorder="1"/>
    <xf numFmtId="0" fontId="42" fillId="0" borderId="106" xfId="0" applyFont="1" applyFill="1" applyBorder="1" applyAlignment="1">
      <alignment horizontal="left" indent="1"/>
    </xf>
    <xf numFmtId="0" fontId="42" fillId="0" borderId="107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8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8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1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9" xfId="0" applyNumberFormat="1" applyFont="1" applyBorder="1" applyAlignment="1">
      <alignment horizontal="right"/>
    </xf>
    <xf numFmtId="166" fontId="12" fillId="0" borderId="129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3" fontId="5" fillId="0" borderId="129" xfId="0" applyNumberFormat="1" applyFont="1" applyBorder="1" applyAlignment="1">
      <alignment horizontal="right"/>
    </xf>
    <xf numFmtId="166" fontId="5" fillId="0" borderId="129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177" fontId="5" fillId="0" borderId="129" xfId="0" applyNumberFormat="1" applyFont="1" applyBorder="1" applyAlignment="1">
      <alignment horizontal="right"/>
    </xf>
    <xf numFmtId="4" fontId="5" fillId="0" borderId="129" xfId="0" applyNumberFormat="1" applyFont="1" applyBorder="1" applyAlignment="1">
      <alignment horizontal="right"/>
    </xf>
    <xf numFmtId="3" fontId="5" fillId="0" borderId="129" xfId="0" applyNumberFormat="1" applyFont="1" applyBorder="1"/>
    <xf numFmtId="3" fontId="11" fillId="0" borderId="90" xfId="0" applyNumberFormat="1" applyFont="1" applyBorder="1" applyAlignment="1">
      <alignment horizontal="center"/>
    </xf>
    <xf numFmtId="166" fontId="11" fillId="0" borderId="91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3" fontId="12" fillId="0" borderId="129" xfId="0" applyNumberFormat="1" applyFont="1" applyBorder="1"/>
    <xf numFmtId="166" fontId="12" fillId="0" borderId="129" xfId="0" applyNumberFormat="1" applyFont="1" applyBorder="1"/>
    <xf numFmtId="166" fontId="12" fillId="0" borderId="91" xfId="0" applyNumberFormat="1" applyFont="1" applyBorder="1"/>
    <xf numFmtId="3" fontId="35" fillId="0" borderId="129" xfId="0" applyNumberFormat="1" applyFont="1" applyBorder="1"/>
    <xf numFmtId="166" fontId="35" fillId="0" borderId="129" xfId="0" applyNumberFormat="1" applyFont="1" applyBorder="1"/>
    <xf numFmtId="166" fontId="35" fillId="0" borderId="91" xfId="0" applyNumberFormat="1" applyFont="1" applyBorder="1"/>
    <xf numFmtId="0" fontId="5" fillId="0" borderId="129" xfId="0" applyFont="1" applyBorder="1"/>
    <xf numFmtId="9" fontId="35" fillId="0" borderId="129" xfId="0" applyNumberFormat="1" applyFont="1" applyBorder="1"/>
    <xf numFmtId="3" fontId="35" fillId="0" borderId="129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2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12" fillId="0" borderId="105" xfId="0" applyNumberFormat="1" applyFont="1" applyBorder="1"/>
    <xf numFmtId="166" fontId="12" fillId="0" borderId="105" xfId="0" applyNumberFormat="1" applyFont="1" applyBorder="1"/>
    <xf numFmtId="166" fontId="12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3" fontId="3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87" xfId="0" applyNumberFormat="1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1.1142415197625994</c:v>
                </c:pt>
                <c:pt idx="1">
                  <c:v>1.1971396465184583</c:v>
                </c:pt>
                <c:pt idx="2">
                  <c:v>1.131464010287512</c:v>
                </c:pt>
                <c:pt idx="3">
                  <c:v>1.0871502706334091</c:v>
                </c:pt>
                <c:pt idx="4">
                  <c:v>1.1108344456611792</c:v>
                </c:pt>
                <c:pt idx="5">
                  <c:v>1.2066568756800216</c:v>
                </c:pt>
                <c:pt idx="6">
                  <c:v>1.1607672194076917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74240"/>
        <c:axId val="18017780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1.0591813580535299</c:v>
                </c:pt>
                <c:pt idx="1">
                  <c:v>1.0591813580535299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80768"/>
        <c:axId val="1801765536"/>
      </c:scatterChart>
      <c:catAx>
        <c:axId val="180177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7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78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01774240"/>
        <c:crosses val="autoZero"/>
        <c:crossBetween val="between"/>
      </c:valAx>
      <c:valAx>
        <c:axId val="18017807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65536"/>
        <c:crosses val="max"/>
        <c:crossBetween val="midCat"/>
      </c:valAx>
      <c:valAx>
        <c:axId val="1801765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017807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1.0049091272833599</c:v>
                </c:pt>
                <c:pt idx="1">
                  <c:v>0.95923087256606965</c:v>
                </c:pt>
                <c:pt idx="2">
                  <c:v>0.96367698561838899</c:v>
                </c:pt>
                <c:pt idx="3">
                  <c:v>0.95420126301017416</c:v>
                </c:pt>
                <c:pt idx="4">
                  <c:v>0.93619821407206794</c:v>
                </c:pt>
                <c:pt idx="5">
                  <c:v>0.93504419044461695</c:v>
                </c:pt>
                <c:pt idx="6">
                  <c:v>0.92905496399777332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773152"/>
        <c:axId val="18017698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777504"/>
        <c:axId val="1801766624"/>
      </c:scatterChart>
      <c:catAx>
        <c:axId val="180177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176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7698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801773152"/>
        <c:crosses val="autoZero"/>
        <c:crossBetween val="between"/>
      </c:valAx>
      <c:valAx>
        <c:axId val="1801777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801766624"/>
        <c:crosses val="max"/>
        <c:crossBetween val="midCat"/>
      </c:valAx>
      <c:valAx>
        <c:axId val="18017666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80177750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1" t="s">
        <v>119</v>
      </c>
      <c r="B1" s="451"/>
    </row>
    <row r="2" spans="1:3" ht="14.4" customHeight="1" thickBot="1" x14ac:dyDescent="0.35">
      <c r="A2" s="360" t="s">
        <v>306</v>
      </c>
      <c r="B2" s="50"/>
    </row>
    <row r="3" spans="1:3" ht="14.4" customHeight="1" thickBot="1" x14ac:dyDescent="0.35">
      <c r="A3" s="447" t="s">
        <v>163</v>
      </c>
      <c r="B3" s="448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308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49" t="s">
        <v>120</v>
      </c>
      <c r="B10" s="448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39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1277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39" t="s">
        <v>268</v>
      </c>
      <c r="C15" s="51" t="s">
        <v>278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1777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0" t="s">
        <v>121</v>
      </c>
      <c r="B20" s="448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1959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2033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2583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8" customWidth="1"/>
    <col min="7" max="7" width="10" style="318" customWidth="1"/>
    <col min="8" max="8" width="6.77734375" style="321" bestFit="1" customWidth="1"/>
    <col min="9" max="9" width="6.6640625" style="318" customWidth="1"/>
    <col min="10" max="10" width="10" style="318" customWidth="1"/>
    <col min="11" max="11" width="6.77734375" style="321" bestFit="1" customWidth="1"/>
    <col min="12" max="12" width="6.6640625" style="318" customWidth="1"/>
    <col min="13" max="13" width="10" style="318" customWidth="1"/>
    <col min="14" max="16384" width="8.88671875" style="238"/>
  </cols>
  <sheetData>
    <row r="1" spans="1:13" ht="18.600000000000001" customHeight="1" thickBot="1" x14ac:dyDescent="0.4">
      <c r="A1" s="489" t="s">
        <v>1277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51"/>
      <c r="M1" s="451"/>
    </row>
    <row r="2" spans="1:13" ht="14.4" customHeight="1" thickBot="1" x14ac:dyDescent="0.35">
      <c r="A2" s="360" t="s">
        <v>306</v>
      </c>
      <c r="B2" s="317"/>
      <c r="C2" s="317"/>
      <c r="D2" s="317"/>
      <c r="E2" s="317"/>
      <c r="F2" s="325"/>
      <c r="G2" s="325"/>
      <c r="H2" s="326"/>
      <c r="I2" s="325"/>
      <c r="J2" s="325"/>
      <c r="K2" s="326"/>
      <c r="L2" s="325"/>
    </row>
    <row r="3" spans="1:13" ht="14.4" customHeight="1" thickBot="1" x14ac:dyDescent="0.35">
      <c r="E3" s="95" t="s">
        <v>142</v>
      </c>
      <c r="F3" s="47">
        <f>SUBTOTAL(9,F6:F1048576)</f>
        <v>78</v>
      </c>
      <c r="G3" s="47">
        <f>SUBTOTAL(9,G6:G1048576)</f>
        <v>8040.3758519763469</v>
      </c>
      <c r="H3" s="48">
        <f>IF(M3=0,0,G3/M3)</f>
        <v>0.1116936672936485</v>
      </c>
      <c r="I3" s="47">
        <f>SUBTOTAL(9,I6:I1048576)</f>
        <v>438.4</v>
      </c>
      <c r="J3" s="47">
        <f>SUBTOTAL(9,J6:J1048576)</f>
        <v>63945.584021986579</v>
      </c>
      <c r="K3" s="48">
        <f>IF(M3=0,0,J3/M3)</f>
        <v>0.8883063327063514</v>
      </c>
      <c r="L3" s="47">
        <f>SUBTOTAL(9,L6:L1048576)</f>
        <v>516.4</v>
      </c>
      <c r="M3" s="49">
        <f>SUBTOTAL(9,M6:M1048576)</f>
        <v>71985.959873962929</v>
      </c>
    </row>
    <row r="4" spans="1:13" ht="14.4" customHeight="1" thickBot="1" x14ac:dyDescent="0.35">
      <c r="A4" s="45"/>
      <c r="B4" s="45"/>
      <c r="C4" s="45"/>
      <c r="D4" s="45"/>
      <c r="E4" s="46"/>
      <c r="F4" s="493" t="s">
        <v>144</v>
      </c>
      <c r="G4" s="494"/>
      <c r="H4" s="495"/>
      <c r="I4" s="496" t="s">
        <v>143</v>
      </c>
      <c r="J4" s="494"/>
      <c r="K4" s="495"/>
      <c r="L4" s="497" t="s">
        <v>3</v>
      </c>
      <c r="M4" s="498"/>
    </row>
    <row r="5" spans="1:13" ht="14.4" customHeight="1" thickBot="1" x14ac:dyDescent="0.35">
      <c r="A5" s="622" t="s">
        <v>145</v>
      </c>
      <c r="B5" s="640" t="s">
        <v>146</v>
      </c>
      <c r="C5" s="640" t="s">
        <v>77</v>
      </c>
      <c r="D5" s="640" t="s">
        <v>147</v>
      </c>
      <c r="E5" s="640" t="s">
        <v>148</v>
      </c>
      <c r="F5" s="641" t="s">
        <v>15</v>
      </c>
      <c r="G5" s="641" t="s">
        <v>14</v>
      </c>
      <c r="H5" s="624" t="s">
        <v>149</v>
      </c>
      <c r="I5" s="623" t="s">
        <v>15</v>
      </c>
      <c r="J5" s="641" t="s">
        <v>14</v>
      </c>
      <c r="K5" s="624" t="s">
        <v>149</v>
      </c>
      <c r="L5" s="623" t="s">
        <v>15</v>
      </c>
      <c r="M5" s="642" t="s">
        <v>14</v>
      </c>
    </row>
    <row r="6" spans="1:13" ht="14.4" customHeight="1" x14ac:dyDescent="0.3">
      <c r="A6" s="604" t="s">
        <v>544</v>
      </c>
      <c r="B6" s="605" t="s">
        <v>1226</v>
      </c>
      <c r="C6" s="605" t="s">
        <v>729</v>
      </c>
      <c r="D6" s="605" t="s">
        <v>1227</v>
      </c>
      <c r="E6" s="605" t="s">
        <v>1228</v>
      </c>
      <c r="F6" s="608"/>
      <c r="G6" s="608"/>
      <c r="H6" s="626">
        <v>0</v>
      </c>
      <c r="I6" s="608">
        <v>13</v>
      </c>
      <c r="J6" s="608">
        <v>1763.1899999999998</v>
      </c>
      <c r="K6" s="626">
        <v>1</v>
      </c>
      <c r="L6" s="608">
        <v>13</v>
      </c>
      <c r="M6" s="609">
        <v>1763.1899999999998</v>
      </c>
    </row>
    <row r="7" spans="1:13" ht="14.4" customHeight="1" x14ac:dyDescent="0.3">
      <c r="A7" s="610" t="s">
        <v>544</v>
      </c>
      <c r="B7" s="611" t="s">
        <v>1229</v>
      </c>
      <c r="C7" s="611" t="s">
        <v>733</v>
      </c>
      <c r="D7" s="611" t="s">
        <v>1230</v>
      </c>
      <c r="E7" s="611" t="s">
        <v>1231</v>
      </c>
      <c r="F7" s="614"/>
      <c r="G7" s="614"/>
      <c r="H7" s="627">
        <v>0</v>
      </c>
      <c r="I7" s="614">
        <v>6</v>
      </c>
      <c r="J7" s="614">
        <v>359.02930416659018</v>
      </c>
      <c r="K7" s="627">
        <v>1</v>
      </c>
      <c r="L7" s="614">
        <v>6</v>
      </c>
      <c r="M7" s="615">
        <v>359.02930416659018</v>
      </c>
    </row>
    <row r="8" spans="1:13" ht="14.4" customHeight="1" x14ac:dyDescent="0.3">
      <c r="A8" s="610" t="s">
        <v>549</v>
      </c>
      <c r="B8" s="611" t="s">
        <v>1226</v>
      </c>
      <c r="C8" s="611" t="s">
        <v>729</v>
      </c>
      <c r="D8" s="611" t="s">
        <v>1227</v>
      </c>
      <c r="E8" s="611" t="s">
        <v>1228</v>
      </c>
      <c r="F8" s="614"/>
      <c r="G8" s="614"/>
      <c r="H8" s="627">
        <v>0</v>
      </c>
      <c r="I8" s="614">
        <v>15</v>
      </c>
      <c r="J8" s="614">
        <v>2034.45</v>
      </c>
      <c r="K8" s="627">
        <v>1</v>
      </c>
      <c r="L8" s="614">
        <v>15</v>
      </c>
      <c r="M8" s="615">
        <v>2034.45</v>
      </c>
    </row>
    <row r="9" spans="1:13" ht="14.4" customHeight="1" x14ac:dyDescent="0.3">
      <c r="A9" s="610" t="s">
        <v>549</v>
      </c>
      <c r="B9" s="611" t="s">
        <v>1232</v>
      </c>
      <c r="C9" s="611" t="s">
        <v>833</v>
      </c>
      <c r="D9" s="611" t="s">
        <v>834</v>
      </c>
      <c r="E9" s="611" t="s">
        <v>1233</v>
      </c>
      <c r="F9" s="614"/>
      <c r="G9" s="614"/>
      <c r="H9" s="627">
        <v>0</v>
      </c>
      <c r="I9" s="614">
        <v>1.2</v>
      </c>
      <c r="J9" s="614">
        <v>101.12400000000001</v>
      </c>
      <c r="K9" s="627">
        <v>1</v>
      </c>
      <c r="L9" s="614">
        <v>1.2</v>
      </c>
      <c r="M9" s="615">
        <v>101.12400000000001</v>
      </c>
    </row>
    <row r="10" spans="1:13" ht="14.4" customHeight="1" x14ac:dyDescent="0.3">
      <c r="A10" s="610" t="s">
        <v>549</v>
      </c>
      <c r="B10" s="611" t="s">
        <v>1232</v>
      </c>
      <c r="C10" s="611" t="s">
        <v>830</v>
      </c>
      <c r="D10" s="611" t="s">
        <v>1234</v>
      </c>
      <c r="E10" s="611" t="s">
        <v>1235</v>
      </c>
      <c r="F10" s="614"/>
      <c r="G10" s="614"/>
      <c r="H10" s="627">
        <v>0</v>
      </c>
      <c r="I10" s="614">
        <v>1</v>
      </c>
      <c r="J10" s="614">
        <v>49.629868755295426</v>
      </c>
      <c r="K10" s="627">
        <v>1</v>
      </c>
      <c r="L10" s="614">
        <v>1</v>
      </c>
      <c r="M10" s="615">
        <v>49.629868755295426</v>
      </c>
    </row>
    <row r="11" spans="1:13" ht="14.4" customHeight="1" x14ac:dyDescent="0.3">
      <c r="A11" s="610" t="s">
        <v>549</v>
      </c>
      <c r="B11" s="611" t="s">
        <v>1236</v>
      </c>
      <c r="C11" s="611" t="s">
        <v>840</v>
      </c>
      <c r="D11" s="611" t="s">
        <v>841</v>
      </c>
      <c r="E11" s="611" t="s">
        <v>842</v>
      </c>
      <c r="F11" s="614"/>
      <c r="G11" s="614"/>
      <c r="H11" s="627">
        <v>0</v>
      </c>
      <c r="I11" s="614">
        <v>10</v>
      </c>
      <c r="J11" s="614">
        <v>299.40222728498503</v>
      </c>
      <c r="K11" s="627">
        <v>1</v>
      </c>
      <c r="L11" s="614">
        <v>10</v>
      </c>
      <c r="M11" s="615">
        <v>299.40222728498503</v>
      </c>
    </row>
    <row r="12" spans="1:13" ht="14.4" customHeight="1" x14ac:dyDescent="0.3">
      <c r="A12" s="610" t="s">
        <v>549</v>
      </c>
      <c r="B12" s="611" t="s">
        <v>1237</v>
      </c>
      <c r="C12" s="611" t="s">
        <v>837</v>
      </c>
      <c r="D12" s="611" t="s">
        <v>838</v>
      </c>
      <c r="E12" s="611" t="s">
        <v>1238</v>
      </c>
      <c r="F12" s="614"/>
      <c r="G12" s="614"/>
      <c r="H12" s="627">
        <v>0</v>
      </c>
      <c r="I12" s="614">
        <v>1</v>
      </c>
      <c r="J12" s="614">
        <v>772.08</v>
      </c>
      <c r="K12" s="627">
        <v>1</v>
      </c>
      <c r="L12" s="614">
        <v>1</v>
      </c>
      <c r="M12" s="615">
        <v>772.08</v>
      </c>
    </row>
    <row r="13" spans="1:13" ht="14.4" customHeight="1" x14ac:dyDescent="0.3">
      <c r="A13" s="610" t="s">
        <v>549</v>
      </c>
      <c r="B13" s="611" t="s">
        <v>1239</v>
      </c>
      <c r="C13" s="611" t="s">
        <v>843</v>
      </c>
      <c r="D13" s="611" t="s">
        <v>844</v>
      </c>
      <c r="E13" s="611" t="s">
        <v>845</v>
      </c>
      <c r="F13" s="614"/>
      <c r="G13" s="614"/>
      <c r="H13" s="627">
        <v>0</v>
      </c>
      <c r="I13" s="614">
        <v>17</v>
      </c>
      <c r="J13" s="614">
        <v>2419.61</v>
      </c>
      <c r="K13" s="627">
        <v>1</v>
      </c>
      <c r="L13" s="614">
        <v>17</v>
      </c>
      <c r="M13" s="615">
        <v>2419.61</v>
      </c>
    </row>
    <row r="14" spans="1:13" ht="14.4" customHeight="1" x14ac:dyDescent="0.3">
      <c r="A14" s="610" t="s">
        <v>549</v>
      </c>
      <c r="B14" s="611" t="s">
        <v>1229</v>
      </c>
      <c r="C14" s="611" t="s">
        <v>733</v>
      </c>
      <c r="D14" s="611" t="s">
        <v>1230</v>
      </c>
      <c r="E14" s="611" t="s">
        <v>1231</v>
      </c>
      <c r="F14" s="614"/>
      <c r="G14" s="614"/>
      <c r="H14" s="627">
        <v>0</v>
      </c>
      <c r="I14" s="614">
        <v>4</v>
      </c>
      <c r="J14" s="614">
        <v>239.35697559460269</v>
      </c>
      <c r="K14" s="627">
        <v>1</v>
      </c>
      <c r="L14" s="614">
        <v>4</v>
      </c>
      <c r="M14" s="615">
        <v>239.35697559460269</v>
      </c>
    </row>
    <row r="15" spans="1:13" ht="14.4" customHeight="1" x14ac:dyDescent="0.3">
      <c r="A15" s="610" t="s">
        <v>549</v>
      </c>
      <c r="B15" s="611" t="s">
        <v>1240</v>
      </c>
      <c r="C15" s="611" t="s">
        <v>846</v>
      </c>
      <c r="D15" s="611" t="s">
        <v>847</v>
      </c>
      <c r="E15" s="611" t="s">
        <v>845</v>
      </c>
      <c r="F15" s="614"/>
      <c r="G15" s="614"/>
      <c r="H15" s="627">
        <v>0</v>
      </c>
      <c r="I15" s="614">
        <v>7</v>
      </c>
      <c r="J15" s="614">
        <v>242.62699999999995</v>
      </c>
      <c r="K15" s="627">
        <v>1</v>
      </c>
      <c r="L15" s="614">
        <v>7</v>
      </c>
      <c r="M15" s="615">
        <v>242.62699999999995</v>
      </c>
    </row>
    <row r="16" spans="1:13" ht="14.4" customHeight="1" x14ac:dyDescent="0.3">
      <c r="A16" s="610" t="s">
        <v>549</v>
      </c>
      <c r="B16" s="611" t="s">
        <v>1241</v>
      </c>
      <c r="C16" s="611" t="s">
        <v>818</v>
      </c>
      <c r="D16" s="611" t="s">
        <v>819</v>
      </c>
      <c r="E16" s="611" t="s">
        <v>1242</v>
      </c>
      <c r="F16" s="614"/>
      <c r="G16" s="614"/>
      <c r="H16" s="627">
        <v>0</v>
      </c>
      <c r="I16" s="614">
        <v>2</v>
      </c>
      <c r="J16" s="614">
        <v>352.28000000000003</v>
      </c>
      <c r="K16" s="627">
        <v>1</v>
      </c>
      <c r="L16" s="614">
        <v>2</v>
      </c>
      <c r="M16" s="615">
        <v>352.28000000000003</v>
      </c>
    </row>
    <row r="17" spans="1:13" ht="14.4" customHeight="1" x14ac:dyDescent="0.3">
      <c r="A17" s="610" t="s">
        <v>549</v>
      </c>
      <c r="B17" s="611" t="s">
        <v>1243</v>
      </c>
      <c r="C17" s="611" t="s">
        <v>814</v>
      </c>
      <c r="D17" s="611" t="s">
        <v>815</v>
      </c>
      <c r="E17" s="611" t="s">
        <v>1141</v>
      </c>
      <c r="F17" s="614"/>
      <c r="G17" s="614"/>
      <c r="H17" s="627">
        <v>0</v>
      </c>
      <c r="I17" s="614">
        <v>1</v>
      </c>
      <c r="J17" s="614">
        <v>102.21</v>
      </c>
      <c r="K17" s="627">
        <v>1</v>
      </c>
      <c r="L17" s="614">
        <v>1</v>
      </c>
      <c r="M17" s="615">
        <v>102.21</v>
      </c>
    </row>
    <row r="18" spans="1:13" ht="14.4" customHeight="1" x14ac:dyDescent="0.3">
      <c r="A18" s="610" t="s">
        <v>549</v>
      </c>
      <c r="B18" s="611" t="s">
        <v>1243</v>
      </c>
      <c r="C18" s="611" t="s">
        <v>823</v>
      </c>
      <c r="D18" s="611" t="s">
        <v>1244</v>
      </c>
      <c r="E18" s="611" t="s">
        <v>1245</v>
      </c>
      <c r="F18" s="614">
        <v>2</v>
      </c>
      <c r="G18" s="614">
        <v>377.10024557127514</v>
      </c>
      <c r="H18" s="627">
        <v>1</v>
      </c>
      <c r="I18" s="614"/>
      <c r="J18" s="614"/>
      <c r="K18" s="627">
        <v>0</v>
      </c>
      <c r="L18" s="614">
        <v>2</v>
      </c>
      <c r="M18" s="615">
        <v>377.10024557127514</v>
      </c>
    </row>
    <row r="19" spans="1:13" ht="14.4" customHeight="1" x14ac:dyDescent="0.3">
      <c r="A19" s="610" t="s">
        <v>552</v>
      </c>
      <c r="B19" s="611" t="s">
        <v>1246</v>
      </c>
      <c r="C19" s="611" t="s">
        <v>1081</v>
      </c>
      <c r="D19" s="611" t="s">
        <v>1247</v>
      </c>
      <c r="E19" s="611" t="s">
        <v>1248</v>
      </c>
      <c r="F19" s="614"/>
      <c r="G19" s="614"/>
      <c r="H19" s="627">
        <v>0</v>
      </c>
      <c r="I19" s="614">
        <v>1</v>
      </c>
      <c r="J19" s="614">
        <v>68.28</v>
      </c>
      <c r="K19" s="627">
        <v>1</v>
      </c>
      <c r="L19" s="614">
        <v>1</v>
      </c>
      <c r="M19" s="615">
        <v>68.28</v>
      </c>
    </row>
    <row r="20" spans="1:13" ht="14.4" customHeight="1" x14ac:dyDescent="0.3">
      <c r="A20" s="610" t="s">
        <v>552</v>
      </c>
      <c r="B20" s="611" t="s">
        <v>1249</v>
      </c>
      <c r="C20" s="611" t="s">
        <v>849</v>
      </c>
      <c r="D20" s="611" t="s">
        <v>1250</v>
      </c>
      <c r="E20" s="611" t="s">
        <v>1251</v>
      </c>
      <c r="F20" s="614">
        <v>23</v>
      </c>
      <c r="G20" s="614">
        <v>1668.3370000000004</v>
      </c>
      <c r="H20" s="627">
        <v>1</v>
      </c>
      <c r="I20" s="614"/>
      <c r="J20" s="614"/>
      <c r="K20" s="627">
        <v>0</v>
      </c>
      <c r="L20" s="614">
        <v>23</v>
      </c>
      <c r="M20" s="615">
        <v>1668.3370000000004</v>
      </c>
    </row>
    <row r="21" spans="1:13" ht="14.4" customHeight="1" x14ac:dyDescent="0.3">
      <c r="A21" s="610" t="s">
        <v>552</v>
      </c>
      <c r="B21" s="611" t="s">
        <v>1226</v>
      </c>
      <c r="C21" s="611" t="s">
        <v>729</v>
      </c>
      <c r="D21" s="611" t="s">
        <v>1227</v>
      </c>
      <c r="E21" s="611" t="s">
        <v>1228</v>
      </c>
      <c r="F21" s="614"/>
      <c r="G21" s="614"/>
      <c r="H21" s="627">
        <v>0</v>
      </c>
      <c r="I21" s="614">
        <v>51</v>
      </c>
      <c r="J21" s="614">
        <v>6922.81</v>
      </c>
      <c r="K21" s="627">
        <v>1</v>
      </c>
      <c r="L21" s="614">
        <v>51</v>
      </c>
      <c r="M21" s="615">
        <v>6922.81</v>
      </c>
    </row>
    <row r="22" spans="1:13" ht="14.4" customHeight="1" x14ac:dyDescent="0.3">
      <c r="A22" s="610" t="s">
        <v>552</v>
      </c>
      <c r="B22" s="611" t="s">
        <v>1232</v>
      </c>
      <c r="C22" s="611" t="s">
        <v>833</v>
      </c>
      <c r="D22" s="611" t="s">
        <v>834</v>
      </c>
      <c r="E22" s="611" t="s">
        <v>1233</v>
      </c>
      <c r="F22" s="614"/>
      <c r="G22" s="614"/>
      <c r="H22" s="627">
        <v>0</v>
      </c>
      <c r="I22" s="614">
        <v>19.599999999999998</v>
      </c>
      <c r="J22" s="614">
        <v>1651.7028902809816</v>
      </c>
      <c r="K22" s="627">
        <v>1</v>
      </c>
      <c r="L22" s="614">
        <v>19.599999999999998</v>
      </c>
      <c r="M22" s="615">
        <v>1651.7028902809816</v>
      </c>
    </row>
    <row r="23" spans="1:13" ht="14.4" customHeight="1" x14ac:dyDescent="0.3">
      <c r="A23" s="610" t="s">
        <v>552</v>
      </c>
      <c r="B23" s="611" t="s">
        <v>1252</v>
      </c>
      <c r="C23" s="611" t="s">
        <v>1177</v>
      </c>
      <c r="D23" s="611" t="s">
        <v>1178</v>
      </c>
      <c r="E23" s="611" t="s">
        <v>1179</v>
      </c>
      <c r="F23" s="614"/>
      <c r="G23" s="614"/>
      <c r="H23" s="627">
        <v>0</v>
      </c>
      <c r="I23" s="614">
        <v>1.5</v>
      </c>
      <c r="J23" s="614">
        <v>693</v>
      </c>
      <c r="K23" s="627">
        <v>1</v>
      </c>
      <c r="L23" s="614">
        <v>1.5</v>
      </c>
      <c r="M23" s="615">
        <v>693</v>
      </c>
    </row>
    <row r="24" spans="1:13" ht="14.4" customHeight="1" x14ac:dyDescent="0.3">
      <c r="A24" s="610" t="s">
        <v>552</v>
      </c>
      <c r="B24" s="611" t="s">
        <v>1253</v>
      </c>
      <c r="C24" s="611" t="s">
        <v>1170</v>
      </c>
      <c r="D24" s="611" t="s">
        <v>1254</v>
      </c>
      <c r="E24" s="611" t="s">
        <v>1255</v>
      </c>
      <c r="F24" s="614"/>
      <c r="G24" s="614"/>
      <c r="H24" s="627">
        <v>0</v>
      </c>
      <c r="I24" s="614">
        <v>2</v>
      </c>
      <c r="J24" s="614">
        <v>528</v>
      </c>
      <c r="K24" s="627">
        <v>1</v>
      </c>
      <c r="L24" s="614">
        <v>2</v>
      </c>
      <c r="M24" s="615">
        <v>528</v>
      </c>
    </row>
    <row r="25" spans="1:13" ht="14.4" customHeight="1" x14ac:dyDescent="0.3">
      <c r="A25" s="610" t="s">
        <v>552</v>
      </c>
      <c r="B25" s="611" t="s">
        <v>1256</v>
      </c>
      <c r="C25" s="611" t="s">
        <v>1167</v>
      </c>
      <c r="D25" s="611" t="s">
        <v>1168</v>
      </c>
      <c r="E25" s="611" t="s">
        <v>1169</v>
      </c>
      <c r="F25" s="614"/>
      <c r="G25" s="614"/>
      <c r="H25" s="627">
        <v>0</v>
      </c>
      <c r="I25" s="614">
        <v>1</v>
      </c>
      <c r="J25" s="614">
        <v>1789.3</v>
      </c>
      <c r="K25" s="627">
        <v>1</v>
      </c>
      <c r="L25" s="614">
        <v>1</v>
      </c>
      <c r="M25" s="615">
        <v>1789.3</v>
      </c>
    </row>
    <row r="26" spans="1:13" ht="14.4" customHeight="1" x14ac:dyDescent="0.3">
      <c r="A26" s="610" t="s">
        <v>552</v>
      </c>
      <c r="B26" s="611" t="s">
        <v>1237</v>
      </c>
      <c r="C26" s="611" t="s">
        <v>837</v>
      </c>
      <c r="D26" s="611" t="s">
        <v>838</v>
      </c>
      <c r="E26" s="611" t="s">
        <v>1238</v>
      </c>
      <c r="F26" s="614"/>
      <c r="G26" s="614"/>
      <c r="H26" s="627">
        <v>0</v>
      </c>
      <c r="I26" s="614">
        <v>7</v>
      </c>
      <c r="J26" s="614">
        <v>5404.56</v>
      </c>
      <c r="K26" s="627">
        <v>1</v>
      </c>
      <c r="L26" s="614">
        <v>7</v>
      </c>
      <c r="M26" s="615">
        <v>5404.56</v>
      </c>
    </row>
    <row r="27" spans="1:13" ht="14.4" customHeight="1" x14ac:dyDescent="0.3">
      <c r="A27" s="610" t="s">
        <v>552</v>
      </c>
      <c r="B27" s="611" t="s">
        <v>1239</v>
      </c>
      <c r="C27" s="611" t="s">
        <v>843</v>
      </c>
      <c r="D27" s="611" t="s">
        <v>844</v>
      </c>
      <c r="E27" s="611" t="s">
        <v>845</v>
      </c>
      <c r="F27" s="614"/>
      <c r="G27" s="614"/>
      <c r="H27" s="627">
        <v>0</v>
      </c>
      <c r="I27" s="614">
        <v>50</v>
      </c>
      <c r="J27" s="614">
        <v>8209.7691765897125</v>
      </c>
      <c r="K27" s="627">
        <v>1</v>
      </c>
      <c r="L27" s="614">
        <v>50</v>
      </c>
      <c r="M27" s="615">
        <v>8209.7691765897125</v>
      </c>
    </row>
    <row r="28" spans="1:13" ht="14.4" customHeight="1" x14ac:dyDescent="0.3">
      <c r="A28" s="610" t="s">
        <v>552</v>
      </c>
      <c r="B28" s="611" t="s">
        <v>1229</v>
      </c>
      <c r="C28" s="611" t="s">
        <v>733</v>
      </c>
      <c r="D28" s="611" t="s">
        <v>1230</v>
      </c>
      <c r="E28" s="611" t="s">
        <v>1231</v>
      </c>
      <c r="F28" s="614"/>
      <c r="G28" s="614"/>
      <c r="H28" s="627">
        <v>0</v>
      </c>
      <c r="I28" s="614">
        <v>30</v>
      </c>
      <c r="J28" s="614">
        <v>1799.2206816922283</v>
      </c>
      <c r="K28" s="627">
        <v>1</v>
      </c>
      <c r="L28" s="614">
        <v>30</v>
      </c>
      <c r="M28" s="615">
        <v>1799.2206816922283</v>
      </c>
    </row>
    <row r="29" spans="1:13" ht="14.4" customHeight="1" x14ac:dyDescent="0.3">
      <c r="A29" s="610" t="s">
        <v>552</v>
      </c>
      <c r="B29" s="611" t="s">
        <v>1257</v>
      </c>
      <c r="C29" s="611" t="s">
        <v>1143</v>
      </c>
      <c r="D29" s="611" t="s">
        <v>1258</v>
      </c>
      <c r="E29" s="611" t="s">
        <v>1259</v>
      </c>
      <c r="F29" s="614">
        <v>10</v>
      </c>
      <c r="G29" s="614">
        <v>714.59999999999991</v>
      </c>
      <c r="H29" s="627">
        <v>1</v>
      </c>
      <c r="I29" s="614"/>
      <c r="J29" s="614"/>
      <c r="K29" s="627">
        <v>0</v>
      </c>
      <c r="L29" s="614">
        <v>10</v>
      </c>
      <c r="M29" s="615">
        <v>714.59999999999991</v>
      </c>
    </row>
    <row r="30" spans="1:13" ht="14.4" customHeight="1" x14ac:dyDescent="0.3">
      <c r="A30" s="610" t="s">
        <v>552</v>
      </c>
      <c r="B30" s="611" t="s">
        <v>1240</v>
      </c>
      <c r="C30" s="611" t="s">
        <v>846</v>
      </c>
      <c r="D30" s="611" t="s">
        <v>847</v>
      </c>
      <c r="E30" s="611" t="s">
        <v>845</v>
      </c>
      <c r="F30" s="614"/>
      <c r="G30" s="614"/>
      <c r="H30" s="627">
        <v>0</v>
      </c>
      <c r="I30" s="614">
        <v>16</v>
      </c>
      <c r="J30" s="614">
        <v>554.56614245965488</v>
      </c>
      <c r="K30" s="627">
        <v>1</v>
      </c>
      <c r="L30" s="614">
        <v>16</v>
      </c>
      <c r="M30" s="615">
        <v>554.56614245965488</v>
      </c>
    </row>
    <row r="31" spans="1:13" ht="14.4" customHeight="1" x14ac:dyDescent="0.3">
      <c r="A31" s="610" t="s">
        <v>552</v>
      </c>
      <c r="B31" s="611" t="s">
        <v>1260</v>
      </c>
      <c r="C31" s="611" t="s">
        <v>826</v>
      </c>
      <c r="D31" s="611" t="s">
        <v>1261</v>
      </c>
      <c r="E31" s="611" t="s">
        <v>1262</v>
      </c>
      <c r="F31" s="614"/>
      <c r="G31" s="614"/>
      <c r="H31" s="627">
        <v>0</v>
      </c>
      <c r="I31" s="614">
        <v>20</v>
      </c>
      <c r="J31" s="614">
        <v>8982.007585917996</v>
      </c>
      <c r="K31" s="627">
        <v>1</v>
      </c>
      <c r="L31" s="614">
        <v>20</v>
      </c>
      <c r="M31" s="615">
        <v>8982.007585917996</v>
      </c>
    </row>
    <row r="32" spans="1:13" ht="14.4" customHeight="1" x14ac:dyDescent="0.3">
      <c r="A32" s="610" t="s">
        <v>552</v>
      </c>
      <c r="B32" s="611" t="s">
        <v>1263</v>
      </c>
      <c r="C32" s="611" t="s">
        <v>1174</v>
      </c>
      <c r="D32" s="611" t="s">
        <v>1264</v>
      </c>
      <c r="E32" s="611" t="s">
        <v>1265</v>
      </c>
      <c r="F32" s="614"/>
      <c r="G32" s="614"/>
      <c r="H32" s="627">
        <v>0</v>
      </c>
      <c r="I32" s="614">
        <v>10</v>
      </c>
      <c r="J32" s="614">
        <v>288.89999999999998</v>
      </c>
      <c r="K32" s="627">
        <v>1</v>
      </c>
      <c r="L32" s="614">
        <v>10</v>
      </c>
      <c r="M32" s="615">
        <v>288.89999999999998</v>
      </c>
    </row>
    <row r="33" spans="1:13" ht="14.4" customHeight="1" x14ac:dyDescent="0.3">
      <c r="A33" s="610" t="s">
        <v>552</v>
      </c>
      <c r="B33" s="611" t="s">
        <v>1266</v>
      </c>
      <c r="C33" s="611" t="s">
        <v>1187</v>
      </c>
      <c r="D33" s="611" t="s">
        <v>1188</v>
      </c>
      <c r="E33" s="611" t="s">
        <v>1189</v>
      </c>
      <c r="F33" s="614">
        <v>1</v>
      </c>
      <c r="G33" s="614">
        <v>159.5</v>
      </c>
      <c r="H33" s="627">
        <v>0.32258064516129042</v>
      </c>
      <c r="I33" s="614">
        <v>2.0999999999999996</v>
      </c>
      <c r="J33" s="614">
        <v>334.94999999999987</v>
      </c>
      <c r="K33" s="627">
        <v>0.67741935483870963</v>
      </c>
      <c r="L33" s="614">
        <v>3.0999999999999996</v>
      </c>
      <c r="M33" s="615">
        <v>494.44999999999987</v>
      </c>
    </row>
    <row r="34" spans="1:13" ht="14.4" customHeight="1" x14ac:dyDescent="0.3">
      <c r="A34" s="610" t="s">
        <v>552</v>
      </c>
      <c r="B34" s="611" t="s">
        <v>1266</v>
      </c>
      <c r="C34" s="611" t="s">
        <v>1181</v>
      </c>
      <c r="D34" s="611" t="s">
        <v>1267</v>
      </c>
      <c r="E34" s="611" t="s">
        <v>1268</v>
      </c>
      <c r="F34" s="614">
        <v>25</v>
      </c>
      <c r="G34" s="614">
        <v>754.88405407940718</v>
      </c>
      <c r="H34" s="627">
        <v>1</v>
      </c>
      <c r="I34" s="614"/>
      <c r="J34" s="614"/>
      <c r="K34" s="627">
        <v>0</v>
      </c>
      <c r="L34" s="614">
        <v>25</v>
      </c>
      <c r="M34" s="615">
        <v>754.88405407940718</v>
      </c>
    </row>
    <row r="35" spans="1:13" ht="14.4" customHeight="1" x14ac:dyDescent="0.3">
      <c r="A35" s="610" t="s">
        <v>552</v>
      </c>
      <c r="B35" s="611" t="s">
        <v>1269</v>
      </c>
      <c r="C35" s="611" t="s">
        <v>1093</v>
      </c>
      <c r="D35" s="611" t="s">
        <v>1094</v>
      </c>
      <c r="E35" s="611" t="s">
        <v>1095</v>
      </c>
      <c r="F35" s="614"/>
      <c r="G35" s="614"/>
      <c r="H35" s="627">
        <v>0</v>
      </c>
      <c r="I35" s="614">
        <v>2</v>
      </c>
      <c r="J35" s="614">
        <v>262.71000000000004</v>
      </c>
      <c r="K35" s="627">
        <v>1</v>
      </c>
      <c r="L35" s="614">
        <v>2</v>
      </c>
      <c r="M35" s="615">
        <v>262.71000000000004</v>
      </c>
    </row>
    <row r="36" spans="1:13" ht="14.4" customHeight="1" x14ac:dyDescent="0.3">
      <c r="A36" s="610" t="s">
        <v>552</v>
      </c>
      <c r="B36" s="611" t="s">
        <v>1270</v>
      </c>
      <c r="C36" s="611" t="s">
        <v>1089</v>
      </c>
      <c r="D36" s="611" t="s">
        <v>1271</v>
      </c>
      <c r="E36" s="611" t="s">
        <v>1091</v>
      </c>
      <c r="F36" s="614"/>
      <c r="G36" s="614"/>
      <c r="H36" s="627">
        <v>0</v>
      </c>
      <c r="I36" s="614">
        <v>100</v>
      </c>
      <c r="J36" s="614">
        <v>8388.9924745458629</v>
      </c>
      <c r="K36" s="627">
        <v>1</v>
      </c>
      <c r="L36" s="614">
        <v>100</v>
      </c>
      <c r="M36" s="615">
        <v>8388.9924745458629</v>
      </c>
    </row>
    <row r="37" spans="1:13" ht="14.4" customHeight="1" x14ac:dyDescent="0.3">
      <c r="A37" s="610" t="s">
        <v>552</v>
      </c>
      <c r="B37" s="611" t="s">
        <v>1272</v>
      </c>
      <c r="C37" s="611" t="s">
        <v>1077</v>
      </c>
      <c r="D37" s="611" t="s">
        <v>1078</v>
      </c>
      <c r="E37" s="611" t="s">
        <v>1079</v>
      </c>
      <c r="F37" s="614"/>
      <c r="G37" s="614"/>
      <c r="H37" s="627">
        <v>0</v>
      </c>
      <c r="I37" s="614">
        <v>4</v>
      </c>
      <c r="J37" s="614">
        <v>224.83999608434252</v>
      </c>
      <c r="K37" s="627">
        <v>1</v>
      </c>
      <c r="L37" s="614">
        <v>4</v>
      </c>
      <c r="M37" s="615">
        <v>224.83999608434252</v>
      </c>
    </row>
    <row r="38" spans="1:13" ht="14.4" customHeight="1" x14ac:dyDescent="0.3">
      <c r="A38" s="610" t="s">
        <v>552</v>
      </c>
      <c r="B38" s="611" t="s">
        <v>1273</v>
      </c>
      <c r="C38" s="611" t="s">
        <v>1073</v>
      </c>
      <c r="D38" s="611" t="s">
        <v>1074</v>
      </c>
      <c r="E38" s="611" t="s">
        <v>1075</v>
      </c>
      <c r="F38" s="614"/>
      <c r="G38" s="614"/>
      <c r="H38" s="627">
        <v>0</v>
      </c>
      <c r="I38" s="614">
        <v>29</v>
      </c>
      <c r="J38" s="614">
        <v>4009.2502365964524</v>
      </c>
      <c r="K38" s="627">
        <v>1</v>
      </c>
      <c r="L38" s="614">
        <v>29</v>
      </c>
      <c r="M38" s="615">
        <v>4009.2502365964524</v>
      </c>
    </row>
    <row r="39" spans="1:13" ht="14.4" customHeight="1" x14ac:dyDescent="0.3">
      <c r="A39" s="610" t="s">
        <v>552</v>
      </c>
      <c r="B39" s="611" t="s">
        <v>1273</v>
      </c>
      <c r="C39" s="611" t="s">
        <v>852</v>
      </c>
      <c r="D39" s="611" t="s">
        <v>1274</v>
      </c>
      <c r="E39" s="611" t="s">
        <v>1075</v>
      </c>
      <c r="F39" s="614">
        <v>2</v>
      </c>
      <c r="G39" s="614">
        <v>216.54</v>
      </c>
      <c r="H39" s="627">
        <v>1</v>
      </c>
      <c r="I39" s="614"/>
      <c r="J39" s="614"/>
      <c r="K39" s="627">
        <v>0</v>
      </c>
      <c r="L39" s="614">
        <v>2</v>
      </c>
      <c r="M39" s="615">
        <v>216.54</v>
      </c>
    </row>
    <row r="40" spans="1:13" ht="14.4" customHeight="1" x14ac:dyDescent="0.3">
      <c r="A40" s="610" t="s">
        <v>552</v>
      </c>
      <c r="B40" s="611" t="s">
        <v>1275</v>
      </c>
      <c r="C40" s="611" t="s">
        <v>1085</v>
      </c>
      <c r="D40" s="611" t="s">
        <v>1086</v>
      </c>
      <c r="E40" s="611" t="s">
        <v>1276</v>
      </c>
      <c r="F40" s="614"/>
      <c r="G40" s="614"/>
      <c r="H40" s="627">
        <v>0</v>
      </c>
      <c r="I40" s="614">
        <v>6</v>
      </c>
      <c r="J40" s="614">
        <v>286.67928400311484</v>
      </c>
      <c r="K40" s="627">
        <v>1</v>
      </c>
      <c r="L40" s="614">
        <v>6</v>
      </c>
      <c r="M40" s="615">
        <v>286.67928400311484</v>
      </c>
    </row>
    <row r="41" spans="1:13" ht="14.4" customHeight="1" x14ac:dyDescent="0.3">
      <c r="A41" s="610" t="s">
        <v>552</v>
      </c>
      <c r="B41" s="611" t="s">
        <v>1241</v>
      </c>
      <c r="C41" s="611" t="s">
        <v>818</v>
      </c>
      <c r="D41" s="611" t="s">
        <v>819</v>
      </c>
      <c r="E41" s="611" t="s">
        <v>1242</v>
      </c>
      <c r="F41" s="614"/>
      <c r="G41" s="614"/>
      <c r="H41" s="627">
        <v>0</v>
      </c>
      <c r="I41" s="614">
        <v>4</v>
      </c>
      <c r="J41" s="614">
        <v>704.22</v>
      </c>
      <c r="K41" s="627">
        <v>1</v>
      </c>
      <c r="L41" s="614">
        <v>4</v>
      </c>
      <c r="M41" s="615">
        <v>704.22</v>
      </c>
    </row>
    <row r="42" spans="1:13" ht="14.4" customHeight="1" x14ac:dyDescent="0.3">
      <c r="A42" s="610" t="s">
        <v>552</v>
      </c>
      <c r="B42" s="611" t="s">
        <v>1243</v>
      </c>
      <c r="C42" s="611" t="s">
        <v>823</v>
      </c>
      <c r="D42" s="611" t="s">
        <v>1244</v>
      </c>
      <c r="E42" s="611" t="s">
        <v>1245</v>
      </c>
      <c r="F42" s="614">
        <v>5</v>
      </c>
      <c r="G42" s="614">
        <v>942.75024557127495</v>
      </c>
      <c r="H42" s="627">
        <v>1</v>
      </c>
      <c r="I42" s="614"/>
      <c r="J42" s="614"/>
      <c r="K42" s="627">
        <v>0</v>
      </c>
      <c r="L42" s="614">
        <v>5</v>
      </c>
      <c r="M42" s="615">
        <v>942.75024557127495</v>
      </c>
    </row>
    <row r="43" spans="1:13" ht="14.4" customHeight="1" x14ac:dyDescent="0.3">
      <c r="A43" s="610" t="s">
        <v>552</v>
      </c>
      <c r="B43" s="611" t="s">
        <v>1243</v>
      </c>
      <c r="C43" s="611" t="s">
        <v>1136</v>
      </c>
      <c r="D43" s="611" t="s">
        <v>1137</v>
      </c>
      <c r="E43" s="611" t="s">
        <v>1138</v>
      </c>
      <c r="F43" s="614"/>
      <c r="G43" s="614"/>
      <c r="H43" s="627">
        <v>0</v>
      </c>
      <c r="I43" s="614">
        <v>1</v>
      </c>
      <c r="J43" s="614">
        <v>200.24</v>
      </c>
      <c r="K43" s="627">
        <v>1</v>
      </c>
      <c r="L43" s="614">
        <v>1</v>
      </c>
      <c r="M43" s="615">
        <v>200.24</v>
      </c>
    </row>
    <row r="44" spans="1:13" ht="14.4" customHeight="1" x14ac:dyDescent="0.3">
      <c r="A44" s="610" t="s">
        <v>552</v>
      </c>
      <c r="B44" s="611" t="s">
        <v>1243</v>
      </c>
      <c r="C44" s="611" t="s">
        <v>1101</v>
      </c>
      <c r="D44" s="611" t="s">
        <v>1102</v>
      </c>
      <c r="E44" s="611" t="s">
        <v>1103</v>
      </c>
      <c r="F44" s="614">
        <v>8</v>
      </c>
      <c r="G44" s="614">
        <v>2798.0643067543883</v>
      </c>
      <c r="H44" s="627">
        <v>1</v>
      </c>
      <c r="I44" s="614"/>
      <c r="J44" s="614"/>
      <c r="K44" s="627">
        <v>0</v>
      </c>
      <c r="L44" s="614">
        <v>8</v>
      </c>
      <c r="M44" s="615">
        <v>2798.0643067543883</v>
      </c>
    </row>
    <row r="45" spans="1:13" ht="14.4" customHeight="1" x14ac:dyDescent="0.3">
      <c r="A45" s="610" t="s">
        <v>552</v>
      </c>
      <c r="B45" s="611" t="s">
        <v>1243</v>
      </c>
      <c r="C45" s="611" t="s">
        <v>1097</v>
      </c>
      <c r="D45" s="611" t="s">
        <v>1098</v>
      </c>
      <c r="E45" s="611" t="s">
        <v>1099</v>
      </c>
      <c r="F45" s="614">
        <v>2</v>
      </c>
      <c r="G45" s="614">
        <v>408.6</v>
      </c>
      <c r="H45" s="627">
        <v>1</v>
      </c>
      <c r="I45" s="614"/>
      <c r="J45" s="614"/>
      <c r="K45" s="627">
        <v>0</v>
      </c>
      <c r="L45" s="614">
        <v>2</v>
      </c>
      <c r="M45" s="615">
        <v>408.6</v>
      </c>
    </row>
    <row r="46" spans="1:13" ht="14.4" customHeight="1" thickBot="1" x14ac:dyDescent="0.35">
      <c r="A46" s="616" t="s">
        <v>552</v>
      </c>
      <c r="B46" s="617" t="s">
        <v>1243</v>
      </c>
      <c r="C46" s="617" t="s">
        <v>1139</v>
      </c>
      <c r="D46" s="617" t="s">
        <v>1140</v>
      </c>
      <c r="E46" s="617" t="s">
        <v>1141</v>
      </c>
      <c r="F46" s="620"/>
      <c r="G46" s="620"/>
      <c r="H46" s="628">
        <v>0</v>
      </c>
      <c r="I46" s="620">
        <v>3</v>
      </c>
      <c r="J46" s="620">
        <v>3906.5961780147627</v>
      </c>
      <c r="K46" s="628">
        <v>1</v>
      </c>
      <c r="L46" s="620">
        <v>3</v>
      </c>
      <c r="M46" s="621">
        <v>3906.5961780147627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18" bestFit="1" customWidth="1"/>
    <col min="3" max="3" width="6.109375" style="318" bestFit="1" customWidth="1"/>
    <col min="4" max="4" width="7.44140625" style="318" bestFit="1" customWidth="1"/>
    <col min="5" max="5" width="6.21875" style="318" bestFit="1" customWidth="1"/>
    <col min="6" max="6" width="6.33203125" style="321" bestFit="1" customWidth="1"/>
    <col min="7" max="7" width="6.109375" style="321" bestFit="1" customWidth="1"/>
    <col min="8" max="8" width="7.44140625" style="321" bestFit="1" customWidth="1"/>
    <col min="9" max="9" width="6.21875" style="321" bestFit="1" customWidth="1"/>
    <col min="10" max="10" width="5.44140625" style="318" bestFit="1" customWidth="1"/>
    <col min="11" max="11" width="6.109375" style="318" bestFit="1" customWidth="1"/>
    <col min="12" max="12" width="7.44140625" style="318" bestFit="1" customWidth="1"/>
    <col min="13" max="13" width="6.21875" style="318" bestFit="1" customWidth="1"/>
    <col min="14" max="14" width="5.33203125" style="321" bestFit="1" customWidth="1"/>
    <col min="15" max="15" width="6.109375" style="321" bestFit="1" customWidth="1"/>
    <col min="16" max="16" width="7.44140625" style="321" bestFit="1" customWidth="1"/>
    <col min="17" max="17" width="6.21875" style="321" bestFit="1" customWidth="1"/>
    <col min="18" max="16384" width="8.88671875" style="238"/>
  </cols>
  <sheetData>
    <row r="1" spans="1:17" ht="18.600000000000001" customHeight="1" thickBot="1" x14ac:dyDescent="0.4">
      <c r="A1" s="489" t="s">
        <v>268</v>
      </c>
      <c r="B1" s="489"/>
      <c r="C1" s="489"/>
      <c r="D1" s="489"/>
      <c r="E1" s="489"/>
      <c r="F1" s="452"/>
      <c r="G1" s="452"/>
      <c r="H1" s="452"/>
      <c r="I1" s="45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60" t="s">
        <v>306</v>
      </c>
      <c r="B2" s="325"/>
      <c r="C2" s="325"/>
      <c r="D2" s="325"/>
      <c r="E2" s="325"/>
    </row>
    <row r="3" spans="1:17" ht="14.4" customHeight="1" thickBot="1" x14ac:dyDescent="0.35">
      <c r="A3" s="432" t="s">
        <v>3</v>
      </c>
      <c r="B3" s="436">
        <f>SUM(B6:B1048576)</f>
        <v>1922</v>
      </c>
      <c r="C3" s="437">
        <f>SUM(C6:C1048576)</f>
        <v>250</v>
      </c>
      <c r="D3" s="437">
        <f>SUM(D6:D1048576)</f>
        <v>83</v>
      </c>
      <c r="E3" s="438">
        <f>SUM(E6:E1048576)</f>
        <v>0</v>
      </c>
      <c r="F3" s="435">
        <f>IF(SUM($B3:$E3)=0,"",B3/SUM($B3:$E3))</f>
        <v>0.85232815964523279</v>
      </c>
      <c r="G3" s="433">
        <f t="shared" ref="G3:I3" si="0">IF(SUM($B3:$E3)=0,"",C3/SUM($B3:$E3))</f>
        <v>0.11086474501108648</v>
      </c>
      <c r="H3" s="433">
        <f t="shared" si="0"/>
        <v>3.6807095343680707E-2</v>
      </c>
      <c r="I3" s="434">
        <f t="shared" si="0"/>
        <v>0</v>
      </c>
      <c r="J3" s="437">
        <f>SUM(J6:J1048576)</f>
        <v>290</v>
      </c>
      <c r="K3" s="437">
        <f>SUM(K6:K1048576)</f>
        <v>130</v>
      </c>
      <c r="L3" s="437">
        <f>SUM(L6:L1048576)</f>
        <v>83</v>
      </c>
      <c r="M3" s="438">
        <f>SUM(M6:M1048576)</f>
        <v>0</v>
      </c>
      <c r="N3" s="435">
        <f>IF(SUM($J3:$M3)=0,"",J3/SUM($J3:$M3))</f>
        <v>0.57654075546719685</v>
      </c>
      <c r="O3" s="433">
        <f t="shared" ref="O3:Q3" si="1">IF(SUM($J3:$M3)=0,"",K3/SUM($J3:$M3))</f>
        <v>0.25844930417495032</v>
      </c>
      <c r="P3" s="433">
        <f t="shared" si="1"/>
        <v>0.16500994035785288</v>
      </c>
      <c r="Q3" s="434">
        <f t="shared" si="1"/>
        <v>0</v>
      </c>
    </row>
    <row r="4" spans="1:17" ht="14.4" customHeight="1" thickBot="1" x14ac:dyDescent="0.35">
      <c r="A4" s="431"/>
      <c r="B4" s="502" t="s">
        <v>270</v>
      </c>
      <c r="C4" s="503"/>
      <c r="D4" s="503"/>
      <c r="E4" s="504"/>
      <c r="F4" s="499" t="s">
        <v>275</v>
      </c>
      <c r="G4" s="500"/>
      <c r="H4" s="500"/>
      <c r="I4" s="501"/>
      <c r="J4" s="502" t="s">
        <v>276</v>
      </c>
      <c r="K4" s="503"/>
      <c r="L4" s="503"/>
      <c r="M4" s="504"/>
      <c r="N4" s="499" t="s">
        <v>277</v>
      </c>
      <c r="O4" s="500"/>
      <c r="P4" s="500"/>
      <c r="Q4" s="501"/>
    </row>
    <row r="5" spans="1:17" ht="14.4" customHeight="1" thickBot="1" x14ac:dyDescent="0.35">
      <c r="A5" s="643" t="s">
        <v>269</v>
      </c>
      <c r="B5" s="644" t="s">
        <v>271</v>
      </c>
      <c r="C5" s="644" t="s">
        <v>272</v>
      </c>
      <c r="D5" s="644" t="s">
        <v>273</v>
      </c>
      <c r="E5" s="645" t="s">
        <v>274</v>
      </c>
      <c r="F5" s="646" t="s">
        <v>271</v>
      </c>
      <c r="G5" s="647" t="s">
        <v>272</v>
      </c>
      <c r="H5" s="647" t="s">
        <v>273</v>
      </c>
      <c r="I5" s="648" t="s">
        <v>274</v>
      </c>
      <c r="J5" s="644" t="s">
        <v>271</v>
      </c>
      <c r="K5" s="644" t="s">
        <v>272</v>
      </c>
      <c r="L5" s="644" t="s">
        <v>273</v>
      </c>
      <c r="M5" s="645" t="s">
        <v>274</v>
      </c>
      <c r="N5" s="646" t="s">
        <v>271</v>
      </c>
      <c r="O5" s="647" t="s">
        <v>272</v>
      </c>
      <c r="P5" s="647" t="s">
        <v>273</v>
      </c>
      <c r="Q5" s="648" t="s">
        <v>274</v>
      </c>
    </row>
    <row r="6" spans="1:17" ht="14.4" customHeight="1" x14ac:dyDescent="0.3">
      <c r="A6" s="652" t="s">
        <v>1278</v>
      </c>
      <c r="B6" s="658"/>
      <c r="C6" s="608"/>
      <c r="D6" s="608"/>
      <c r="E6" s="609"/>
      <c r="F6" s="655"/>
      <c r="G6" s="626"/>
      <c r="H6" s="626"/>
      <c r="I6" s="661"/>
      <c r="J6" s="658"/>
      <c r="K6" s="608"/>
      <c r="L6" s="608"/>
      <c r="M6" s="609"/>
      <c r="N6" s="655"/>
      <c r="O6" s="626"/>
      <c r="P6" s="626"/>
      <c r="Q6" s="649"/>
    </row>
    <row r="7" spans="1:17" ht="14.4" customHeight="1" x14ac:dyDescent="0.3">
      <c r="A7" s="653" t="s">
        <v>1279</v>
      </c>
      <c r="B7" s="659">
        <v>381</v>
      </c>
      <c r="C7" s="614">
        <v>28</v>
      </c>
      <c r="D7" s="614">
        <v>4</v>
      </c>
      <c r="E7" s="615"/>
      <c r="F7" s="656">
        <v>0.92251815980629537</v>
      </c>
      <c r="G7" s="627">
        <v>6.7796610169491525E-2</v>
      </c>
      <c r="H7" s="627">
        <v>9.6852300242130755E-3</v>
      </c>
      <c r="I7" s="662">
        <v>0</v>
      </c>
      <c r="J7" s="659">
        <v>91</v>
      </c>
      <c r="K7" s="614">
        <v>21</v>
      </c>
      <c r="L7" s="614">
        <v>4</v>
      </c>
      <c r="M7" s="615"/>
      <c r="N7" s="656">
        <v>0.78448275862068961</v>
      </c>
      <c r="O7" s="627">
        <v>0.18103448275862069</v>
      </c>
      <c r="P7" s="627">
        <v>3.4482758620689655E-2</v>
      </c>
      <c r="Q7" s="650">
        <v>0</v>
      </c>
    </row>
    <row r="8" spans="1:17" ht="14.4" customHeight="1" x14ac:dyDescent="0.3">
      <c r="A8" s="653" t="s">
        <v>1280</v>
      </c>
      <c r="B8" s="659">
        <v>328</v>
      </c>
      <c r="C8" s="614">
        <v>81</v>
      </c>
      <c r="D8" s="614">
        <v>10</v>
      </c>
      <c r="E8" s="615"/>
      <c r="F8" s="656">
        <v>0.78281622911694515</v>
      </c>
      <c r="G8" s="627">
        <v>0.19331742243436753</v>
      </c>
      <c r="H8" s="627">
        <v>2.386634844868735E-2</v>
      </c>
      <c r="I8" s="662">
        <v>0</v>
      </c>
      <c r="J8" s="659">
        <v>77</v>
      </c>
      <c r="K8" s="614">
        <v>48</v>
      </c>
      <c r="L8" s="614">
        <v>10</v>
      </c>
      <c r="M8" s="615"/>
      <c r="N8" s="656">
        <v>0.57037037037037042</v>
      </c>
      <c r="O8" s="627">
        <v>0.35555555555555557</v>
      </c>
      <c r="P8" s="627">
        <v>7.407407407407407E-2</v>
      </c>
      <c r="Q8" s="650">
        <v>0</v>
      </c>
    </row>
    <row r="9" spans="1:17" ht="14.4" customHeight="1" thickBot="1" x14ac:dyDescent="0.35">
      <c r="A9" s="654" t="s">
        <v>1281</v>
      </c>
      <c r="B9" s="660">
        <v>1213</v>
      </c>
      <c r="C9" s="620">
        <v>141</v>
      </c>
      <c r="D9" s="620">
        <v>69</v>
      </c>
      <c r="E9" s="621"/>
      <c r="F9" s="657">
        <v>0.85242445537596623</v>
      </c>
      <c r="G9" s="628">
        <v>9.9086437104708366E-2</v>
      </c>
      <c r="H9" s="628">
        <v>4.8489107519325371E-2</v>
      </c>
      <c r="I9" s="663">
        <v>0</v>
      </c>
      <c r="J9" s="660">
        <v>122</v>
      </c>
      <c r="K9" s="620">
        <v>61</v>
      </c>
      <c r="L9" s="620">
        <v>69</v>
      </c>
      <c r="M9" s="621"/>
      <c r="N9" s="657">
        <v>0.48412698412698413</v>
      </c>
      <c r="O9" s="628">
        <v>0.24206349206349206</v>
      </c>
      <c r="P9" s="628">
        <v>0.27380952380952384</v>
      </c>
      <c r="Q9" s="6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0" t="s">
        <v>159</v>
      </c>
      <c r="B1" s="481"/>
      <c r="C1" s="481"/>
      <c r="D1" s="481"/>
      <c r="E1" s="481"/>
      <c r="F1" s="481"/>
      <c r="G1" s="452"/>
      <c r="H1" s="482"/>
      <c r="I1" s="482"/>
    </row>
    <row r="2" spans="1:10" ht="14.4" customHeight="1" thickBot="1" x14ac:dyDescent="0.35">
      <c r="A2" s="360" t="s">
        <v>306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18">
        <v>2013</v>
      </c>
      <c r="D3" s="419">
        <v>2014</v>
      </c>
      <c r="E3" s="11"/>
      <c r="F3" s="475">
        <v>2015</v>
      </c>
      <c r="G3" s="476"/>
      <c r="H3" s="476"/>
      <c r="I3" s="477"/>
    </row>
    <row r="4" spans="1:10" ht="14.4" customHeight="1" thickBot="1" x14ac:dyDescent="0.35">
      <c r="A4" s="423" t="s">
        <v>0</v>
      </c>
      <c r="B4" s="424" t="s">
        <v>264</v>
      </c>
      <c r="C4" s="478" t="s">
        <v>81</v>
      </c>
      <c r="D4" s="479"/>
      <c r="E4" s="425"/>
      <c r="F4" s="420" t="s">
        <v>81</v>
      </c>
      <c r="G4" s="421" t="s">
        <v>82</v>
      </c>
      <c r="H4" s="421" t="s">
        <v>56</v>
      </c>
      <c r="I4" s="422" t="s">
        <v>83</v>
      </c>
    </row>
    <row r="5" spans="1:10" ht="14.4" customHeight="1" x14ac:dyDescent="0.3">
      <c r="A5" s="594" t="s">
        <v>538</v>
      </c>
      <c r="B5" s="595" t="s">
        <v>539</v>
      </c>
      <c r="C5" s="596" t="s">
        <v>540</v>
      </c>
      <c r="D5" s="596" t="s">
        <v>540</v>
      </c>
      <c r="E5" s="596"/>
      <c r="F5" s="596" t="s">
        <v>540</v>
      </c>
      <c r="G5" s="596" t="s">
        <v>540</v>
      </c>
      <c r="H5" s="596" t="s">
        <v>540</v>
      </c>
      <c r="I5" s="597" t="s">
        <v>540</v>
      </c>
      <c r="J5" s="598" t="s">
        <v>61</v>
      </c>
    </row>
    <row r="6" spans="1:10" ht="14.4" customHeight="1" x14ac:dyDescent="0.3">
      <c r="A6" s="594" t="s">
        <v>538</v>
      </c>
      <c r="B6" s="595" t="s">
        <v>325</v>
      </c>
      <c r="C6" s="596" t="s">
        <v>540</v>
      </c>
      <c r="D6" s="596">
        <v>0.495</v>
      </c>
      <c r="E6" s="596"/>
      <c r="F6" s="596">
        <v>0</v>
      </c>
      <c r="G6" s="596">
        <v>0.28874999090466669</v>
      </c>
      <c r="H6" s="596">
        <v>-0.28874999090466669</v>
      </c>
      <c r="I6" s="597">
        <v>0</v>
      </c>
      <c r="J6" s="598" t="s">
        <v>1</v>
      </c>
    </row>
    <row r="7" spans="1:10" ht="14.4" customHeight="1" x14ac:dyDescent="0.3">
      <c r="A7" s="594" t="s">
        <v>538</v>
      </c>
      <c r="B7" s="595" t="s">
        <v>327</v>
      </c>
      <c r="C7" s="596">
        <v>182.97951999999998</v>
      </c>
      <c r="D7" s="596">
        <v>251.91494000000003</v>
      </c>
      <c r="E7" s="596"/>
      <c r="F7" s="596">
        <v>235.30319999999998</v>
      </c>
      <c r="G7" s="596">
        <v>295.16665920699006</v>
      </c>
      <c r="H7" s="596">
        <v>-59.863459206990086</v>
      </c>
      <c r="I7" s="597">
        <v>0.79718759778688308</v>
      </c>
      <c r="J7" s="598" t="s">
        <v>1</v>
      </c>
    </row>
    <row r="8" spans="1:10" ht="14.4" customHeight="1" x14ac:dyDescent="0.3">
      <c r="A8" s="594" t="s">
        <v>538</v>
      </c>
      <c r="B8" s="595" t="s">
        <v>328</v>
      </c>
      <c r="C8" s="596">
        <v>2.6135999999999999</v>
      </c>
      <c r="D8" s="596">
        <v>2.6819699999999997</v>
      </c>
      <c r="E8" s="596"/>
      <c r="F8" s="596">
        <v>0.8236</v>
      </c>
      <c r="G8" s="596">
        <v>2.9166665747986666</v>
      </c>
      <c r="H8" s="596">
        <v>-2.0930665747986668</v>
      </c>
      <c r="I8" s="597">
        <v>0.28237715175134542</v>
      </c>
      <c r="J8" s="598" t="s">
        <v>1</v>
      </c>
    </row>
    <row r="9" spans="1:10" ht="14.4" customHeight="1" x14ac:dyDescent="0.3">
      <c r="A9" s="594" t="s">
        <v>538</v>
      </c>
      <c r="B9" s="595" t="s">
        <v>329</v>
      </c>
      <c r="C9" s="596">
        <v>89.392469999999008</v>
      </c>
      <c r="D9" s="596">
        <v>100.05379000000001</v>
      </c>
      <c r="E9" s="596"/>
      <c r="F9" s="596">
        <v>88.29267999999999</v>
      </c>
      <c r="G9" s="596">
        <v>95.666663653398246</v>
      </c>
      <c r="H9" s="596">
        <v>-7.3739836533982555</v>
      </c>
      <c r="I9" s="597">
        <v>0.92292002906974668</v>
      </c>
      <c r="J9" s="598" t="s">
        <v>1</v>
      </c>
    </row>
    <row r="10" spans="1:10" ht="14.4" customHeight="1" x14ac:dyDescent="0.3">
      <c r="A10" s="594" t="s">
        <v>538</v>
      </c>
      <c r="B10" s="595" t="s">
        <v>330</v>
      </c>
      <c r="C10" s="596">
        <v>1536.2348699999998</v>
      </c>
      <c r="D10" s="596">
        <v>1497.5886400000009</v>
      </c>
      <c r="E10" s="596"/>
      <c r="F10" s="596">
        <v>2140.1304500000001</v>
      </c>
      <c r="G10" s="596">
        <v>1993.8332799213176</v>
      </c>
      <c r="H10" s="596">
        <v>146.29717007868248</v>
      </c>
      <c r="I10" s="597">
        <v>1.0733748260458646</v>
      </c>
      <c r="J10" s="598" t="s">
        <v>1</v>
      </c>
    </row>
    <row r="11" spans="1:10" ht="14.4" customHeight="1" x14ac:dyDescent="0.3">
      <c r="A11" s="594" t="s">
        <v>538</v>
      </c>
      <c r="B11" s="595" t="s">
        <v>331</v>
      </c>
      <c r="C11" s="596">
        <v>21.514979999998999</v>
      </c>
      <c r="D11" s="596">
        <v>24.001569999999997</v>
      </c>
      <c r="E11" s="596"/>
      <c r="F11" s="596">
        <v>22.563220000000001</v>
      </c>
      <c r="G11" s="596">
        <v>16.333332818872417</v>
      </c>
      <c r="H11" s="596">
        <v>6.2298871811275838</v>
      </c>
      <c r="I11" s="597">
        <v>1.3814216761645386</v>
      </c>
      <c r="J11" s="598" t="s">
        <v>1</v>
      </c>
    </row>
    <row r="12" spans="1:10" ht="14.4" customHeight="1" x14ac:dyDescent="0.3">
      <c r="A12" s="594" t="s">
        <v>538</v>
      </c>
      <c r="B12" s="595" t="s">
        <v>332</v>
      </c>
      <c r="C12" s="596">
        <v>5.3351099999980001</v>
      </c>
      <c r="D12" s="596">
        <v>2.6675499999999999</v>
      </c>
      <c r="E12" s="596"/>
      <c r="F12" s="596">
        <v>3.5248800000000005</v>
      </c>
      <c r="G12" s="596">
        <v>4.6666665196777508</v>
      </c>
      <c r="H12" s="596">
        <v>-1.1417865196777504</v>
      </c>
      <c r="I12" s="597">
        <v>0.75533145236257537</v>
      </c>
      <c r="J12" s="598" t="s">
        <v>1</v>
      </c>
    </row>
    <row r="13" spans="1:10" ht="14.4" customHeight="1" x14ac:dyDescent="0.3">
      <c r="A13" s="594" t="s">
        <v>538</v>
      </c>
      <c r="B13" s="595" t="s">
        <v>333</v>
      </c>
      <c r="C13" s="596">
        <v>4.5025399999970004</v>
      </c>
      <c r="D13" s="596">
        <v>5.6176600000000008</v>
      </c>
      <c r="E13" s="596"/>
      <c r="F13" s="596">
        <v>6.3217500000000015</v>
      </c>
      <c r="G13" s="596">
        <v>4.0833332047170829</v>
      </c>
      <c r="H13" s="596">
        <v>2.2384167952829186</v>
      </c>
      <c r="I13" s="597">
        <v>1.5481837222338579</v>
      </c>
      <c r="J13" s="598" t="s">
        <v>1</v>
      </c>
    </row>
    <row r="14" spans="1:10" ht="14.4" customHeight="1" x14ac:dyDescent="0.3">
      <c r="A14" s="594" t="s">
        <v>538</v>
      </c>
      <c r="B14" s="595" t="s">
        <v>334</v>
      </c>
      <c r="C14" s="596">
        <v>85.678999999998013</v>
      </c>
      <c r="D14" s="596">
        <v>78.383390000000006</v>
      </c>
      <c r="E14" s="596"/>
      <c r="F14" s="596">
        <v>101.98506</v>
      </c>
      <c r="G14" s="596">
        <v>82.833330724283414</v>
      </c>
      <c r="H14" s="596">
        <v>19.15172927571659</v>
      </c>
      <c r="I14" s="597">
        <v>1.2312080065869193</v>
      </c>
      <c r="J14" s="598" t="s">
        <v>1</v>
      </c>
    </row>
    <row r="15" spans="1:10" ht="14.4" customHeight="1" x14ac:dyDescent="0.3">
      <c r="A15" s="594" t="s">
        <v>538</v>
      </c>
      <c r="B15" s="595" t="s">
        <v>335</v>
      </c>
      <c r="C15" s="596">
        <v>60.669400000000003</v>
      </c>
      <c r="D15" s="596">
        <v>60.143059999999991</v>
      </c>
      <c r="E15" s="596"/>
      <c r="F15" s="596">
        <v>51.126519999999999</v>
      </c>
      <c r="G15" s="596">
        <v>46.083331881819753</v>
      </c>
      <c r="H15" s="596">
        <v>5.0431881181802467</v>
      </c>
      <c r="I15" s="597">
        <v>1.1094362736425711</v>
      </c>
      <c r="J15" s="598" t="s">
        <v>1</v>
      </c>
    </row>
    <row r="16" spans="1:10" ht="14.4" customHeight="1" x14ac:dyDescent="0.3">
      <c r="A16" s="594" t="s">
        <v>538</v>
      </c>
      <c r="B16" s="595" t="s">
        <v>336</v>
      </c>
      <c r="C16" s="596" t="s">
        <v>540</v>
      </c>
      <c r="D16" s="596" t="s">
        <v>540</v>
      </c>
      <c r="E16" s="596"/>
      <c r="F16" s="596">
        <v>203.51257000000001</v>
      </c>
      <c r="G16" s="596">
        <v>0</v>
      </c>
      <c r="H16" s="596">
        <v>203.51257000000001</v>
      </c>
      <c r="I16" s="597" t="s">
        <v>540</v>
      </c>
      <c r="J16" s="598" t="s">
        <v>1</v>
      </c>
    </row>
    <row r="17" spans="1:10" ht="14.4" customHeight="1" x14ac:dyDescent="0.3">
      <c r="A17" s="594" t="s">
        <v>538</v>
      </c>
      <c r="B17" s="595" t="s">
        <v>337</v>
      </c>
      <c r="C17" s="596">
        <v>0.21611</v>
      </c>
      <c r="D17" s="596">
        <v>0</v>
      </c>
      <c r="E17" s="596"/>
      <c r="F17" s="596" t="s">
        <v>540</v>
      </c>
      <c r="G17" s="596" t="s">
        <v>540</v>
      </c>
      <c r="H17" s="596" t="s">
        <v>540</v>
      </c>
      <c r="I17" s="597" t="s">
        <v>540</v>
      </c>
      <c r="J17" s="598" t="s">
        <v>1</v>
      </c>
    </row>
    <row r="18" spans="1:10" ht="14.4" customHeight="1" x14ac:dyDescent="0.3">
      <c r="A18" s="594" t="s">
        <v>538</v>
      </c>
      <c r="B18" s="595" t="s">
        <v>542</v>
      </c>
      <c r="C18" s="596">
        <v>1989.1375999999907</v>
      </c>
      <c r="D18" s="596">
        <v>2023.5475700000006</v>
      </c>
      <c r="E18" s="596"/>
      <c r="F18" s="596">
        <v>2853.5839299999998</v>
      </c>
      <c r="G18" s="596">
        <v>2541.8720144967797</v>
      </c>
      <c r="H18" s="596">
        <v>311.7119155032201</v>
      </c>
      <c r="I18" s="597">
        <v>1.1226308459770862</v>
      </c>
      <c r="J18" s="598" t="s">
        <v>543</v>
      </c>
    </row>
    <row r="20" spans="1:10" ht="14.4" customHeight="1" x14ac:dyDescent="0.3">
      <c r="A20" s="594" t="s">
        <v>538</v>
      </c>
      <c r="B20" s="595" t="s">
        <v>539</v>
      </c>
      <c r="C20" s="596" t="s">
        <v>540</v>
      </c>
      <c r="D20" s="596" t="s">
        <v>540</v>
      </c>
      <c r="E20" s="596"/>
      <c r="F20" s="596" t="s">
        <v>540</v>
      </c>
      <c r="G20" s="596" t="s">
        <v>540</v>
      </c>
      <c r="H20" s="596" t="s">
        <v>540</v>
      </c>
      <c r="I20" s="597" t="s">
        <v>540</v>
      </c>
      <c r="J20" s="598" t="s">
        <v>61</v>
      </c>
    </row>
    <row r="21" spans="1:10" ht="14.4" customHeight="1" x14ac:dyDescent="0.3">
      <c r="A21" s="594" t="s">
        <v>544</v>
      </c>
      <c r="B21" s="595" t="s">
        <v>545</v>
      </c>
      <c r="C21" s="596" t="s">
        <v>540</v>
      </c>
      <c r="D21" s="596" t="s">
        <v>540</v>
      </c>
      <c r="E21" s="596"/>
      <c r="F21" s="596" t="s">
        <v>540</v>
      </c>
      <c r="G21" s="596" t="s">
        <v>540</v>
      </c>
      <c r="H21" s="596" t="s">
        <v>540</v>
      </c>
      <c r="I21" s="597" t="s">
        <v>540</v>
      </c>
      <c r="J21" s="598" t="s">
        <v>0</v>
      </c>
    </row>
    <row r="22" spans="1:10" ht="14.4" customHeight="1" x14ac:dyDescent="0.3">
      <c r="A22" s="594" t="s">
        <v>544</v>
      </c>
      <c r="B22" s="595" t="s">
        <v>327</v>
      </c>
      <c r="C22" s="596">
        <v>24.684000000000001</v>
      </c>
      <c r="D22" s="596">
        <v>26.61</v>
      </c>
      <c r="E22" s="596"/>
      <c r="F22" s="596">
        <v>15.600989999999999</v>
      </c>
      <c r="G22" s="596">
        <v>16.304540364213498</v>
      </c>
      <c r="H22" s="596">
        <v>-0.70355036421349837</v>
      </c>
      <c r="I22" s="597">
        <v>0.95684942056031785</v>
      </c>
      <c r="J22" s="598" t="s">
        <v>1</v>
      </c>
    </row>
    <row r="23" spans="1:10" ht="14.4" customHeight="1" x14ac:dyDescent="0.3">
      <c r="A23" s="594" t="s">
        <v>544</v>
      </c>
      <c r="B23" s="595" t="s">
        <v>328</v>
      </c>
      <c r="C23" s="596">
        <v>1.3068</v>
      </c>
      <c r="D23" s="596">
        <v>0</v>
      </c>
      <c r="E23" s="596"/>
      <c r="F23" s="596" t="s">
        <v>540</v>
      </c>
      <c r="G23" s="596" t="s">
        <v>540</v>
      </c>
      <c r="H23" s="596" t="s">
        <v>540</v>
      </c>
      <c r="I23" s="597" t="s">
        <v>540</v>
      </c>
      <c r="J23" s="598" t="s">
        <v>1</v>
      </c>
    </row>
    <row r="24" spans="1:10" ht="14.4" customHeight="1" x14ac:dyDescent="0.3">
      <c r="A24" s="594" t="s">
        <v>544</v>
      </c>
      <c r="B24" s="595" t="s">
        <v>329</v>
      </c>
      <c r="C24" s="596">
        <v>23.364090000000001</v>
      </c>
      <c r="D24" s="596">
        <v>10.21893</v>
      </c>
      <c r="E24" s="596"/>
      <c r="F24" s="596">
        <v>14.2417</v>
      </c>
      <c r="G24" s="596">
        <v>14.436424397519835</v>
      </c>
      <c r="H24" s="596">
        <v>-0.19472439751983472</v>
      </c>
      <c r="I24" s="597">
        <v>0.98651159094815144</v>
      </c>
      <c r="J24" s="598" t="s">
        <v>1</v>
      </c>
    </row>
    <row r="25" spans="1:10" ht="14.4" customHeight="1" x14ac:dyDescent="0.3">
      <c r="A25" s="594" t="s">
        <v>544</v>
      </c>
      <c r="B25" s="595" t="s">
        <v>330</v>
      </c>
      <c r="C25" s="596">
        <v>84.601109999999991</v>
      </c>
      <c r="D25" s="596">
        <v>107.90751999999999</v>
      </c>
      <c r="E25" s="596"/>
      <c r="F25" s="596">
        <v>134.26503</v>
      </c>
      <c r="G25" s="596">
        <v>139.62928382388185</v>
      </c>
      <c r="H25" s="596">
        <v>-5.3642538238818531</v>
      </c>
      <c r="I25" s="597">
        <v>0.96158217189849704</v>
      </c>
      <c r="J25" s="598" t="s">
        <v>1</v>
      </c>
    </row>
    <row r="26" spans="1:10" ht="14.4" customHeight="1" x14ac:dyDescent="0.3">
      <c r="A26" s="594" t="s">
        <v>544</v>
      </c>
      <c r="B26" s="595" t="s">
        <v>331</v>
      </c>
      <c r="C26" s="596">
        <v>0</v>
      </c>
      <c r="D26" s="596">
        <v>0</v>
      </c>
      <c r="E26" s="596"/>
      <c r="F26" s="596" t="s">
        <v>540</v>
      </c>
      <c r="G26" s="596" t="s">
        <v>540</v>
      </c>
      <c r="H26" s="596" t="s">
        <v>540</v>
      </c>
      <c r="I26" s="597" t="s">
        <v>540</v>
      </c>
      <c r="J26" s="598" t="s">
        <v>1</v>
      </c>
    </row>
    <row r="27" spans="1:10" ht="14.4" customHeight="1" x14ac:dyDescent="0.3">
      <c r="A27" s="594" t="s">
        <v>544</v>
      </c>
      <c r="B27" s="595" t="s">
        <v>333</v>
      </c>
      <c r="C27" s="596">
        <v>0.50799999999900003</v>
      </c>
      <c r="D27" s="596">
        <v>0.51200000000000001</v>
      </c>
      <c r="E27" s="596"/>
      <c r="F27" s="596">
        <v>0.35200000000000004</v>
      </c>
      <c r="G27" s="596">
        <v>0.40096268291800002</v>
      </c>
      <c r="H27" s="596">
        <v>-4.8962682917999989E-2</v>
      </c>
      <c r="I27" s="597">
        <v>0.87788718251365738</v>
      </c>
      <c r="J27" s="598" t="s">
        <v>1</v>
      </c>
    </row>
    <row r="28" spans="1:10" ht="14.4" customHeight="1" x14ac:dyDescent="0.3">
      <c r="A28" s="594" t="s">
        <v>544</v>
      </c>
      <c r="B28" s="595" t="s">
        <v>334</v>
      </c>
      <c r="C28" s="596">
        <v>15.724</v>
      </c>
      <c r="D28" s="596">
        <v>16.097190000000001</v>
      </c>
      <c r="E28" s="596"/>
      <c r="F28" s="596">
        <v>22.965019999999999</v>
      </c>
      <c r="G28" s="596">
        <v>18.909815860236584</v>
      </c>
      <c r="H28" s="596">
        <v>4.0552041397634149</v>
      </c>
      <c r="I28" s="597">
        <v>1.2144496895017718</v>
      </c>
      <c r="J28" s="598" t="s">
        <v>1</v>
      </c>
    </row>
    <row r="29" spans="1:10" ht="14.4" customHeight="1" x14ac:dyDescent="0.3">
      <c r="A29" s="594" t="s">
        <v>544</v>
      </c>
      <c r="B29" s="595" t="s">
        <v>336</v>
      </c>
      <c r="C29" s="596" t="s">
        <v>540</v>
      </c>
      <c r="D29" s="596" t="s">
        <v>540</v>
      </c>
      <c r="E29" s="596"/>
      <c r="F29" s="596">
        <v>0.97889999999999999</v>
      </c>
      <c r="G29" s="596">
        <v>0</v>
      </c>
      <c r="H29" s="596">
        <v>0.97889999999999999</v>
      </c>
      <c r="I29" s="597" t="s">
        <v>540</v>
      </c>
      <c r="J29" s="598" t="s">
        <v>1</v>
      </c>
    </row>
    <row r="30" spans="1:10" ht="14.4" customHeight="1" x14ac:dyDescent="0.3">
      <c r="A30" s="594" t="s">
        <v>544</v>
      </c>
      <c r="B30" s="595" t="s">
        <v>546</v>
      </c>
      <c r="C30" s="596">
        <v>150.18799999999896</v>
      </c>
      <c r="D30" s="596">
        <v>161.34564</v>
      </c>
      <c r="E30" s="596"/>
      <c r="F30" s="596">
        <v>188.40364000000002</v>
      </c>
      <c r="G30" s="596">
        <v>189.68102712876976</v>
      </c>
      <c r="H30" s="596">
        <v>-1.2773871287697318</v>
      </c>
      <c r="I30" s="597">
        <v>0.99326560411388676</v>
      </c>
      <c r="J30" s="598" t="s">
        <v>547</v>
      </c>
    </row>
    <row r="31" spans="1:10" ht="14.4" customHeight="1" x14ac:dyDescent="0.3">
      <c r="A31" s="594" t="s">
        <v>540</v>
      </c>
      <c r="B31" s="595" t="s">
        <v>540</v>
      </c>
      <c r="C31" s="596" t="s">
        <v>540</v>
      </c>
      <c r="D31" s="596" t="s">
        <v>540</v>
      </c>
      <c r="E31" s="596"/>
      <c r="F31" s="596" t="s">
        <v>540</v>
      </c>
      <c r="G31" s="596" t="s">
        <v>540</v>
      </c>
      <c r="H31" s="596" t="s">
        <v>540</v>
      </c>
      <c r="I31" s="597" t="s">
        <v>540</v>
      </c>
      <c r="J31" s="598" t="s">
        <v>548</v>
      </c>
    </row>
    <row r="32" spans="1:10" ht="14.4" customHeight="1" x14ac:dyDescent="0.3">
      <c r="A32" s="594" t="s">
        <v>549</v>
      </c>
      <c r="B32" s="595" t="s">
        <v>550</v>
      </c>
      <c r="C32" s="596" t="s">
        <v>540</v>
      </c>
      <c r="D32" s="596" t="s">
        <v>540</v>
      </c>
      <c r="E32" s="596"/>
      <c r="F32" s="596" t="s">
        <v>540</v>
      </c>
      <c r="G32" s="596" t="s">
        <v>540</v>
      </c>
      <c r="H32" s="596" t="s">
        <v>540</v>
      </c>
      <c r="I32" s="597" t="s">
        <v>540</v>
      </c>
      <c r="J32" s="598" t="s">
        <v>0</v>
      </c>
    </row>
    <row r="33" spans="1:10" ht="14.4" customHeight="1" x14ac:dyDescent="0.3">
      <c r="A33" s="594" t="s">
        <v>549</v>
      </c>
      <c r="B33" s="595" t="s">
        <v>327</v>
      </c>
      <c r="C33" s="596">
        <v>1.5972</v>
      </c>
      <c r="D33" s="596">
        <v>0.15246000000000001</v>
      </c>
      <c r="E33" s="596"/>
      <c r="F33" s="596">
        <v>0</v>
      </c>
      <c r="G33" s="596">
        <v>58.42674897496908</v>
      </c>
      <c r="H33" s="596">
        <v>-58.42674897496908</v>
      </c>
      <c r="I33" s="597">
        <v>0</v>
      </c>
      <c r="J33" s="598" t="s">
        <v>1</v>
      </c>
    </row>
    <row r="34" spans="1:10" ht="14.4" customHeight="1" x14ac:dyDescent="0.3">
      <c r="A34" s="594" t="s">
        <v>549</v>
      </c>
      <c r="B34" s="595" t="s">
        <v>328</v>
      </c>
      <c r="C34" s="596">
        <v>0</v>
      </c>
      <c r="D34" s="596">
        <v>0</v>
      </c>
      <c r="E34" s="596"/>
      <c r="F34" s="596" t="s">
        <v>540</v>
      </c>
      <c r="G34" s="596" t="s">
        <v>540</v>
      </c>
      <c r="H34" s="596" t="s">
        <v>540</v>
      </c>
      <c r="I34" s="597" t="s">
        <v>540</v>
      </c>
      <c r="J34" s="598" t="s">
        <v>1</v>
      </c>
    </row>
    <row r="35" spans="1:10" ht="14.4" customHeight="1" x14ac:dyDescent="0.3">
      <c r="A35" s="594" t="s">
        <v>549</v>
      </c>
      <c r="B35" s="595" t="s">
        <v>329</v>
      </c>
      <c r="C35" s="596">
        <v>10.09681</v>
      </c>
      <c r="D35" s="596">
        <v>14.81935</v>
      </c>
      <c r="E35" s="596"/>
      <c r="F35" s="596">
        <v>11.579800000000001</v>
      </c>
      <c r="G35" s="596">
        <v>12.706444644548085</v>
      </c>
      <c r="H35" s="596">
        <v>-1.1266446445480849</v>
      </c>
      <c r="I35" s="597">
        <v>0.91133281763191798</v>
      </c>
      <c r="J35" s="598" t="s">
        <v>1</v>
      </c>
    </row>
    <row r="36" spans="1:10" ht="14.4" customHeight="1" x14ac:dyDescent="0.3">
      <c r="A36" s="594" t="s">
        <v>549</v>
      </c>
      <c r="B36" s="595" t="s">
        <v>330</v>
      </c>
      <c r="C36" s="596">
        <v>192.50069999999999</v>
      </c>
      <c r="D36" s="596">
        <v>384.53575999999998</v>
      </c>
      <c r="E36" s="596"/>
      <c r="F36" s="596">
        <v>684.41373999999996</v>
      </c>
      <c r="G36" s="596">
        <v>539.53194676491182</v>
      </c>
      <c r="H36" s="596">
        <v>144.88179323508814</v>
      </c>
      <c r="I36" s="597">
        <v>1.2685323716302881</v>
      </c>
      <c r="J36" s="598" t="s">
        <v>1</v>
      </c>
    </row>
    <row r="37" spans="1:10" ht="14.4" customHeight="1" x14ac:dyDescent="0.3">
      <c r="A37" s="594" t="s">
        <v>549</v>
      </c>
      <c r="B37" s="595" t="s">
        <v>331</v>
      </c>
      <c r="C37" s="596" t="s">
        <v>540</v>
      </c>
      <c r="D37" s="596">
        <v>2.1755</v>
      </c>
      <c r="E37" s="596"/>
      <c r="F37" s="596">
        <v>0.14000000000000001</v>
      </c>
      <c r="G37" s="596">
        <v>1.4676109623396665</v>
      </c>
      <c r="H37" s="596">
        <v>-1.3276109623396666</v>
      </c>
      <c r="I37" s="597">
        <v>9.5393127737893088E-2</v>
      </c>
      <c r="J37" s="598" t="s">
        <v>1</v>
      </c>
    </row>
    <row r="38" spans="1:10" ht="14.4" customHeight="1" x14ac:dyDescent="0.3">
      <c r="A38" s="594" t="s">
        <v>549</v>
      </c>
      <c r="B38" s="595" t="s">
        <v>332</v>
      </c>
      <c r="C38" s="596">
        <v>0.66683999999900001</v>
      </c>
      <c r="D38" s="596">
        <v>0</v>
      </c>
      <c r="E38" s="596"/>
      <c r="F38" s="596" t="s">
        <v>540</v>
      </c>
      <c r="G38" s="596" t="s">
        <v>540</v>
      </c>
      <c r="H38" s="596" t="s">
        <v>540</v>
      </c>
      <c r="I38" s="597" t="s">
        <v>540</v>
      </c>
      <c r="J38" s="598" t="s">
        <v>1</v>
      </c>
    </row>
    <row r="39" spans="1:10" ht="14.4" customHeight="1" x14ac:dyDescent="0.3">
      <c r="A39" s="594" t="s">
        <v>549</v>
      </c>
      <c r="B39" s="595" t="s">
        <v>333</v>
      </c>
      <c r="C39" s="596">
        <v>0.48374999999900004</v>
      </c>
      <c r="D39" s="596">
        <v>2.4216600000000001</v>
      </c>
      <c r="E39" s="596"/>
      <c r="F39" s="596">
        <v>0.35916000000000003</v>
      </c>
      <c r="G39" s="596">
        <v>1.2217663153074168</v>
      </c>
      <c r="H39" s="596">
        <v>-0.86260631530741672</v>
      </c>
      <c r="I39" s="597">
        <v>0.29396783615664618</v>
      </c>
      <c r="J39" s="598" t="s">
        <v>1</v>
      </c>
    </row>
    <row r="40" spans="1:10" ht="14.4" customHeight="1" x14ac:dyDescent="0.3">
      <c r="A40" s="594" t="s">
        <v>549</v>
      </c>
      <c r="B40" s="595" t="s">
        <v>334</v>
      </c>
      <c r="C40" s="596">
        <v>21.330999999999005</v>
      </c>
      <c r="D40" s="596">
        <v>20.471000000000004</v>
      </c>
      <c r="E40" s="596"/>
      <c r="F40" s="596">
        <v>14.451599999999999</v>
      </c>
      <c r="G40" s="596">
        <v>20.529734592273083</v>
      </c>
      <c r="H40" s="596">
        <v>-6.0781345922730843</v>
      </c>
      <c r="I40" s="597">
        <v>0.7039350623382753</v>
      </c>
      <c r="J40" s="598" t="s">
        <v>1</v>
      </c>
    </row>
    <row r="41" spans="1:10" ht="14.4" customHeight="1" x14ac:dyDescent="0.3">
      <c r="A41" s="594" t="s">
        <v>549</v>
      </c>
      <c r="B41" s="595" t="s">
        <v>336</v>
      </c>
      <c r="C41" s="596" t="s">
        <v>540</v>
      </c>
      <c r="D41" s="596" t="s">
        <v>540</v>
      </c>
      <c r="E41" s="596"/>
      <c r="F41" s="596">
        <v>13.367599999999999</v>
      </c>
      <c r="G41" s="596">
        <v>0</v>
      </c>
      <c r="H41" s="596">
        <v>13.367599999999999</v>
      </c>
      <c r="I41" s="597" t="s">
        <v>540</v>
      </c>
      <c r="J41" s="598" t="s">
        <v>1</v>
      </c>
    </row>
    <row r="42" spans="1:10" ht="14.4" customHeight="1" x14ac:dyDescent="0.3">
      <c r="A42" s="594" t="s">
        <v>549</v>
      </c>
      <c r="B42" s="595" t="s">
        <v>551</v>
      </c>
      <c r="C42" s="596">
        <v>226.67629999999698</v>
      </c>
      <c r="D42" s="596">
        <v>424.57572999999996</v>
      </c>
      <c r="E42" s="596"/>
      <c r="F42" s="596">
        <v>724.31189999999992</v>
      </c>
      <c r="G42" s="596">
        <v>633.88425225434901</v>
      </c>
      <c r="H42" s="596">
        <v>90.427647745650916</v>
      </c>
      <c r="I42" s="597">
        <v>1.1426564036321356</v>
      </c>
      <c r="J42" s="598" t="s">
        <v>547</v>
      </c>
    </row>
    <row r="43" spans="1:10" ht="14.4" customHeight="1" x14ac:dyDescent="0.3">
      <c r="A43" s="594" t="s">
        <v>540</v>
      </c>
      <c r="B43" s="595" t="s">
        <v>540</v>
      </c>
      <c r="C43" s="596" t="s">
        <v>540</v>
      </c>
      <c r="D43" s="596" t="s">
        <v>540</v>
      </c>
      <c r="E43" s="596"/>
      <c r="F43" s="596" t="s">
        <v>540</v>
      </c>
      <c r="G43" s="596" t="s">
        <v>540</v>
      </c>
      <c r="H43" s="596" t="s">
        <v>540</v>
      </c>
      <c r="I43" s="597" t="s">
        <v>540</v>
      </c>
      <c r="J43" s="598" t="s">
        <v>548</v>
      </c>
    </row>
    <row r="44" spans="1:10" ht="14.4" customHeight="1" x14ac:dyDescent="0.3">
      <c r="A44" s="594" t="s">
        <v>552</v>
      </c>
      <c r="B44" s="595" t="s">
        <v>553</v>
      </c>
      <c r="C44" s="596" t="s">
        <v>540</v>
      </c>
      <c r="D44" s="596" t="s">
        <v>540</v>
      </c>
      <c r="E44" s="596"/>
      <c r="F44" s="596" t="s">
        <v>540</v>
      </c>
      <c r="G44" s="596" t="s">
        <v>540</v>
      </c>
      <c r="H44" s="596" t="s">
        <v>540</v>
      </c>
      <c r="I44" s="597" t="s">
        <v>540</v>
      </c>
      <c r="J44" s="598" t="s">
        <v>0</v>
      </c>
    </row>
    <row r="45" spans="1:10" ht="14.4" customHeight="1" x14ac:dyDescent="0.3">
      <c r="A45" s="594" t="s">
        <v>552</v>
      </c>
      <c r="B45" s="595" t="s">
        <v>325</v>
      </c>
      <c r="C45" s="596" t="s">
        <v>540</v>
      </c>
      <c r="D45" s="596">
        <v>0.495</v>
      </c>
      <c r="E45" s="596"/>
      <c r="F45" s="596">
        <v>0</v>
      </c>
      <c r="G45" s="596">
        <v>0.28874999090466669</v>
      </c>
      <c r="H45" s="596">
        <v>-0.28874999090466669</v>
      </c>
      <c r="I45" s="597">
        <v>0</v>
      </c>
      <c r="J45" s="598" t="s">
        <v>1</v>
      </c>
    </row>
    <row r="46" spans="1:10" ht="14.4" customHeight="1" x14ac:dyDescent="0.3">
      <c r="A46" s="594" t="s">
        <v>552</v>
      </c>
      <c r="B46" s="595" t="s">
        <v>327</v>
      </c>
      <c r="C46" s="596">
        <v>156.69831999999997</v>
      </c>
      <c r="D46" s="596">
        <v>225.15248000000003</v>
      </c>
      <c r="E46" s="596"/>
      <c r="F46" s="596">
        <v>219.70220999999998</v>
      </c>
      <c r="G46" s="596">
        <v>220.43536986780751</v>
      </c>
      <c r="H46" s="596">
        <v>-0.73315986780752951</v>
      </c>
      <c r="I46" s="597">
        <v>0.99667403707378177</v>
      </c>
      <c r="J46" s="598" t="s">
        <v>1</v>
      </c>
    </row>
    <row r="47" spans="1:10" ht="14.4" customHeight="1" x14ac:dyDescent="0.3">
      <c r="A47" s="594" t="s">
        <v>552</v>
      </c>
      <c r="B47" s="595" t="s">
        <v>328</v>
      </c>
      <c r="C47" s="596">
        <v>1.3068</v>
      </c>
      <c r="D47" s="596">
        <v>2.6819699999999997</v>
      </c>
      <c r="E47" s="596"/>
      <c r="F47" s="596">
        <v>0.8236</v>
      </c>
      <c r="G47" s="596">
        <v>2.9166665747986666</v>
      </c>
      <c r="H47" s="596">
        <v>-2.0930665747986668</v>
      </c>
      <c r="I47" s="597">
        <v>0.28237715175134542</v>
      </c>
      <c r="J47" s="598" t="s">
        <v>1</v>
      </c>
    </row>
    <row r="48" spans="1:10" ht="14.4" customHeight="1" x14ac:dyDescent="0.3">
      <c r="A48" s="594" t="s">
        <v>552</v>
      </c>
      <c r="B48" s="595" t="s">
        <v>329</v>
      </c>
      <c r="C48" s="596">
        <v>55.931569999998999</v>
      </c>
      <c r="D48" s="596">
        <v>75.015510000000006</v>
      </c>
      <c r="E48" s="596"/>
      <c r="F48" s="596">
        <v>62.471179999999997</v>
      </c>
      <c r="G48" s="596">
        <v>68.523794611330331</v>
      </c>
      <c r="H48" s="596">
        <v>-6.0526146113303341</v>
      </c>
      <c r="I48" s="597">
        <v>0.91167134503188263</v>
      </c>
      <c r="J48" s="598" t="s">
        <v>1</v>
      </c>
    </row>
    <row r="49" spans="1:10" ht="14.4" customHeight="1" x14ac:dyDescent="0.3">
      <c r="A49" s="594" t="s">
        <v>552</v>
      </c>
      <c r="B49" s="595" t="s">
        <v>330</v>
      </c>
      <c r="C49" s="596">
        <v>1259.1330599999999</v>
      </c>
      <c r="D49" s="596">
        <v>1005.145360000001</v>
      </c>
      <c r="E49" s="596"/>
      <c r="F49" s="596">
        <v>1321.4516800000001</v>
      </c>
      <c r="G49" s="596">
        <v>1311.172049332524</v>
      </c>
      <c r="H49" s="596">
        <v>10.279630667476113</v>
      </c>
      <c r="I49" s="597">
        <v>1.007840031880415</v>
      </c>
      <c r="J49" s="598" t="s">
        <v>1</v>
      </c>
    </row>
    <row r="50" spans="1:10" ht="14.4" customHeight="1" x14ac:dyDescent="0.3">
      <c r="A50" s="594" t="s">
        <v>552</v>
      </c>
      <c r="B50" s="595" t="s">
        <v>331</v>
      </c>
      <c r="C50" s="596">
        <v>21.514979999998999</v>
      </c>
      <c r="D50" s="596">
        <v>21.826069999999998</v>
      </c>
      <c r="E50" s="596"/>
      <c r="F50" s="596">
        <v>22.423220000000001</v>
      </c>
      <c r="G50" s="596">
        <v>14.865721856532749</v>
      </c>
      <c r="H50" s="596">
        <v>7.5574981434672512</v>
      </c>
      <c r="I50" s="597">
        <v>1.5083842020188278</v>
      </c>
      <c r="J50" s="598" t="s">
        <v>1</v>
      </c>
    </row>
    <row r="51" spans="1:10" ht="14.4" customHeight="1" x14ac:dyDescent="0.3">
      <c r="A51" s="594" t="s">
        <v>552</v>
      </c>
      <c r="B51" s="595" t="s">
        <v>332</v>
      </c>
      <c r="C51" s="596">
        <v>4.6682699999989996</v>
      </c>
      <c r="D51" s="596">
        <v>2.6675499999999999</v>
      </c>
      <c r="E51" s="596"/>
      <c r="F51" s="596">
        <v>3.5248800000000005</v>
      </c>
      <c r="G51" s="596">
        <v>4.6666665196777508</v>
      </c>
      <c r="H51" s="596">
        <v>-1.1417865196777504</v>
      </c>
      <c r="I51" s="597">
        <v>0.75533145236257537</v>
      </c>
      <c r="J51" s="598" t="s">
        <v>1</v>
      </c>
    </row>
    <row r="52" spans="1:10" ht="14.4" customHeight="1" x14ac:dyDescent="0.3">
      <c r="A52" s="594" t="s">
        <v>552</v>
      </c>
      <c r="B52" s="595" t="s">
        <v>333</v>
      </c>
      <c r="C52" s="596">
        <v>3.510789999999</v>
      </c>
      <c r="D52" s="596">
        <v>2.6840000000000006</v>
      </c>
      <c r="E52" s="596"/>
      <c r="F52" s="596">
        <v>5.6105900000000011</v>
      </c>
      <c r="G52" s="596">
        <v>2.4606042064916664</v>
      </c>
      <c r="H52" s="596">
        <v>3.1499857935083346</v>
      </c>
      <c r="I52" s="597">
        <v>2.2801676048500257</v>
      </c>
      <c r="J52" s="598" t="s">
        <v>1</v>
      </c>
    </row>
    <row r="53" spans="1:10" ht="14.4" customHeight="1" x14ac:dyDescent="0.3">
      <c r="A53" s="594" t="s">
        <v>552</v>
      </c>
      <c r="B53" s="595" t="s">
        <v>334</v>
      </c>
      <c r="C53" s="596">
        <v>48.623999999999</v>
      </c>
      <c r="D53" s="596">
        <v>41.815200000000004</v>
      </c>
      <c r="E53" s="596"/>
      <c r="F53" s="596">
        <v>64.56844000000001</v>
      </c>
      <c r="G53" s="596">
        <v>43.39378027177375</v>
      </c>
      <c r="H53" s="596">
        <v>21.17465972822626</v>
      </c>
      <c r="I53" s="597">
        <v>1.4879653165870799</v>
      </c>
      <c r="J53" s="598" t="s">
        <v>1</v>
      </c>
    </row>
    <row r="54" spans="1:10" ht="14.4" customHeight="1" x14ac:dyDescent="0.3">
      <c r="A54" s="594" t="s">
        <v>552</v>
      </c>
      <c r="B54" s="595" t="s">
        <v>335</v>
      </c>
      <c r="C54" s="596">
        <v>60.669400000000003</v>
      </c>
      <c r="D54" s="596">
        <v>60.143059999999991</v>
      </c>
      <c r="E54" s="596"/>
      <c r="F54" s="596">
        <v>51.126519999999999</v>
      </c>
      <c r="G54" s="596">
        <v>46.083331881819753</v>
      </c>
      <c r="H54" s="596">
        <v>5.0431881181802467</v>
      </c>
      <c r="I54" s="597">
        <v>1.1094362736425711</v>
      </c>
      <c r="J54" s="598" t="s">
        <v>1</v>
      </c>
    </row>
    <row r="55" spans="1:10" ht="14.4" customHeight="1" x14ac:dyDescent="0.3">
      <c r="A55" s="594" t="s">
        <v>552</v>
      </c>
      <c r="B55" s="595" t="s">
        <v>336</v>
      </c>
      <c r="C55" s="596" t="s">
        <v>540</v>
      </c>
      <c r="D55" s="596" t="s">
        <v>540</v>
      </c>
      <c r="E55" s="596"/>
      <c r="F55" s="596">
        <v>189.16607000000002</v>
      </c>
      <c r="G55" s="596">
        <v>0</v>
      </c>
      <c r="H55" s="596">
        <v>189.16607000000002</v>
      </c>
      <c r="I55" s="597" t="s">
        <v>540</v>
      </c>
      <c r="J55" s="598" t="s">
        <v>1</v>
      </c>
    </row>
    <row r="56" spans="1:10" ht="14.4" customHeight="1" x14ac:dyDescent="0.3">
      <c r="A56" s="594" t="s">
        <v>552</v>
      </c>
      <c r="B56" s="595" t="s">
        <v>337</v>
      </c>
      <c r="C56" s="596">
        <v>0.21611</v>
      </c>
      <c r="D56" s="596">
        <v>0</v>
      </c>
      <c r="E56" s="596"/>
      <c r="F56" s="596" t="s">
        <v>540</v>
      </c>
      <c r="G56" s="596" t="s">
        <v>540</v>
      </c>
      <c r="H56" s="596" t="s">
        <v>540</v>
      </c>
      <c r="I56" s="597" t="s">
        <v>540</v>
      </c>
      <c r="J56" s="598" t="s">
        <v>1</v>
      </c>
    </row>
    <row r="57" spans="1:10" ht="14.4" customHeight="1" x14ac:dyDescent="0.3">
      <c r="A57" s="594" t="s">
        <v>552</v>
      </c>
      <c r="B57" s="595" t="s">
        <v>554</v>
      </c>
      <c r="C57" s="596">
        <v>1612.2732999999948</v>
      </c>
      <c r="D57" s="596">
        <v>1437.6262000000011</v>
      </c>
      <c r="E57" s="596"/>
      <c r="F57" s="596">
        <v>1940.8683900000001</v>
      </c>
      <c r="G57" s="596">
        <v>1714.8067351136608</v>
      </c>
      <c r="H57" s="596">
        <v>226.06165488633928</v>
      </c>
      <c r="I57" s="597">
        <v>1.1318292319812677</v>
      </c>
      <c r="J57" s="598" t="s">
        <v>547</v>
      </c>
    </row>
    <row r="58" spans="1:10" ht="14.4" customHeight="1" x14ac:dyDescent="0.3">
      <c r="A58" s="594" t="s">
        <v>540</v>
      </c>
      <c r="B58" s="595" t="s">
        <v>540</v>
      </c>
      <c r="C58" s="596" t="s">
        <v>540</v>
      </c>
      <c r="D58" s="596" t="s">
        <v>540</v>
      </c>
      <c r="E58" s="596"/>
      <c r="F58" s="596" t="s">
        <v>540</v>
      </c>
      <c r="G58" s="596" t="s">
        <v>540</v>
      </c>
      <c r="H58" s="596" t="s">
        <v>540</v>
      </c>
      <c r="I58" s="597" t="s">
        <v>540</v>
      </c>
      <c r="J58" s="598" t="s">
        <v>548</v>
      </c>
    </row>
    <row r="59" spans="1:10" ht="14.4" customHeight="1" x14ac:dyDescent="0.3">
      <c r="A59" s="594" t="s">
        <v>1282</v>
      </c>
      <c r="B59" s="595" t="s">
        <v>1283</v>
      </c>
      <c r="C59" s="596" t="s">
        <v>540</v>
      </c>
      <c r="D59" s="596" t="s">
        <v>540</v>
      </c>
      <c r="E59" s="596"/>
      <c r="F59" s="596" t="s">
        <v>540</v>
      </c>
      <c r="G59" s="596" t="s">
        <v>540</v>
      </c>
      <c r="H59" s="596" t="s">
        <v>540</v>
      </c>
      <c r="I59" s="597" t="s">
        <v>540</v>
      </c>
      <c r="J59" s="598" t="s">
        <v>0</v>
      </c>
    </row>
    <row r="60" spans="1:10" ht="14.4" customHeight="1" x14ac:dyDescent="0.3">
      <c r="A60" s="594" t="s">
        <v>1282</v>
      </c>
      <c r="B60" s="595" t="s">
        <v>330</v>
      </c>
      <c r="C60" s="596" t="s">
        <v>540</v>
      </c>
      <c r="D60" s="596" t="s">
        <v>540</v>
      </c>
      <c r="E60" s="596"/>
      <c r="F60" s="596">
        <v>0</v>
      </c>
      <c r="G60" s="596">
        <v>3.5</v>
      </c>
      <c r="H60" s="596">
        <v>-3.5</v>
      </c>
      <c r="I60" s="597">
        <v>0</v>
      </c>
      <c r="J60" s="598" t="s">
        <v>1</v>
      </c>
    </row>
    <row r="61" spans="1:10" ht="14.4" customHeight="1" x14ac:dyDescent="0.3">
      <c r="A61" s="594" t="s">
        <v>1282</v>
      </c>
      <c r="B61" s="595" t="s">
        <v>1284</v>
      </c>
      <c r="C61" s="596" t="s">
        <v>540</v>
      </c>
      <c r="D61" s="596" t="s">
        <v>540</v>
      </c>
      <c r="E61" s="596"/>
      <c r="F61" s="596">
        <v>0</v>
      </c>
      <c r="G61" s="596">
        <v>3.5</v>
      </c>
      <c r="H61" s="596">
        <v>-3.5</v>
      </c>
      <c r="I61" s="597">
        <v>0</v>
      </c>
      <c r="J61" s="598" t="s">
        <v>547</v>
      </c>
    </row>
    <row r="62" spans="1:10" ht="14.4" customHeight="1" x14ac:dyDescent="0.3">
      <c r="A62" s="594" t="s">
        <v>540</v>
      </c>
      <c r="B62" s="595" t="s">
        <v>540</v>
      </c>
      <c r="C62" s="596" t="s">
        <v>540</v>
      </c>
      <c r="D62" s="596" t="s">
        <v>540</v>
      </c>
      <c r="E62" s="596"/>
      <c r="F62" s="596" t="s">
        <v>540</v>
      </c>
      <c r="G62" s="596" t="s">
        <v>540</v>
      </c>
      <c r="H62" s="596" t="s">
        <v>540</v>
      </c>
      <c r="I62" s="597" t="s">
        <v>540</v>
      </c>
      <c r="J62" s="598" t="s">
        <v>548</v>
      </c>
    </row>
    <row r="63" spans="1:10" ht="14.4" customHeight="1" x14ac:dyDescent="0.3">
      <c r="A63" s="594" t="s">
        <v>538</v>
      </c>
      <c r="B63" s="595" t="s">
        <v>542</v>
      </c>
      <c r="C63" s="596">
        <v>1989.1375999999909</v>
      </c>
      <c r="D63" s="596">
        <v>2023.5475700000011</v>
      </c>
      <c r="E63" s="596"/>
      <c r="F63" s="596">
        <v>2853.5839299999998</v>
      </c>
      <c r="G63" s="596">
        <v>2541.8720144967797</v>
      </c>
      <c r="H63" s="596">
        <v>311.7119155032201</v>
      </c>
      <c r="I63" s="597">
        <v>1.1226308459770862</v>
      </c>
      <c r="J63" s="598" t="s">
        <v>543</v>
      </c>
    </row>
  </sheetData>
  <mergeCells count="3">
    <mergeCell ref="A1:I1"/>
    <mergeCell ref="F3:I3"/>
    <mergeCell ref="C4:D4"/>
  </mergeCells>
  <conditionalFormatting sqref="F19 F64:F65537">
    <cfRule type="cellIs" dxfId="37" priority="18" stopIfTrue="1" operator="greaterThan">
      <formula>1</formula>
    </cfRule>
  </conditionalFormatting>
  <conditionalFormatting sqref="H5:H18">
    <cfRule type="expression" dxfId="36" priority="14">
      <formula>$H5&gt;0</formula>
    </cfRule>
  </conditionalFormatting>
  <conditionalFormatting sqref="I5:I18">
    <cfRule type="expression" dxfId="35" priority="15">
      <formula>$I5&gt;1</formula>
    </cfRule>
  </conditionalFormatting>
  <conditionalFormatting sqref="B5:B18">
    <cfRule type="expression" dxfId="34" priority="11">
      <formula>OR($J5="NS",$J5="SumaNS",$J5="Účet")</formula>
    </cfRule>
  </conditionalFormatting>
  <conditionalFormatting sqref="F5:I18 B5:D18">
    <cfRule type="expression" dxfId="33" priority="17">
      <formula>AND($J5&lt;&gt;"",$J5&lt;&gt;"mezeraKL")</formula>
    </cfRule>
  </conditionalFormatting>
  <conditionalFormatting sqref="B5:D18 F5:I1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1" priority="13">
      <formula>OR($J5="SumaNS",$J5="NS")</formula>
    </cfRule>
  </conditionalFormatting>
  <conditionalFormatting sqref="A5:A18">
    <cfRule type="expression" dxfId="30" priority="9">
      <formula>AND($J5&lt;&gt;"mezeraKL",$J5&lt;&gt;"")</formula>
    </cfRule>
  </conditionalFormatting>
  <conditionalFormatting sqref="A5:A18">
    <cfRule type="expression" dxfId="29" priority="10">
      <formula>AND($J5&lt;&gt;"",$J5&lt;&gt;"mezeraKL")</formula>
    </cfRule>
  </conditionalFormatting>
  <conditionalFormatting sqref="H20:H63">
    <cfRule type="expression" dxfId="28" priority="5">
      <formula>$H20&gt;0</formula>
    </cfRule>
  </conditionalFormatting>
  <conditionalFormatting sqref="A20:A63">
    <cfRule type="expression" dxfId="27" priority="2">
      <formula>AND($J20&lt;&gt;"mezeraKL",$J20&lt;&gt;"")</formula>
    </cfRule>
  </conditionalFormatting>
  <conditionalFormatting sqref="I20:I63">
    <cfRule type="expression" dxfId="26" priority="6">
      <formula>$I20&gt;1</formula>
    </cfRule>
  </conditionalFormatting>
  <conditionalFormatting sqref="B20:B63">
    <cfRule type="expression" dxfId="25" priority="1">
      <formula>OR($J20="NS",$J20="SumaNS",$J20="Účet")</formula>
    </cfRule>
  </conditionalFormatting>
  <conditionalFormatting sqref="A20:D63 F20:I63">
    <cfRule type="expression" dxfId="24" priority="8">
      <formula>AND($J20&lt;&gt;"",$J20&lt;&gt;"mezeraKL")</formula>
    </cfRule>
  </conditionalFormatting>
  <conditionalFormatting sqref="B20:D63 F20:I63">
    <cfRule type="expression" dxfId="23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3 F20:I63">
    <cfRule type="expression" dxfId="22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12.44140625" style="320" hidden="1" customWidth="1" outlineLevel="1"/>
    <col min="8" max="8" width="25.77734375" style="320" customWidth="1" collapsed="1"/>
    <col min="9" max="9" width="7.77734375" style="318" customWidth="1"/>
    <col min="10" max="10" width="10" style="318" customWidth="1"/>
    <col min="11" max="11" width="11.109375" style="318" customWidth="1"/>
    <col min="12" max="16384" width="8.88671875" style="238"/>
  </cols>
  <sheetData>
    <row r="1" spans="1:11" ht="18.600000000000001" customHeight="1" thickBot="1" x14ac:dyDescent="0.4">
      <c r="A1" s="487" t="s">
        <v>1777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ht="14.4" customHeight="1" thickBot="1" x14ac:dyDescent="0.35">
      <c r="A2" s="360" t="s">
        <v>306</v>
      </c>
      <c r="B2" s="66"/>
      <c r="C2" s="322"/>
      <c r="D2" s="322"/>
      <c r="E2" s="322"/>
      <c r="F2" s="322"/>
      <c r="G2" s="322"/>
      <c r="H2" s="322"/>
      <c r="I2" s="323"/>
      <c r="J2" s="323"/>
      <c r="K2" s="323"/>
    </row>
    <row r="3" spans="1:11" ht="14.4" customHeight="1" thickBot="1" x14ac:dyDescent="0.35">
      <c r="A3" s="66"/>
      <c r="B3" s="66"/>
      <c r="C3" s="483"/>
      <c r="D3" s="484"/>
      <c r="E3" s="484"/>
      <c r="F3" s="484"/>
      <c r="G3" s="484"/>
      <c r="H3" s="251" t="s">
        <v>142</v>
      </c>
      <c r="I3" s="192">
        <f>IF(J3&lt;&gt;0,K3/J3,0)</f>
        <v>8.0553497887806849</v>
      </c>
      <c r="J3" s="192">
        <f>SUBTOTAL(9,J5:J1048576)</f>
        <v>354371</v>
      </c>
      <c r="K3" s="193">
        <f>SUBTOTAL(9,K5:K1048576)</f>
        <v>2854582.3600000003</v>
      </c>
    </row>
    <row r="4" spans="1:11" s="319" customFormat="1" ht="14.4" customHeight="1" thickBot="1" x14ac:dyDescent="0.3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77</v>
      </c>
      <c r="H4" s="601" t="s">
        <v>11</v>
      </c>
      <c r="I4" s="602" t="s">
        <v>165</v>
      </c>
      <c r="J4" s="602" t="s">
        <v>13</v>
      </c>
      <c r="K4" s="603" t="s">
        <v>176</v>
      </c>
    </row>
    <row r="5" spans="1:11" ht="14.4" customHeight="1" x14ac:dyDescent="0.3">
      <c r="A5" s="604" t="s">
        <v>538</v>
      </c>
      <c r="B5" s="605" t="s">
        <v>539</v>
      </c>
      <c r="C5" s="606" t="s">
        <v>544</v>
      </c>
      <c r="D5" s="607" t="s">
        <v>1192</v>
      </c>
      <c r="E5" s="606" t="s">
        <v>1757</v>
      </c>
      <c r="F5" s="607" t="s">
        <v>1758</v>
      </c>
      <c r="G5" s="606" t="s">
        <v>1285</v>
      </c>
      <c r="H5" s="606" t="s">
        <v>1286</v>
      </c>
      <c r="I5" s="608">
        <v>4.3</v>
      </c>
      <c r="J5" s="608">
        <v>24</v>
      </c>
      <c r="K5" s="609">
        <v>103.2</v>
      </c>
    </row>
    <row r="6" spans="1:11" ht="14.4" customHeight="1" x14ac:dyDescent="0.3">
      <c r="A6" s="610" t="s">
        <v>538</v>
      </c>
      <c r="B6" s="611" t="s">
        <v>539</v>
      </c>
      <c r="C6" s="612" t="s">
        <v>544</v>
      </c>
      <c r="D6" s="613" t="s">
        <v>1192</v>
      </c>
      <c r="E6" s="612" t="s">
        <v>1757</v>
      </c>
      <c r="F6" s="613" t="s">
        <v>1758</v>
      </c>
      <c r="G6" s="612" t="s">
        <v>1287</v>
      </c>
      <c r="H6" s="612" t="s">
        <v>1288</v>
      </c>
      <c r="I6" s="614">
        <v>9.9649999999999999</v>
      </c>
      <c r="J6" s="614">
        <v>4</v>
      </c>
      <c r="K6" s="615">
        <v>39.86</v>
      </c>
    </row>
    <row r="7" spans="1:11" ht="14.4" customHeight="1" x14ac:dyDescent="0.3">
      <c r="A7" s="610" t="s">
        <v>538</v>
      </c>
      <c r="B7" s="611" t="s">
        <v>539</v>
      </c>
      <c r="C7" s="612" t="s">
        <v>544</v>
      </c>
      <c r="D7" s="613" t="s">
        <v>1192</v>
      </c>
      <c r="E7" s="612" t="s">
        <v>1757</v>
      </c>
      <c r="F7" s="613" t="s">
        <v>1758</v>
      </c>
      <c r="G7" s="612" t="s">
        <v>1289</v>
      </c>
      <c r="H7" s="612" t="s">
        <v>1290</v>
      </c>
      <c r="I7" s="614">
        <v>0.42</v>
      </c>
      <c r="J7" s="614">
        <v>200</v>
      </c>
      <c r="K7" s="615">
        <v>84</v>
      </c>
    </row>
    <row r="8" spans="1:11" ht="14.4" customHeight="1" x14ac:dyDescent="0.3">
      <c r="A8" s="610" t="s">
        <v>538</v>
      </c>
      <c r="B8" s="611" t="s">
        <v>539</v>
      </c>
      <c r="C8" s="612" t="s">
        <v>544</v>
      </c>
      <c r="D8" s="613" t="s">
        <v>1192</v>
      </c>
      <c r="E8" s="612" t="s">
        <v>1757</v>
      </c>
      <c r="F8" s="613" t="s">
        <v>1758</v>
      </c>
      <c r="G8" s="612" t="s">
        <v>1291</v>
      </c>
      <c r="H8" s="612" t="s">
        <v>1292</v>
      </c>
      <c r="I8" s="614">
        <v>28.144285714285708</v>
      </c>
      <c r="J8" s="614">
        <v>20</v>
      </c>
      <c r="K8" s="615">
        <v>563.66999999999996</v>
      </c>
    </row>
    <row r="9" spans="1:11" ht="14.4" customHeight="1" x14ac:dyDescent="0.3">
      <c r="A9" s="610" t="s">
        <v>538</v>
      </c>
      <c r="B9" s="611" t="s">
        <v>539</v>
      </c>
      <c r="C9" s="612" t="s">
        <v>544</v>
      </c>
      <c r="D9" s="613" t="s">
        <v>1192</v>
      </c>
      <c r="E9" s="612" t="s">
        <v>1757</v>
      </c>
      <c r="F9" s="613" t="s">
        <v>1758</v>
      </c>
      <c r="G9" s="612" t="s">
        <v>1293</v>
      </c>
      <c r="H9" s="612" t="s">
        <v>1294</v>
      </c>
      <c r="I9" s="614">
        <v>1.4216666666666666</v>
      </c>
      <c r="J9" s="614">
        <v>3000</v>
      </c>
      <c r="K9" s="615">
        <v>4264.38</v>
      </c>
    </row>
    <row r="10" spans="1:11" ht="14.4" customHeight="1" x14ac:dyDescent="0.3">
      <c r="A10" s="610" t="s">
        <v>538</v>
      </c>
      <c r="B10" s="611" t="s">
        <v>539</v>
      </c>
      <c r="C10" s="612" t="s">
        <v>544</v>
      </c>
      <c r="D10" s="613" t="s">
        <v>1192</v>
      </c>
      <c r="E10" s="612" t="s">
        <v>1757</v>
      </c>
      <c r="F10" s="613" t="s">
        <v>1758</v>
      </c>
      <c r="G10" s="612" t="s">
        <v>1295</v>
      </c>
      <c r="H10" s="612" t="s">
        <v>1296</v>
      </c>
      <c r="I10" s="614">
        <v>0.14142857142857143</v>
      </c>
      <c r="J10" s="614">
        <v>3000</v>
      </c>
      <c r="K10" s="615">
        <v>423</v>
      </c>
    </row>
    <row r="11" spans="1:11" ht="14.4" customHeight="1" x14ac:dyDescent="0.3">
      <c r="A11" s="610" t="s">
        <v>538</v>
      </c>
      <c r="B11" s="611" t="s">
        <v>539</v>
      </c>
      <c r="C11" s="612" t="s">
        <v>544</v>
      </c>
      <c r="D11" s="613" t="s">
        <v>1192</v>
      </c>
      <c r="E11" s="612" t="s">
        <v>1757</v>
      </c>
      <c r="F11" s="613" t="s">
        <v>1758</v>
      </c>
      <c r="G11" s="612" t="s">
        <v>1297</v>
      </c>
      <c r="H11" s="612" t="s">
        <v>1298</v>
      </c>
      <c r="I11" s="614">
        <v>2.81</v>
      </c>
      <c r="J11" s="614">
        <v>100</v>
      </c>
      <c r="K11" s="615">
        <v>281</v>
      </c>
    </row>
    <row r="12" spans="1:11" ht="14.4" customHeight="1" x14ac:dyDescent="0.3">
      <c r="A12" s="610" t="s">
        <v>538</v>
      </c>
      <c r="B12" s="611" t="s">
        <v>539</v>
      </c>
      <c r="C12" s="612" t="s">
        <v>544</v>
      </c>
      <c r="D12" s="613" t="s">
        <v>1192</v>
      </c>
      <c r="E12" s="612" t="s">
        <v>1757</v>
      </c>
      <c r="F12" s="613" t="s">
        <v>1758</v>
      </c>
      <c r="G12" s="612" t="s">
        <v>1299</v>
      </c>
      <c r="H12" s="612" t="s">
        <v>1300</v>
      </c>
      <c r="I12" s="614">
        <v>0.30142857142857143</v>
      </c>
      <c r="J12" s="614">
        <v>3500</v>
      </c>
      <c r="K12" s="615">
        <v>1063.22</v>
      </c>
    </row>
    <row r="13" spans="1:11" ht="14.4" customHeight="1" x14ac:dyDescent="0.3">
      <c r="A13" s="610" t="s">
        <v>538</v>
      </c>
      <c r="B13" s="611" t="s">
        <v>539</v>
      </c>
      <c r="C13" s="612" t="s">
        <v>544</v>
      </c>
      <c r="D13" s="613" t="s">
        <v>1192</v>
      </c>
      <c r="E13" s="612" t="s">
        <v>1757</v>
      </c>
      <c r="F13" s="613" t="s">
        <v>1758</v>
      </c>
      <c r="G13" s="612" t="s">
        <v>1301</v>
      </c>
      <c r="H13" s="612" t="s">
        <v>1302</v>
      </c>
      <c r="I13" s="614">
        <v>0.3075</v>
      </c>
      <c r="J13" s="614">
        <v>24000</v>
      </c>
      <c r="K13" s="615">
        <v>7342.4400000000005</v>
      </c>
    </row>
    <row r="14" spans="1:11" ht="14.4" customHeight="1" x14ac:dyDescent="0.3">
      <c r="A14" s="610" t="s">
        <v>538</v>
      </c>
      <c r="B14" s="611" t="s">
        <v>539</v>
      </c>
      <c r="C14" s="612" t="s">
        <v>544</v>
      </c>
      <c r="D14" s="613" t="s">
        <v>1192</v>
      </c>
      <c r="E14" s="612" t="s">
        <v>1757</v>
      </c>
      <c r="F14" s="613" t="s">
        <v>1758</v>
      </c>
      <c r="G14" s="612" t="s">
        <v>1303</v>
      </c>
      <c r="H14" s="612" t="s">
        <v>1304</v>
      </c>
      <c r="I14" s="614">
        <v>0.31</v>
      </c>
      <c r="J14" s="614">
        <v>15</v>
      </c>
      <c r="K14" s="615">
        <v>4.6500000000000004</v>
      </c>
    </row>
    <row r="15" spans="1:11" ht="14.4" customHeight="1" x14ac:dyDescent="0.3">
      <c r="A15" s="610" t="s">
        <v>538</v>
      </c>
      <c r="B15" s="611" t="s">
        <v>539</v>
      </c>
      <c r="C15" s="612" t="s">
        <v>544</v>
      </c>
      <c r="D15" s="613" t="s">
        <v>1192</v>
      </c>
      <c r="E15" s="612" t="s">
        <v>1757</v>
      </c>
      <c r="F15" s="613" t="s">
        <v>1758</v>
      </c>
      <c r="G15" s="612" t="s">
        <v>1305</v>
      </c>
      <c r="H15" s="612" t="s">
        <v>1306</v>
      </c>
      <c r="I15" s="614">
        <v>8.2799999999999994</v>
      </c>
      <c r="J15" s="614">
        <v>2</v>
      </c>
      <c r="K15" s="615">
        <v>16.559999999999999</v>
      </c>
    </row>
    <row r="16" spans="1:11" ht="14.4" customHeight="1" x14ac:dyDescent="0.3">
      <c r="A16" s="610" t="s">
        <v>538</v>
      </c>
      <c r="B16" s="611" t="s">
        <v>539</v>
      </c>
      <c r="C16" s="612" t="s">
        <v>544</v>
      </c>
      <c r="D16" s="613" t="s">
        <v>1192</v>
      </c>
      <c r="E16" s="612" t="s">
        <v>1757</v>
      </c>
      <c r="F16" s="613" t="s">
        <v>1758</v>
      </c>
      <c r="G16" s="612" t="s">
        <v>1307</v>
      </c>
      <c r="H16" s="612" t="s">
        <v>1308</v>
      </c>
      <c r="I16" s="614">
        <v>5.919999999999999</v>
      </c>
      <c r="J16" s="614">
        <v>4</v>
      </c>
      <c r="K16" s="615">
        <v>23.68</v>
      </c>
    </row>
    <row r="17" spans="1:11" ht="14.4" customHeight="1" x14ac:dyDescent="0.3">
      <c r="A17" s="610" t="s">
        <v>538</v>
      </c>
      <c r="B17" s="611" t="s">
        <v>539</v>
      </c>
      <c r="C17" s="612" t="s">
        <v>544</v>
      </c>
      <c r="D17" s="613" t="s">
        <v>1192</v>
      </c>
      <c r="E17" s="612" t="s">
        <v>1757</v>
      </c>
      <c r="F17" s="613" t="s">
        <v>1758</v>
      </c>
      <c r="G17" s="612" t="s">
        <v>1309</v>
      </c>
      <c r="H17" s="612" t="s">
        <v>1310</v>
      </c>
      <c r="I17" s="614">
        <v>2.67</v>
      </c>
      <c r="J17" s="614">
        <v>12</v>
      </c>
      <c r="K17" s="615">
        <v>32.04</v>
      </c>
    </row>
    <row r="18" spans="1:11" ht="14.4" customHeight="1" x14ac:dyDescent="0.3">
      <c r="A18" s="610" t="s">
        <v>538</v>
      </c>
      <c r="B18" s="611" t="s">
        <v>539</v>
      </c>
      <c r="C18" s="612" t="s">
        <v>544</v>
      </c>
      <c r="D18" s="613" t="s">
        <v>1192</v>
      </c>
      <c r="E18" s="612" t="s">
        <v>1759</v>
      </c>
      <c r="F18" s="613" t="s">
        <v>1760</v>
      </c>
      <c r="G18" s="612" t="s">
        <v>1311</v>
      </c>
      <c r="H18" s="612" t="s">
        <v>1312</v>
      </c>
      <c r="I18" s="614">
        <v>15.93</v>
      </c>
      <c r="J18" s="614">
        <v>50</v>
      </c>
      <c r="K18" s="615">
        <v>796.5</v>
      </c>
    </row>
    <row r="19" spans="1:11" ht="14.4" customHeight="1" x14ac:dyDescent="0.3">
      <c r="A19" s="610" t="s">
        <v>538</v>
      </c>
      <c r="B19" s="611" t="s">
        <v>539</v>
      </c>
      <c r="C19" s="612" t="s">
        <v>544</v>
      </c>
      <c r="D19" s="613" t="s">
        <v>1192</v>
      </c>
      <c r="E19" s="612" t="s">
        <v>1759</v>
      </c>
      <c r="F19" s="613" t="s">
        <v>1760</v>
      </c>
      <c r="G19" s="612" t="s">
        <v>1313</v>
      </c>
      <c r="H19" s="612" t="s">
        <v>1314</v>
      </c>
      <c r="I19" s="614">
        <v>2.5199999999999996</v>
      </c>
      <c r="J19" s="614">
        <v>300</v>
      </c>
      <c r="K19" s="615">
        <v>757</v>
      </c>
    </row>
    <row r="20" spans="1:11" ht="14.4" customHeight="1" x14ac:dyDescent="0.3">
      <c r="A20" s="610" t="s">
        <v>538</v>
      </c>
      <c r="B20" s="611" t="s">
        <v>539</v>
      </c>
      <c r="C20" s="612" t="s">
        <v>544</v>
      </c>
      <c r="D20" s="613" t="s">
        <v>1192</v>
      </c>
      <c r="E20" s="612" t="s">
        <v>1759</v>
      </c>
      <c r="F20" s="613" t="s">
        <v>1760</v>
      </c>
      <c r="G20" s="612" t="s">
        <v>1315</v>
      </c>
      <c r="H20" s="612" t="s">
        <v>1316</v>
      </c>
      <c r="I20" s="614">
        <v>30.25</v>
      </c>
      <c r="J20" s="614">
        <v>100</v>
      </c>
      <c r="K20" s="615">
        <v>3025</v>
      </c>
    </row>
    <row r="21" spans="1:11" ht="14.4" customHeight="1" x14ac:dyDescent="0.3">
      <c r="A21" s="610" t="s">
        <v>538</v>
      </c>
      <c r="B21" s="611" t="s">
        <v>539</v>
      </c>
      <c r="C21" s="612" t="s">
        <v>544</v>
      </c>
      <c r="D21" s="613" t="s">
        <v>1192</v>
      </c>
      <c r="E21" s="612" t="s">
        <v>1759</v>
      </c>
      <c r="F21" s="613" t="s">
        <v>1760</v>
      </c>
      <c r="G21" s="612" t="s">
        <v>1317</v>
      </c>
      <c r="H21" s="612" t="s">
        <v>1318</v>
      </c>
      <c r="I21" s="614">
        <v>2.75</v>
      </c>
      <c r="J21" s="614">
        <v>100</v>
      </c>
      <c r="K21" s="615">
        <v>275</v>
      </c>
    </row>
    <row r="22" spans="1:11" ht="14.4" customHeight="1" x14ac:dyDescent="0.3">
      <c r="A22" s="610" t="s">
        <v>538</v>
      </c>
      <c r="B22" s="611" t="s">
        <v>539</v>
      </c>
      <c r="C22" s="612" t="s">
        <v>544</v>
      </c>
      <c r="D22" s="613" t="s">
        <v>1192</v>
      </c>
      <c r="E22" s="612" t="s">
        <v>1759</v>
      </c>
      <c r="F22" s="613" t="s">
        <v>1760</v>
      </c>
      <c r="G22" s="612" t="s">
        <v>1319</v>
      </c>
      <c r="H22" s="612" t="s">
        <v>1320</v>
      </c>
      <c r="I22" s="614">
        <v>4.1900000000000004</v>
      </c>
      <c r="J22" s="614">
        <v>50</v>
      </c>
      <c r="K22" s="615">
        <v>209.5</v>
      </c>
    </row>
    <row r="23" spans="1:11" ht="14.4" customHeight="1" x14ac:dyDescent="0.3">
      <c r="A23" s="610" t="s">
        <v>538</v>
      </c>
      <c r="B23" s="611" t="s">
        <v>539</v>
      </c>
      <c r="C23" s="612" t="s">
        <v>544</v>
      </c>
      <c r="D23" s="613" t="s">
        <v>1192</v>
      </c>
      <c r="E23" s="612" t="s">
        <v>1759</v>
      </c>
      <c r="F23" s="613" t="s">
        <v>1760</v>
      </c>
      <c r="G23" s="612" t="s">
        <v>1321</v>
      </c>
      <c r="H23" s="612" t="s">
        <v>1322</v>
      </c>
      <c r="I23" s="614">
        <v>1.092857142857143</v>
      </c>
      <c r="J23" s="614">
        <v>1600</v>
      </c>
      <c r="K23" s="615">
        <v>1748</v>
      </c>
    </row>
    <row r="24" spans="1:11" ht="14.4" customHeight="1" x14ac:dyDescent="0.3">
      <c r="A24" s="610" t="s">
        <v>538</v>
      </c>
      <c r="B24" s="611" t="s">
        <v>539</v>
      </c>
      <c r="C24" s="612" t="s">
        <v>544</v>
      </c>
      <c r="D24" s="613" t="s">
        <v>1192</v>
      </c>
      <c r="E24" s="612" t="s">
        <v>1759</v>
      </c>
      <c r="F24" s="613" t="s">
        <v>1760</v>
      </c>
      <c r="G24" s="612" t="s">
        <v>1323</v>
      </c>
      <c r="H24" s="612" t="s">
        <v>1324</v>
      </c>
      <c r="I24" s="614">
        <v>1.6714285714285713</v>
      </c>
      <c r="J24" s="614">
        <v>5000</v>
      </c>
      <c r="K24" s="615">
        <v>8358</v>
      </c>
    </row>
    <row r="25" spans="1:11" ht="14.4" customHeight="1" x14ac:dyDescent="0.3">
      <c r="A25" s="610" t="s">
        <v>538</v>
      </c>
      <c r="B25" s="611" t="s">
        <v>539</v>
      </c>
      <c r="C25" s="612" t="s">
        <v>544</v>
      </c>
      <c r="D25" s="613" t="s">
        <v>1192</v>
      </c>
      <c r="E25" s="612" t="s">
        <v>1759</v>
      </c>
      <c r="F25" s="613" t="s">
        <v>1760</v>
      </c>
      <c r="G25" s="612" t="s">
        <v>1325</v>
      </c>
      <c r="H25" s="612" t="s">
        <v>1326</v>
      </c>
      <c r="I25" s="614">
        <v>0.47749999999999998</v>
      </c>
      <c r="J25" s="614">
        <v>600</v>
      </c>
      <c r="K25" s="615">
        <v>287</v>
      </c>
    </row>
    <row r="26" spans="1:11" ht="14.4" customHeight="1" x14ac:dyDescent="0.3">
      <c r="A26" s="610" t="s">
        <v>538</v>
      </c>
      <c r="B26" s="611" t="s">
        <v>539</v>
      </c>
      <c r="C26" s="612" t="s">
        <v>544</v>
      </c>
      <c r="D26" s="613" t="s">
        <v>1192</v>
      </c>
      <c r="E26" s="612" t="s">
        <v>1759</v>
      </c>
      <c r="F26" s="613" t="s">
        <v>1760</v>
      </c>
      <c r="G26" s="612" t="s">
        <v>1327</v>
      </c>
      <c r="H26" s="612" t="s">
        <v>1328</v>
      </c>
      <c r="I26" s="614">
        <v>0.67</v>
      </c>
      <c r="J26" s="614">
        <v>1300</v>
      </c>
      <c r="K26" s="615">
        <v>871</v>
      </c>
    </row>
    <row r="27" spans="1:11" ht="14.4" customHeight="1" x14ac:dyDescent="0.3">
      <c r="A27" s="610" t="s">
        <v>538</v>
      </c>
      <c r="B27" s="611" t="s">
        <v>539</v>
      </c>
      <c r="C27" s="612" t="s">
        <v>544</v>
      </c>
      <c r="D27" s="613" t="s">
        <v>1192</v>
      </c>
      <c r="E27" s="612" t="s">
        <v>1759</v>
      </c>
      <c r="F27" s="613" t="s">
        <v>1760</v>
      </c>
      <c r="G27" s="612" t="s">
        <v>1329</v>
      </c>
      <c r="H27" s="612" t="s">
        <v>1330</v>
      </c>
      <c r="I27" s="614">
        <v>3.5650000000000008</v>
      </c>
      <c r="J27" s="614">
        <v>650</v>
      </c>
      <c r="K27" s="615">
        <v>2326.1</v>
      </c>
    </row>
    <row r="28" spans="1:11" ht="14.4" customHeight="1" x14ac:dyDescent="0.3">
      <c r="A28" s="610" t="s">
        <v>538</v>
      </c>
      <c r="B28" s="611" t="s">
        <v>539</v>
      </c>
      <c r="C28" s="612" t="s">
        <v>544</v>
      </c>
      <c r="D28" s="613" t="s">
        <v>1192</v>
      </c>
      <c r="E28" s="612" t="s">
        <v>1759</v>
      </c>
      <c r="F28" s="613" t="s">
        <v>1760</v>
      </c>
      <c r="G28" s="612" t="s">
        <v>1331</v>
      </c>
      <c r="H28" s="612" t="s">
        <v>1332</v>
      </c>
      <c r="I28" s="614">
        <v>2.46</v>
      </c>
      <c r="J28" s="614">
        <v>400</v>
      </c>
      <c r="K28" s="615">
        <v>984</v>
      </c>
    </row>
    <row r="29" spans="1:11" ht="14.4" customHeight="1" x14ac:dyDescent="0.3">
      <c r="A29" s="610" t="s">
        <v>538</v>
      </c>
      <c r="B29" s="611" t="s">
        <v>539</v>
      </c>
      <c r="C29" s="612" t="s">
        <v>544</v>
      </c>
      <c r="D29" s="613" t="s">
        <v>1192</v>
      </c>
      <c r="E29" s="612" t="s">
        <v>1759</v>
      </c>
      <c r="F29" s="613" t="s">
        <v>1760</v>
      </c>
      <c r="G29" s="612" t="s">
        <v>1333</v>
      </c>
      <c r="H29" s="612" t="s">
        <v>1334</v>
      </c>
      <c r="I29" s="614">
        <v>32.67</v>
      </c>
      <c r="J29" s="614">
        <v>50</v>
      </c>
      <c r="K29" s="615">
        <v>1633.5</v>
      </c>
    </row>
    <row r="30" spans="1:11" ht="14.4" customHeight="1" x14ac:dyDescent="0.3">
      <c r="A30" s="610" t="s">
        <v>538</v>
      </c>
      <c r="B30" s="611" t="s">
        <v>539</v>
      </c>
      <c r="C30" s="612" t="s">
        <v>544</v>
      </c>
      <c r="D30" s="613" t="s">
        <v>1192</v>
      </c>
      <c r="E30" s="612" t="s">
        <v>1759</v>
      </c>
      <c r="F30" s="613" t="s">
        <v>1760</v>
      </c>
      <c r="G30" s="612" t="s">
        <v>1335</v>
      </c>
      <c r="H30" s="612" t="s">
        <v>1336</v>
      </c>
      <c r="I30" s="614">
        <v>25.97</v>
      </c>
      <c r="J30" s="614">
        <v>80</v>
      </c>
      <c r="K30" s="615">
        <v>2077.6</v>
      </c>
    </row>
    <row r="31" spans="1:11" ht="14.4" customHeight="1" x14ac:dyDescent="0.3">
      <c r="A31" s="610" t="s">
        <v>538</v>
      </c>
      <c r="B31" s="611" t="s">
        <v>539</v>
      </c>
      <c r="C31" s="612" t="s">
        <v>544</v>
      </c>
      <c r="D31" s="613" t="s">
        <v>1192</v>
      </c>
      <c r="E31" s="612" t="s">
        <v>1759</v>
      </c>
      <c r="F31" s="613" t="s">
        <v>1760</v>
      </c>
      <c r="G31" s="612" t="s">
        <v>1337</v>
      </c>
      <c r="H31" s="612" t="s">
        <v>1338</v>
      </c>
      <c r="I31" s="614">
        <v>9.15</v>
      </c>
      <c r="J31" s="614">
        <v>100</v>
      </c>
      <c r="K31" s="615">
        <v>915</v>
      </c>
    </row>
    <row r="32" spans="1:11" ht="14.4" customHeight="1" x14ac:dyDescent="0.3">
      <c r="A32" s="610" t="s">
        <v>538</v>
      </c>
      <c r="B32" s="611" t="s">
        <v>539</v>
      </c>
      <c r="C32" s="612" t="s">
        <v>544</v>
      </c>
      <c r="D32" s="613" t="s">
        <v>1192</v>
      </c>
      <c r="E32" s="612" t="s">
        <v>1759</v>
      </c>
      <c r="F32" s="613" t="s">
        <v>1760</v>
      </c>
      <c r="G32" s="612" t="s">
        <v>1339</v>
      </c>
      <c r="H32" s="612" t="s">
        <v>1340</v>
      </c>
      <c r="I32" s="614">
        <v>5.41</v>
      </c>
      <c r="J32" s="614">
        <v>100</v>
      </c>
      <c r="K32" s="615">
        <v>541</v>
      </c>
    </row>
    <row r="33" spans="1:11" ht="14.4" customHeight="1" x14ac:dyDescent="0.3">
      <c r="A33" s="610" t="s">
        <v>538</v>
      </c>
      <c r="B33" s="611" t="s">
        <v>539</v>
      </c>
      <c r="C33" s="612" t="s">
        <v>544</v>
      </c>
      <c r="D33" s="613" t="s">
        <v>1192</v>
      </c>
      <c r="E33" s="612" t="s">
        <v>1759</v>
      </c>
      <c r="F33" s="613" t="s">
        <v>1760</v>
      </c>
      <c r="G33" s="612" t="s">
        <v>1341</v>
      </c>
      <c r="H33" s="612" t="s">
        <v>1342</v>
      </c>
      <c r="I33" s="614">
        <v>1326.2</v>
      </c>
      <c r="J33" s="614">
        <v>2</v>
      </c>
      <c r="K33" s="615">
        <v>2652.4</v>
      </c>
    </row>
    <row r="34" spans="1:11" ht="14.4" customHeight="1" x14ac:dyDescent="0.3">
      <c r="A34" s="610" t="s">
        <v>538</v>
      </c>
      <c r="B34" s="611" t="s">
        <v>539</v>
      </c>
      <c r="C34" s="612" t="s">
        <v>544</v>
      </c>
      <c r="D34" s="613" t="s">
        <v>1192</v>
      </c>
      <c r="E34" s="612" t="s">
        <v>1759</v>
      </c>
      <c r="F34" s="613" t="s">
        <v>1760</v>
      </c>
      <c r="G34" s="612" t="s">
        <v>1343</v>
      </c>
      <c r="H34" s="612" t="s">
        <v>1344</v>
      </c>
      <c r="I34" s="614">
        <v>58.784999999999997</v>
      </c>
      <c r="J34" s="614">
        <v>24</v>
      </c>
      <c r="K34" s="615">
        <v>1410.8400000000001</v>
      </c>
    </row>
    <row r="35" spans="1:11" ht="14.4" customHeight="1" x14ac:dyDescent="0.3">
      <c r="A35" s="610" t="s">
        <v>538</v>
      </c>
      <c r="B35" s="611" t="s">
        <v>539</v>
      </c>
      <c r="C35" s="612" t="s">
        <v>544</v>
      </c>
      <c r="D35" s="613" t="s">
        <v>1192</v>
      </c>
      <c r="E35" s="612" t="s">
        <v>1759</v>
      </c>
      <c r="F35" s="613" t="s">
        <v>1760</v>
      </c>
      <c r="G35" s="612" t="s">
        <v>1345</v>
      </c>
      <c r="H35" s="612" t="s">
        <v>1346</v>
      </c>
      <c r="I35" s="614">
        <v>2.06</v>
      </c>
      <c r="J35" s="614">
        <v>30</v>
      </c>
      <c r="K35" s="615">
        <v>61.8</v>
      </c>
    </row>
    <row r="36" spans="1:11" ht="14.4" customHeight="1" x14ac:dyDescent="0.3">
      <c r="A36" s="610" t="s">
        <v>538</v>
      </c>
      <c r="B36" s="611" t="s">
        <v>539</v>
      </c>
      <c r="C36" s="612" t="s">
        <v>544</v>
      </c>
      <c r="D36" s="613" t="s">
        <v>1192</v>
      </c>
      <c r="E36" s="612" t="s">
        <v>1759</v>
      </c>
      <c r="F36" s="613" t="s">
        <v>1760</v>
      </c>
      <c r="G36" s="612" t="s">
        <v>1347</v>
      </c>
      <c r="H36" s="612" t="s">
        <v>1348</v>
      </c>
      <c r="I36" s="614">
        <v>2.4600000000000004</v>
      </c>
      <c r="J36" s="614">
        <v>2800</v>
      </c>
      <c r="K36" s="615">
        <v>6889.8099999999995</v>
      </c>
    </row>
    <row r="37" spans="1:11" ht="14.4" customHeight="1" x14ac:dyDescent="0.3">
      <c r="A37" s="610" t="s">
        <v>538</v>
      </c>
      <c r="B37" s="611" t="s">
        <v>539</v>
      </c>
      <c r="C37" s="612" t="s">
        <v>544</v>
      </c>
      <c r="D37" s="613" t="s">
        <v>1192</v>
      </c>
      <c r="E37" s="612" t="s">
        <v>1759</v>
      </c>
      <c r="F37" s="613" t="s">
        <v>1760</v>
      </c>
      <c r="G37" s="612" t="s">
        <v>1349</v>
      </c>
      <c r="H37" s="612" t="s">
        <v>1350</v>
      </c>
      <c r="I37" s="614">
        <v>4.6475</v>
      </c>
      <c r="J37" s="614">
        <v>240</v>
      </c>
      <c r="K37" s="615">
        <v>1115.3</v>
      </c>
    </row>
    <row r="38" spans="1:11" ht="14.4" customHeight="1" x14ac:dyDescent="0.3">
      <c r="A38" s="610" t="s">
        <v>538</v>
      </c>
      <c r="B38" s="611" t="s">
        <v>539</v>
      </c>
      <c r="C38" s="612" t="s">
        <v>544</v>
      </c>
      <c r="D38" s="613" t="s">
        <v>1192</v>
      </c>
      <c r="E38" s="612" t="s">
        <v>1759</v>
      </c>
      <c r="F38" s="613" t="s">
        <v>1760</v>
      </c>
      <c r="G38" s="612" t="s">
        <v>1351</v>
      </c>
      <c r="H38" s="612" t="s">
        <v>1352</v>
      </c>
      <c r="I38" s="614">
        <v>17.98</v>
      </c>
      <c r="J38" s="614">
        <v>50</v>
      </c>
      <c r="K38" s="615">
        <v>899</v>
      </c>
    </row>
    <row r="39" spans="1:11" ht="14.4" customHeight="1" x14ac:dyDescent="0.3">
      <c r="A39" s="610" t="s">
        <v>538</v>
      </c>
      <c r="B39" s="611" t="s">
        <v>539</v>
      </c>
      <c r="C39" s="612" t="s">
        <v>544</v>
      </c>
      <c r="D39" s="613" t="s">
        <v>1192</v>
      </c>
      <c r="E39" s="612" t="s">
        <v>1759</v>
      </c>
      <c r="F39" s="613" t="s">
        <v>1760</v>
      </c>
      <c r="G39" s="612" t="s">
        <v>1353</v>
      </c>
      <c r="H39" s="612" t="s">
        <v>1354</v>
      </c>
      <c r="I39" s="614">
        <v>12.105714285714285</v>
      </c>
      <c r="J39" s="614">
        <v>420</v>
      </c>
      <c r="K39" s="615">
        <v>5084.4000000000005</v>
      </c>
    </row>
    <row r="40" spans="1:11" ht="14.4" customHeight="1" x14ac:dyDescent="0.3">
      <c r="A40" s="610" t="s">
        <v>538</v>
      </c>
      <c r="B40" s="611" t="s">
        <v>539</v>
      </c>
      <c r="C40" s="612" t="s">
        <v>544</v>
      </c>
      <c r="D40" s="613" t="s">
        <v>1192</v>
      </c>
      <c r="E40" s="612" t="s">
        <v>1759</v>
      </c>
      <c r="F40" s="613" t="s">
        <v>1760</v>
      </c>
      <c r="G40" s="612" t="s">
        <v>1355</v>
      </c>
      <c r="H40" s="612" t="s">
        <v>1356</v>
      </c>
      <c r="I40" s="614">
        <v>2.5099999999999998</v>
      </c>
      <c r="J40" s="614">
        <v>50</v>
      </c>
      <c r="K40" s="615">
        <v>125.5</v>
      </c>
    </row>
    <row r="41" spans="1:11" ht="14.4" customHeight="1" x14ac:dyDescent="0.3">
      <c r="A41" s="610" t="s">
        <v>538</v>
      </c>
      <c r="B41" s="611" t="s">
        <v>539</v>
      </c>
      <c r="C41" s="612" t="s">
        <v>544</v>
      </c>
      <c r="D41" s="613" t="s">
        <v>1192</v>
      </c>
      <c r="E41" s="612" t="s">
        <v>1759</v>
      </c>
      <c r="F41" s="613" t="s">
        <v>1760</v>
      </c>
      <c r="G41" s="612" t="s">
        <v>1357</v>
      </c>
      <c r="H41" s="612" t="s">
        <v>1358</v>
      </c>
      <c r="I41" s="614">
        <v>1.27</v>
      </c>
      <c r="J41" s="614">
        <v>75</v>
      </c>
      <c r="K41" s="615">
        <v>95.25</v>
      </c>
    </row>
    <row r="42" spans="1:11" ht="14.4" customHeight="1" x14ac:dyDescent="0.3">
      <c r="A42" s="610" t="s">
        <v>538</v>
      </c>
      <c r="B42" s="611" t="s">
        <v>539</v>
      </c>
      <c r="C42" s="612" t="s">
        <v>544</v>
      </c>
      <c r="D42" s="613" t="s">
        <v>1192</v>
      </c>
      <c r="E42" s="612" t="s">
        <v>1759</v>
      </c>
      <c r="F42" s="613" t="s">
        <v>1760</v>
      </c>
      <c r="G42" s="612" t="s">
        <v>1359</v>
      </c>
      <c r="H42" s="612" t="s">
        <v>1360</v>
      </c>
      <c r="I42" s="614">
        <v>21.24</v>
      </c>
      <c r="J42" s="614">
        <v>100</v>
      </c>
      <c r="K42" s="615">
        <v>2123.9499999999998</v>
      </c>
    </row>
    <row r="43" spans="1:11" ht="14.4" customHeight="1" x14ac:dyDescent="0.3">
      <c r="A43" s="610" t="s">
        <v>538</v>
      </c>
      <c r="B43" s="611" t="s">
        <v>539</v>
      </c>
      <c r="C43" s="612" t="s">
        <v>544</v>
      </c>
      <c r="D43" s="613" t="s">
        <v>1192</v>
      </c>
      <c r="E43" s="612" t="s">
        <v>1759</v>
      </c>
      <c r="F43" s="613" t="s">
        <v>1760</v>
      </c>
      <c r="G43" s="612" t="s">
        <v>1361</v>
      </c>
      <c r="H43" s="612" t="s">
        <v>1362</v>
      </c>
      <c r="I43" s="614">
        <v>3.14</v>
      </c>
      <c r="J43" s="614">
        <v>100</v>
      </c>
      <c r="K43" s="615">
        <v>314.07</v>
      </c>
    </row>
    <row r="44" spans="1:11" ht="14.4" customHeight="1" x14ac:dyDescent="0.3">
      <c r="A44" s="610" t="s">
        <v>538</v>
      </c>
      <c r="B44" s="611" t="s">
        <v>539</v>
      </c>
      <c r="C44" s="612" t="s">
        <v>544</v>
      </c>
      <c r="D44" s="613" t="s">
        <v>1192</v>
      </c>
      <c r="E44" s="612" t="s">
        <v>1759</v>
      </c>
      <c r="F44" s="613" t="s">
        <v>1760</v>
      </c>
      <c r="G44" s="612" t="s">
        <v>1363</v>
      </c>
      <c r="H44" s="612" t="s">
        <v>1364</v>
      </c>
      <c r="I44" s="614">
        <v>12.1</v>
      </c>
      <c r="J44" s="614">
        <v>30</v>
      </c>
      <c r="K44" s="615">
        <v>363</v>
      </c>
    </row>
    <row r="45" spans="1:11" ht="14.4" customHeight="1" x14ac:dyDescent="0.3">
      <c r="A45" s="610" t="s">
        <v>538</v>
      </c>
      <c r="B45" s="611" t="s">
        <v>539</v>
      </c>
      <c r="C45" s="612" t="s">
        <v>544</v>
      </c>
      <c r="D45" s="613" t="s">
        <v>1192</v>
      </c>
      <c r="E45" s="612" t="s">
        <v>1759</v>
      </c>
      <c r="F45" s="613" t="s">
        <v>1760</v>
      </c>
      <c r="G45" s="612" t="s">
        <v>1365</v>
      </c>
      <c r="H45" s="612" t="s">
        <v>1366</v>
      </c>
      <c r="I45" s="614">
        <v>9.2000000000000011</v>
      </c>
      <c r="J45" s="614">
        <v>1300</v>
      </c>
      <c r="K45" s="615">
        <v>11960</v>
      </c>
    </row>
    <row r="46" spans="1:11" ht="14.4" customHeight="1" x14ac:dyDescent="0.3">
      <c r="A46" s="610" t="s">
        <v>538</v>
      </c>
      <c r="B46" s="611" t="s">
        <v>539</v>
      </c>
      <c r="C46" s="612" t="s">
        <v>544</v>
      </c>
      <c r="D46" s="613" t="s">
        <v>1192</v>
      </c>
      <c r="E46" s="612" t="s">
        <v>1759</v>
      </c>
      <c r="F46" s="613" t="s">
        <v>1760</v>
      </c>
      <c r="G46" s="612" t="s">
        <v>1367</v>
      </c>
      <c r="H46" s="612" t="s">
        <v>1368</v>
      </c>
      <c r="I46" s="614">
        <v>172.5</v>
      </c>
      <c r="J46" s="614">
        <v>2</v>
      </c>
      <c r="K46" s="615">
        <v>345</v>
      </c>
    </row>
    <row r="47" spans="1:11" ht="14.4" customHeight="1" x14ac:dyDescent="0.3">
      <c r="A47" s="610" t="s">
        <v>538</v>
      </c>
      <c r="B47" s="611" t="s">
        <v>539</v>
      </c>
      <c r="C47" s="612" t="s">
        <v>544</v>
      </c>
      <c r="D47" s="613" t="s">
        <v>1192</v>
      </c>
      <c r="E47" s="612" t="s">
        <v>1759</v>
      </c>
      <c r="F47" s="613" t="s">
        <v>1760</v>
      </c>
      <c r="G47" s="612" t="s">
        <v>1369</v>
      </c>
      <c r="H47" s="612" t="s">
        <v>1370</v>
      </c>
      <c r="I47" s="614">
        <v>403.77857142857141</v>
      </c>
      <c r="J47" s="614">
        <v>130</v>
      </c>
      <c r="K47" s="615">
        <v>52491.12999999999</v>
      </c>
    </row>
    <row r="48" spans="1:11" ht="14.4" customHeight="1" x14ac:dyDescent="0.3">
      <c r="A48" s="610" t="s">
        <v>538</v>
      </c>
      <c r="B48" s="611" t="s">
        <v>539</v>
      </c>
      <c r="C48" s="612" t="s">
        <v>544</v>
      </c>
      <c r="D48" s="613" t="s">
        <v>1192</v>
      </c>
      <c r="E48" s="612" t="s">
        <v>1759</v>
      </c>
      <c r="F48" s="613" t="s">
        <v>1760</v>
      </c>
      <c r="G48" s="612" t="s">
        <v>1371</v>
      </c>
      <c r="H48" s="612" t="s">
        <v>1372</v>
      </c>
      <c r="I48" s="614">
        <v>17.059999999999999</v>
      </c>
      <c r="J48" s="614">
        <v>10</v>
      </c>
      <c r="K48" s="615">
        <v>170.61</v>
      </c>
    </row>
    <row r="49" spans="1:11" ht="14.4" customHeight="1" x14ac:dyDescent="0.3">
      <c r="A49" s="610" t="s">
        <v>538</v>
      </c>
      <c r="B49" s="611" t="s">
        <v>539</v>
      </c>
      <c r="C49" s="612" t="s">
        <v>544</v>
      </c>
      <c r="D49" s="613" t="s">
        <v>1192</v>
      </c>
      <c r="E49" s="612" t="s">
        <v>1759</v>
      </c>
      <c r="F49" s="613" t="s">
        <v>1760</v>
      </c>
      <c r="G49" s="612" t="s">
        <v>1373</v>
      </c>
      <c r="H49" s="612" t="s">
        <v>1374</v>
      </c>
      <c r="I49" s="614">
        <v>5.81</v>
      </c>
      <c r="J49" s="614">
        <v>80</v>
      </c>
      <c r="K49" s="615">
        <v>464.64</v>
      </c>
    </row>
    <row r="50" spans="1:11" ht="14.4" customHeight="1" x14ac:dyDescent="0.3">
      <c r="A50" s="610" t="s">
        <v>538</v>
      </c>
      <c r="B50" s="611" t="s">
        <v>539</v>
      </c>
      <c r="C50" s="612" t="s">
        <v>544</v>
      </c>
      <c r="D50" s="613" t="s">
        <v>1192</v>
      </c>
      <c r="E50" s="612" t="s">
        <v>1759</v>
      </c>
      <c r="F50" s="613" t="s">
        <v>1760</v>
      </c>
      <c r="G50" s="612" t="s">
        <v>1375</v>
      </c>
      <c r="H50" s="612" t="s">
        <v>1376</v>
      </c>
      <c r="I50" s="614">
        <v>294.04000000000002</v>
      </c>
      <c r="J50" s="614">
        <v>15</v>
      </c>
      <c r="K50" s="615">
        <v>4410.55</v>
      </c>
    </row>
    <row r="51" spans="1:11" ht="14.4" customHeight="1" x14ac:dyDescent="0.3">
      <c r="A51" s="610" t="s">
        <v>538</v>
      </c>
      <c r="B51" s="611" t="s">
        <v>539</v>
      </c>
      <c r="C51" s="612" t="s">
        <v>544</v>
      </c>
      <c r="D51" s="613" t="s">
        <v>1192</v>
      </c>
      <c r="E51" s="612" t="s">
        <v>1759</v>
      </c>
      <c r="F51" s="613" t="s">
        <v>1760</v>
      </c>
      <c r="G51" s="612" t="s">
        <v>1377</v>
      </c>
      <c r="H51" s="612" t="s">
        <v>1378</v>
      </c>
      <c r="I51" s="614">
        <v>105.94</v>
      </c>
      <c r="J51" s="614">
        <v>16</v>
      </c>
      <c r="K51" s="615">
        <v>1695</v>
      </c>
    </row>
    <row r="52" spans="1:11" ht="14.4" customHeight="1" x14ac:dyDescent="0.3">
      <c r="A52" s="610" t="s">
        <v>538</v>
      </c>
      <c r="B52" s="611" t="s">
        <v>539</v>
      </c>
      <c r="C52" s="612" t="s">
        <v>544</v>
      </c>
      <c r="D52" s="613" t="s">
        <v>1192</v>
      </c>
      <c r="E52" s="612" t="s">
        <v>1759</v>
      </c>
      <c r="F52" s="613" t="s">
        <v>1760</v>
      </c>
      <c r="G52" s="612" t="s">
        <v>1379</v>
      </c>
      <c r="H52" s="612" t="s">
        <v>1380</v>
      </c>
      <c r="I52" s="614">
        <v>350.9</v>
      </c>
      <c r="J52" s="614">
        <v>2</v>
      </c>
      <c r="K52" s="615">
        <v>701.8</v>
      </c>
    </row>
    <row r="53" spans="1:11" ht="14.4" customHeight="1" x14ac:dyDescent="0.3">
      <c r="A53" s="610" t="s">
        <v>538</v>
      </c>
      <c r="B53" s="611" t="s">
        <v>539</v>
      </c>
      <c r="C53" s="612" t="s">
        <v>544</v>
      </c>
      <c r="D53" s="613" t="s">
        <v>1192</v>
      </c>
      <c r="E53" s="612" t="s">
        <v>1759</v>
      </c>
      <c r="F53" s="613" t="s">
        <v>1760</v>
      </c>
      <c r="G53" s="612" t="s">
        <v>1381</v>
      </c>
      <c r="H53" s="612" t="s">
        <v>1382</v>
      </c>
      <c r="I53" s="614">
        <v>14.31</v>
      </c>
      <c r="J53" s="614">
        <v>20</v>
      </c>
      <c r="K53" s="615">
        <v>286.12</v>
      </c>
    </row>
    <row r="54" spans="1:11" ht="14.4" customHeight="1" x14ac:dyDescent="0.3">
      <c r="A54" s="610" t="s">
        <v>538</v>
      </c>
      <c r="B54" s="611" t="s">
        <v>539</v>
      </c>
      <c r="C54" s="612" t="s">
        <v>544</v>
      </c>
      <c r="D54" s="613" t="s">
        <v>1192</v>
      </c>
      <c r="E54" s="612" t="s">
        <v>1759</v>
      </c>
      <c r="F54" s="613" t="s">
        <v>1760</v>
      </c>
      <c r="G54" s="612" t="s">
        <v>1383</v>
      </c>
      <c r="H54" s="612" t="s">
        <v>1384</v>
      </c>
      <c r="I54" s="614">
        <v>196</v>
      </c>
      <c r="J54" s="614">
        <v>2</v>
      </c>
      <c r="K54" s="615">
        <v>392</v>
      </c>
    </row>
    <row r="55" spans="1:11" ht="14.4" customHeight="1" x14ac:dyDescent="0.3">
      <c r="A55" s="610" t="s">
        <v>538</v>
      </c>
      <c r="B55" s="611" t="s">
        <v>539</v>
      </c>
      <c r="C55" s="612" t="s">
        <v>544</v>
      </c>
      <c r="D55" s="613" t="s">
        <v>1192</v>
      </c>
      <c r="E55" s="612" t="s">
        <v>1759</v>
      </c>
      <c r="F55" s="613" t="s">
        <v>1760</v>
      </c>
      <c r="G55" s="612" t="s">
        <v>1385</v>
      </c>
      <c r="H55" s="612" t="s">
        <v>1386</v>
      </c>
      <c r="I55" s="614">
        <v>87.545000000000002</v>
      </c>
      <c r="J55" s="614">
        <v>20</v>
      </c>
      <c r="K55" s="615">
        <v>1750.88</v>
      </c>
    </row>
    <row r="56" spans="1:11" ht="14.4" customHeight="1" x14ac:dyDescent="0.3">
      <c r="A56" s="610" t="s">
        <v>538</v>
      </c>
      <c r="B56" s="611" t="s">
        <v>539</v>
      </c>
      <c r="C56" s="612" t="s">
        <v>544</v>
      </c>
      <c r="D56" s="613" t="s">
        <v>1192</v>
      </c>
      <c r="E56" s="612" t="s">
        <v>1759</v>
      </c>
      <c r="F56" s="613" t="s">
        <v>1760</v>
      </c>
      <c r="G56" s="612" t="s">
        <v>1387</v>
      </c>
      <c r="H56" s="612" t="s">
        <v>1388</v>
      </c>
      <c r="I56" s="614">
        <v>1.1200000000000001</v>
      </c>
      <c r="J56" s="614">
        <v>400</v>
      </c>
      <c r="K56" s="615">
        <v>448</v>
      </c>
    </row>
    <row r="57" spans="1:11" ht="14.4" customHeight="1" x14ac:dyDescent="0.3">
      <c r="A57" s="610" t="s">
        <v>538</v>
      </c>
      <c r="B57" s="611" t="s">
        <v>539</v>
      </c>
      <c r="C57" s="612" t="s">
        <v>544</v>
      </c>
      <c r="D57" s="613" t="s">
        <v>1192</v>
      </c>
      <c r="E57" s="612" t="s">
        <v>1759</v>
      </c>
      <c r="F57" s="613" t="s">
        <v>1760</v>
      </c>
      <c r="G57" s="612" t="s">
        <v>1389</v>
      </c>
      <c r="H57" s="612" t="s">
        <v>1390</v>
      </c>
      <c r="I57" s="614">
        <v>209.94</v>
      </c>
      <c r="J57" s="614">
        <v>10</v>
      </c>
      <c r="K57" s="615">
        <v>2099.35</v>
      </c>
    </row>
    <row r="58" spans="1:11" ht="14.4" customHeight="1" x14ac:dyDescent="0.3">
      <c r="A58" s="610" t="s">
        <v>538</v>
      </c>
      <c r="B58" s="611" t="s">
        <v>539</v>
      </c>
      <c r="C58" s="612" t="s">
        <v>544</v>
      </c>
      <c r="D58" s="613" t="s">
        <v>1192</v>
      </c>
      <c r="E58" s="612" t="s">
        <v>1759</v>
      </c>
      <c r="F58" s="613" t="s">
        <v>1760</v>
      </c>
      <c r="G58" s="612" t="s">
        <v>1391</v>
      </c>
      <c r="H58" s="612" t="s">
        <v>1392</v>
      </c>
      <c r="I58" s="614">
        <v>63</v>
      </c>
      <c r="J58" s="614">
        <v>1</v>
      </c>
      <c r="K58" s="615">
        <v>63</v>
      </c>
    </row>
    <row r="59" spans="1:11" ht="14.4" customHeight="1" x14ac:dyDescent="0.3">
      <c r="A59" s="610" t="s">
        <v>538</v>
      </c>
      <c r="B59" s="611" t="s">
        <v>539</v>
      </c>
      <c r="C59" s="612" t="s">
        <v>544</v>
      </c>
      <c r="D59" s="613" t="s">
        <v>1192</v>
      </c>
      <c r="E59" s="612" t="s">
        <v>1759</v>
      </c>
      <c r="F59" s="613" t="s">
        <v>1760</v>
      </c>
      <c r="G59" s="612" t="s">
        <v>1393</v>
      </c>
      <c r="H59" s="612" t="s">
        <v>1394</v>
      </c>
      <c r="I59" s="614">
        <v>27.83</v>
      </c>
      <c r="J59" s="614">
        <v>10</v>
      </c>
      <c r="K59" s="615">
        <v>278.3</v>
      </c>
    </row>
    <row r="60" spans="1:11" ht="14.4" customHeight="1" x14ac:dyDescent="0.3">
      <c r="A60" s="610" t="s">
        <v>538</v>
      </c>
      <c r="B60" s="611" t="s">
        <v>539</v>
      </c>
      <c r="C60" s="612" t="s">
        <v>544</v>
      </c>
      <c r="D60" s="613" t="s">
        <v>1192</v>
      </c>
      <c r="E60" s="612" t="s">
        <v>1759</v>
      </c>
      <c r="F60" s="613" t="s">
        <v>1760</v>
      </c>
      <c r="G60" s="612" t="s">
        <v>1395</v>
      </c>
      <c r="H60" s="612" t="s">
        <v>1396</v>
      </c>
      <c r="I60" s="614">
        <v>9.0500000000000007</v>
      </c>
      <c r="J60" s="614">
        <v>40</v>
      </c>
      <c r="K60" s="615">
        <v>362</v>
      </c>
    </row>
    <row r="61" spans="1:11" ht="14.4" customHeight="1" x14ac:dyDescent="0.3">
      <c r="A61" s="610" t="s">
        <v>538</v>
      </c>
      <c r="B61" s="611" t="s">
        <v>539</v>
      </c>
      <c r="C61" s="612" t="s">
        <v>544</v>
      </c>
      <c r="D61" s="613" t="s">
        <v>1192</v>
      </c>
      <c r="E61" s="612" t="s">
        <v>1759</v>
      </c>
      <c r="F61" s="613" t="s">
        <v>1760</v>
      </c>
      <c r="G61" s="612" t="s">
        <v>1397</v>
      </c>
      <c r="H61" s="612" t="s">
        <v>1398</v>
      </c>
      <c r="I61" s="614">
        <v>114</v>
      </c>
      <c r="J61" s="614">
        <v>1</v>
      </c>
      <c r="K61" s="615">
        <v>114</v>
      </c>
    </row>
    <row r="62" spans="1:11" ht="14.4" customHeight="1" x14ac:dyDescent="0.3">
      <c r="A62" s="610" t="s">
        <v>538</v>
      </c>
      <c r="B62" s="611" t="s">
        <v>539</v>
      </c>
      <c r="C62" s="612" t="s">
        <v>544</v>
      </c>
      <c r="D62" s="613" t="s">
        <v>1192</v>
      </c>
      <c r="E62" s="612" t="s">
        <v>1759</v>
      </c>
      <c r="F62" s="613" t="s">
        <v>1760</v>
      </c>
      <c r="G62" s="612" t="s">
        <v>1399</v>
      </c>
      <c r="H62" s="612" t="s">
        <v>1400</v>
      </c>
      <c r="I62" s="614">
        <v>436.8</v>
      </c>
      <c r="J62" s="614">
        <v>2</v>
      </c>
      <c r="K62" s="615">
        <v>873.6</v>
      </c>
    </row>
    <row r="63" spans="1:11" ht="14.4" customHeight="1" x14ac:dyDescent="0.3">
      <c r="A63" s="610" t="s">
        <v>538</v>
      </c>
      <c r="B63" s="611" t="s">
        <v>539</v>
      </c>
      <c r="C63" s="612" t="s">
        <v>544</v>
      </c>
      <c r="D63" s="613" t="s">
        <v>1192</v>
      </c>
      <c r="E63" s="612" t="s">
        <v>1759</v>
      </c>
      <c r="F63" s="613" t="s">
        <v>1760</v>
      </c>
      <c r="G63" s="612" t="s">
        <v>1401</v>
      </c>
      <c r="H63" s="612" t="s">
        <v>1402</v>
      </c>
      <c r="I63" s="614">
        <v>134.86000000000001</v>
      </c>
      <c r="J63" s="614">
        <v>60</v>
      </c>
      <c r="K63" s="615">
        <v>8091.63</v>
      </c>
    </row>
    <row r="64" spans="1:11" ht="14.4" customHeight="1" x14ac:dyDescent="0.3">
      <c r="A64" s="610" t="s">
        <v>538</v>
      </c>
      <c r="B64" s="611" t="s">
        <v>539</v>
      </c>
      <c r="C64" s="612" t="s">
        <v>544</v>
      </c>
      <c r="D64" s="613" t="s">
        <v>1192</v>
      </c>
      <c r="E64" s="612" t="s">
        <v>1759</v>
      </c>
      <c r="F64" s="613" t="s">
        <v>1760</v>
      </c>
      <c r="G64" s="612" t="s">
        <v>1403</v>
      </c>
      <c r="H64" s="612" t="s">
        <v>1404</v>
      </c>
      <c r="I64" s="614">
        <v>1.05</v>
      </c>
      <c r="J64" s="614">
        <v>700</v>
      </c>
      <c r="K64" s="615">
        <v>735</v>
      </c>
    </row>
    <row r="65" spans="1:11" ht="14.4" customHeight="1" x14ac:dyDescent="0.3">
      <c r="A65" s="610" t="s">
        <v>538</v>
      </c>
      <c r="B65" s="611" t="s">
        <v>539</v>
      </c>
      <c r="C65" s="612" t="s">
        <v>544</v>
      </c>
      <c r="D65" s="613" t="s">
        <v>1192</v>
      </c>
      <c r="E65" s="612" t="s">
        <v>1759</v>
      </c>
      <c r="F65" s="613" t="s">
        <v>1760</v>
      </c>
      <c r="G65" s="612" t="s">
        <v>1405</v>
      </c>
      <c r="H65" s="612" t="s">
        <v>1406</v>
      </c>
      <c r="I65" s="614">
        <v>59.29</v>
      </c>
      <c r="J65" s="614">
        <v>10</v>
      </c>
      <c r="K65" s="615">
        <v>592.9</v>
      </c>
    </row>
    <row r="66" spans="1:11" ht="14.4" customHeight="1" x14ac:dyDescent="0.3">
      <c r="A66" s="610" t="s">
        <v>538</v>
      </c>
      <c r="B66" s="611" t="s">
        <v>539</v>
      </c>
      <c r="C66" s="612" t="s">
        <v>544</v>
      </c>
      <c r="D66" s="613" t="s">
        <v>1192</v>
      </c>
      <c r="E66" s="612" t="s">
        <v>1761</v>
      </c>
      <c r="F66" s="613" t="s">
        <v>1762</v>
      </c>
      <c r="G66" s="612" t="s">
        <v>1407</v>
      </c>
      <c r="H66" s="612" t="s">
        <v>1408</v>
      </c>
      <c r="I66" s="614">
        <v>0.3</v>
      </c>
      <c r="J66" s="614">
        <v>100</v>
      </c>
      <c r="K66" s="615">
        <v>30</v>
      </c>
    </row>
    <row r="67" spans="1:11" ht="14.4" customHeight="1" x14ac:dyDescent="0.3">
      <c r="A67" s="610" t="s">
        <v>538</v>
      </c>
      <c r="B67" s="611" t="s">
        <v>539</v>
      </c>
      <c r="C67" s="612" t="s">
        <v>544</v>
      </c>
      <c r="D67" s="613" t="s">
        <v>1192</v>
      </c>
      <c r="E67" s="612" t="s">
        <v>1761</v>
      </c>
      <c r="F67" s="613" t="s">
        <v>1762</v>
      </c>
      <c r="G67" s="612" t="s">
        <v>1409</v>
      </c>
      <c r="H67" s="612" t="s">
        <v>1410</v>
      </c>
      <c r="I67" s="614">
        <v>0.30333333333333334</v>
      </c>
      <c r="J67" s="614">
        <v>900</v>
      </c>
      <c r="K67" s="615">
        <v>273</v>
      </c>
    </row>
    <row r="68" spans="1:11" ht="14.4" customHeight="1" x14ac:dyDescent="0.3">
      <c r="A68" s="610" t="s">
        <v>538</v>
      </c>
      <c r="B68" s="611" t="s">
        <v>539</v>
      </c>
      <c r="C68" s="612" t="s">
        <v>544</v>
      </c>
      <c r="D68" s="613" t="s">
        <v>1192</v>
      </c>
      <c r="E68" s="612" t="s">
        <v>1761</v>
      </c>
      <c r="F68" s="613" t="s">
        <v>1762</v>
      </c>
      <c r="G68" s="612" t="s">
        <v>1411</v>
      </c>
      <c r="H68" s="612" t="s">
        <v>1412</v>
      </c>
      <c r="I68" s="614">
        <v>0.49</v>
      </c>
      <c r="J68" s="614">
        <v>100</v>
      </c>
      <c r="K68" s="615">
        <v>49</v>
      </c>
    </row>
    <row r="69" spans="1:11" ht="14.4" customHeight="1" x14ac:dyDescent="0.3">
      <c r="A69" s="610" t="s">
        <v>538</v>
      </c>
      <c r="B69" s="611" t="s">
        <v>539</v>
      </c>
      <c r="C69" s="612" t="s">
        <v>544</v>
      </c>
      <c r="D69" s="613" t="s">
        <v>1192</v>
      </c>
      <c r="E69" s="612" t="s">
        <v>1763</v>
      </c>
      <c r="F69" s="613" t="s">
        <v>1764</v>
      </c>
      <c r="G69" s="612" t="s">
        <v>1413</v>
      </c>
      <c r="H69" s="612" t="s">
        <v>1414</v>
      </c>
      <c r="I69" s="614">
        <v>7.5</v>
      </c>
      <c r="J69" s="614">
        <v>300</v>
      </c>
      <c r="K69" s="615">
        <v>2250</v>
      </c>
    </row>
    <row r="70" spans="1:11" ht="14.4" customHeight="1" x14ac:dyDescent="0.3">
      <c r="A70" s="610" t="s">
        <v>538</v>
      </c>
      <c r="B70" s="611" t="s">
        <v>539</v>
      </c>
      <c r="C70" s="612" t="s">
        <v>544</v>
      </c>
      <c r="D70" s="613" t="s">
        <v>1192</v>
      </c>
      <c r="E70" s="612" t="s">
        <v>1763</v>
      </c>
      <c r="F70" s="613" t="s">
        <v>1764</v>
      </c>
      <c r="G70" s="612" t="s">
        <v>1415</v>
      </c>
      <c r="H70" s="612" t="s">
        <v>1416</v>
      </c>
      <c r="I70" s="614">
        <v>7.5066666666666668</v>
      </c>
      <c r="J70" s="614">
        <v>300</v>
      </c>
      <c r="K70" s="615">
        <v>2252</v>
      </c>
    </row>
    <row r="71" spans="1:11" ht="14.4" customHeight="1" x14ac:dyDescent="0.3">
      <c r="A71" s="610" t="s">
        <v>538</v>
      </c>
      <c r="B71" s="611" t="s">
        <v>539</v>
      </c>
      <c r="C71" s="612" t="s">
        <v>544</v>
      </c>
      <c r="D71" s="613" t="s">
        <v>1192</v>
      </c>
      <c r="E71" s="612" t="s">
        <v>1763</v>
      </c>
      <c r="F71" s="613" t="s">
        <v>1764</v>
      </c>
      <c r="G71" s="612" t="s">
        <v>1417</v>
      </c>
      <c r="H71" s="612" t="s">
        <v>1418</v>
      </c>
      <c r="I71" s="614">
        <v>0.71</v>
      </c>
      <c r="J71" s="614">
        <v>14400</v>
      </c>
      <c r="K71" s="615">
        <v>10215.51</v>
      </c>
    </row>
    <row r="72" spans="1:11" ht="14.4" customHeight="1" x14ac:dyDescent="0.3">
      <c r="A72" s="610" t="s">
        <v>538</v>
      </c>
      <c r="B72" s="611" t="s">
        <v>539</v>
      </c>
      <c r="C72" s="612" t="s">
        <v>544</v>
      </c>
      <c r="D72" s="613" t="s">
        <v>1192</v>
      </c>
      <c r="E72" s="612" t="s">
        <v>1763</v>
      </c>
      <c r="F72" s="613" t="s">
        <v>1764</v>
      </c>
      <c r="G72" s="612" t="s">
        <v>1419</v>
      </c>
      <c r="H72" s="612" t="s">
        <v>1420</v>
      </c>
      <c r="I72" s="614">
        <v>12.236000000000001</v>
      </c>
      <c r="J72" s="614">
        <v>339</v>
      </c>
      <c r="K72" s="615">
        <v>4219.21</v>
      </c>
    </row>
    <row r="73" spans="1:11" ht="14.4" customHeight="1" x14ac:dyDescent="0.3">
      <c r="A73" s="610" t="s">
        <v>538</v>
      </c>
      <c r="B73" s="611" t="s">
        <v>539</v>
      </c>
      <c r="C73" s="612" t="s">
        <v>544</v>
      </c>
      <c r="D73" s="613" t="s">
        <v>1192</v>
      </c>
      <c r="E73" s="612" t="s">
        <v>1763</v>
      </c>
      <c r="F73" s="613" t="s">
        <v>1764</v>
      </c>
      <c r="G73" s="612" t="s">
        <v>1421</v>
      </c>
      <c r="H73" s="612" t="s">
        <v>1422</v>
      </c>
      <c r="I73" s="614">
        <v>12.587500000000002</v>
      </c>
      <c r="J73" s="614">
        <v>320</v>
      </c>
      <c r="K73" s="615">
        <v>4028.3</v>
      </c>
    </row>
    <row r="74" spans="1:11" ht="14.4" customHeight="1" x14ac:dyDescent="0.3">
      <c r="A74" s="610" t="s">
        <v>538</v>
      </c>
      <c r="B74" s="611" t="s">
        <v>539</v>
      </c>
      <c r="C74" s="612" t="s">
        <v>544</v>
      </c>
      <c r="D74" s="613" t="s">
        <v>1192</v>
      </c>
      <c r="E74" s="612" t="s">
        <v>1765</v>
      </c>
      <c r="F74" s="613" t="s">
        <v>1766</v>
      </c>
      <c r="G74" s="612" t="s">
        <v>1423</v>
      </c>
      <c r="H74" s="612" t="s">
        <v>1424</v>
      </c>
      <c r="I74" s="614">
        <v>139.43</v>
      </c>
      <c r="J74" s="614">
        <v>10</v>
      </c>
      <c r="K74" s="615">
        <v>1394.33</v>
      </c>
    </row>
    <row r="75" spans="1:11" ht="14.4" customHeight="1" x14ac:dyDescent="0.3">
      <c r="A75" s="610" t="s">
        <v>538</v>
      </c>
      <c r="B75" s="611" t="s">
        <v>539</v>
      </c>
      <c r="C75" s="612" t="s">
        <v>544</v>
      </c>
      <c r="D75" s="613" t="s">
        <v>1192</v>
      </c>
      <c r="E75" s="612" t="s">
        <v>1765</v>
      </c>
      <c r="F75" s="613" t="s">
        <v>1766</v>
      </c>
      <c r="G75" s="612" t="s">
        <v>1425</v>
      </c>
      <c r="H75" s="612" t="s">
        <v>1426</v>
      </c>
      <c r="I75" s="614">
        <v>3035.31</v>
      </c>
      <c r="J75" s="614">
        <v>1</v>
      </c>
      <c r="K75" s="615">
        <v>3035.31</v>
      </c>
    </row>
    <row r="76" spans="1:11" ht="14.4" customHeight="1" x14ac:dyDescent="0.3">
      <c r="A76" s="610" t="s">
        <v>538</v>
      </c>
      <c r="B76" s="611" t="s">
        <v>539</v>
      </c>
      <c r="C76" s="612" t="s">
        <v>544</v>
      </c>
      <c r="D76" s="613" t="s">
        <v>1192</v>
      </c>
      <c r="E76" s="612" t="s">
        <v>1765</v>
      </c>
      <c r="F76" s="613" t="s">
        <v>1766</v>
      </c>
      <c r="G76" s="612" t="s">
        <v>1427</v>
      </c>
      <c r="H76" s="612" t="s">
        <v>1428</v>
      </c>
      <c r="I76" s="614">
        <v>2722.5</v>
      </c>
      <c r="J76" s="614">
        <v>3</v>
      </c>
      <c r="K76" s="615">
        <v>8167.5</v>
      </c>
    </row>
    <row r="77" spans="1:11" ht="14.4" customHeight="1" x14ac:dyDescent="0.3">
      <c r="A77" s="610" t="s">
        <v>538</v>
      </c>
      <c r="B77" s="611" t="s">
        <v>539</v>
      </c>
      <c r="C77" s="612" t="s">
        <v>544</v>
      </c>
      <c r="D77" s="613" t="s">
        <v>1192</v>
      </c>
      <c r="E77" s="612" t="s">
        <v>1765</v>
      </c>
      <c r="F77" s="613" t="s">
        <v>1766</v>
      </c>
      <c r="G77" s="612" t="s">
        <v>1429</v>
      </c>
      <c r="H77" s="612" t="s">
        <v>1430</v>
      </c>
      <c r="I77" s="614">
        <v>363</v>
      </c>
      <c r="J77" s="614">
        <v>2</v>
      </c>
      <c r="K77" s="615">
        <v>726</v>
      </c>
    </row>
    <row r="78" spans="1:11" ht="14.4" customHeight="1" x14ac:dyDescent="0.3">
      <c r="A78" s="610" t="s">
        <v>538</v>
      </c>
      <c r="B78" s="611" t="s">
        <v>539</v>
      </c>
      <c r="C78" s="612" t="s">
        <v>544</v>
      </c>
      <c r="D78" s="613" t="s">
        <v>1192</v>
      </c>
      <c r="E78" s="612" t="s">
        <v>1765</v>
      </c>
      <c r="F78" s="613" t="s">
        <v>1766</v>
      </c>
      <c r="G78" s="612" t="s">
        <v>1431</v>
      </c>
      <c r="H78" s="612" t="s">
        <v>1432</v>
      </c>
      <c r="I78" s="614">
        <v>2277.85</v>
      </c>
      <c r="J78" s="614">
        <v>1</v>
      </c>
      <c r="K78" s="615">
        <v>2277.85</v>
      </c>
    </row>
    <row r="79" spans="1:11" ht="14.4" customHeight="1" x14ac:dyDescent="0.3">
      <c r="A79" s="610" t="s">
        <v>538</v>
      </c>
      <c r="B79" s="611" t="s">
        <v>539</v>
      </c>
      <c r="C79" s="612" t="s">
        <v>544</v>
      </c>
      <c r="D79" s="613" t="s">
        <v>1192</v>
      </c>
      <c r="E79" s="612" t="s">
        <v>1767</v>
      </c>
      <c r="F79" s="613" t="s">
        <v>1768</v>
      </c>
      <c r="G79" s="612" t="s">
        <v>1433</v>
      </c>
      <c r="H79" s="612" t="s">
        <v>1434</v>
      </c>
      <c r="I79" s="614">
        <v>97.89</v>
      </c>
      <c r="J79" s="614">
        <v>10</v>
      </c>
      <c r="K79" s="615">
        <v>978.9</v>
      </c>
    </row>
    <row r="80" spans="1:11" ht="14.4" customHeight="1" x14ac:dyDescent="0.3">
      <c r="A80" s="610" t="s">
        <v>538</v>
      </c>
      <c r="B80" s="611" t="s">
        <v>539</v>
      </c>
      <c r="C80" s="612" t="s">
        <v>549</v>
      </c>
      <c r="D80" s="613" t="s">
        <v>1193</v>
      </c>
      <c r="E80" s="612" t="s">
        <v>1757</v>
      </c>
      <c r="F80" s="613" t="s">
        <v>1758</v>
      </c>
      <c r="G80" s="612" t="s">
        <v>1285</v>
      </c>
      <c r="H80" s="612" t="s">
        <v>1286</v>
      </c>
      <c r="I80" s="614">
        <v>4.3033333333333337</v>
      </c>
      <c r="J80" s="614">
        <v>144</v>
      </c>
      <c r="K80" s="615">
        <v>619.68000000000006</v>
      </c>
    </row>
    <row r="81" spans="1:11" ht="14.4" customHeight="1" x14ac:dyDescent="0.3">
      <c r="A81" s="610" t="s">
        <v>538</v>
      </c>
      <c r="B81" s="611" t="s">
        <v>539</v>
      </c>
      <c r="C81" s="612" t="s">
        <v>549</v>
      </c>
      <c r="D81" s="613" t="s">
        <v>1193</v>
      </c>
      <c r="E81" s="612" t="s">
        <v>1757</v>
      </c>
      <c r="F81" s="613" t="s">
        <v>1758</v>
      </c>
      <c r="G81" s="612" t="s">
        <v>1289</v>
      </c>
      <c r="H81" s="612" t="s">
        <v>1290</v>
      </c>
      <c r="I81" s="614">
        <v>0.40749999999999997</v>
      </c>
      <c r="J81" s="614">
        <v>800</v>
      </c>
      <c r="K81" s="615">
        <v>326</v>
      </c>
    </row>
    <row r="82" spans="1:11" ht="14.4" customHeight="1" x14ac:dyDescent="0.3">
      <c r="A82" s="610" t="s">
        <v>538</v>
      </c>
      <c r="B82" s="611" t="s">
        <v>539</v>
      </c>
      <c r="C82" s="612" t="s">
        <v>549</v>
      </c>
      <c r="D82" s="613" t="s">
        <v>1193</v>
      </c>
      <c r="E82" s="612" t="s">
        <v>1757</v>
      </c>
      <c r="F82" s="613" t="s">
        <v>1758</v>
      </c>
      <c r="G82" s="612" t="s">
        <v>1435</v>
      </c>
      <c r="H82" s="612" t="s">
        <v>1436</v>
      </c>
      <c r="I82" s="614">
        <v>0.3133333333333333</v>
      </c>
      <c r="J82" s="614">
        <v>2700</v>
      </c>
      <c r="K82" s="615">
        <v>849.74</v>
      </c>
    </row>
    <row r="83" spans="1:11" ht="14.4" customHeight="1" x14ac:dyDescent="0.3">
      <c r="A83" s="610" t="s">
        <v>538</v>
      </c>
      <c r="B83" s="611" t="s">
        <v>539</v>
      </c>
      <c r="C83" s="612" t="s">
        <v>549</v>
      </c>
      <c r="D83" s="613" t="s">
        <v>1193</v>
      </c>
      <c r="E83" s="612" t="s">
        <v>1757</v>
      </c>
      <c r="F83" s="613" t="s">
        <v>1758</v>
      </c>
      <c r="G83" s="612" t="s">
        <v>1297</v>
      </c>
      <c r="H83" s="612" t="s">
        <v>1298</v>
      </c>
      <c r="I83" s="614">
        <v>2.87</v>
      </c>
      <c r="J83" s="614">
        <v>400</v>
      </c>
      <c r="K83" s="615">
        <v>1145.08</v>
      </c>
    </row>
    <row r="84" spans="1:11" ht="14.4" customHeight="1" x14ac:dyDescent="0.3">
      <c r="A84" s="610" t="s">
        <v>538</v>
      </c>
      <c r="B84" s="611" t="s">
        <v>539</v>
      </c>
      <c r="C84" s="612" t="s">
        <v>549</v>
      </c>
      <c r="D84" s="613" t="s">
        <v>1193</v>
      </c>
      <c r="E84" s="612" t="s">
        <v>1757</v>
      </c>
      <c r="F84" s="613" t="s">
        <v>1758</v>
      </c>
      <c r="G84" s="612" t="s">
        <v>1437</v>
      </c>
      <c r="H84" s="612" t="s">
        <v>1438</v>
      </c>
      <c r="I84" s="614">
        <v>0.6</v>
      </c>
      <c r="J84" s="614">
        <v>1000</v>
      </c>
      <c r="K84" s="615">
        <v>600</v>
      </c>
    </row>
    <row r="85" spans="1:11" ht="14.4" customHeight="1" x14ac:dyDescent="0.3">
      <c r="A85" s="610" t="s">
        <v>538</v>
      </c>
      <c r="B85" s="611" t="s">
        <v>539</v>
      </c>
      <c r="C85" s="612" t="s">
        <v>549</v>
      </c>
      <c r="D85" s="613" t="s">
        <v>1193</v>
      </c>
      <c r="E85" s="612" t="s">
        <v>1757</v>
      </c>
      <c r="F85" s="613" t="s">
        <v>1758</v>
      </c>
      <c r="G85" s="612" t="s">
        <v>1439</v>
      </c>
      <c r="H85" s="612" t="s">
        <v>1440</v>
      </c>
      <c r="I85" s="614">
        <v>1.29</v>
      </c>
      <c r="J85" s="614">
        <v>1500</v>
      </c>
      <c r="K85" s="615">
        <v>1935</v>
      </c>
    </row>
    <row r="86" spans="1:11" ht="14.4" customHeight="1" x14ac:dyDescent="0.3">
      <c r="A86" s="610" t="s">
        <v>538</v>
      </c>
      <c r="B86" s="611" t="s">
        <v>539</v>
      </c>
      <c r="C86" s="612" t="s">
        <v>549</v>
      </c>
      <c r="D86" s="613" t="s">
        <v>1193</v>
      </c>
      <c r="E86" s="612" t="s">
        <v>1757</v>
      </c>
      <c r="F86" s="613" t="s">
        <v>1758</v>
      </c>
      <c r="G86" s="612" t="s">
        <v>1441</v>
      </c>
      <c r="H86" s="612" t="s">
        <v>1442</v>
      </c>
      <c r="I86" s="614">
        <v>13.156000000000001</v>
      </c>
      <c r="J86" s="614">
        <v>168</v>
      </c>
      <c r="K86" s="615">
        <v>2210.0100000000002</v>
      </c>
    </row>
    <row r="87" spans="1:11" ht="14.4" customHeight="1" x14ac:dyDescent="0.3">
      <c r="A87" s="610" t="s">
        <v>538</v>
      </c>
      <c r="B87" s="611" t="s">
        <v>539</v>
      </c>
      <c r="C87" s="612" t="s">
        <v>549</v>
      </c>
      <c r="D87" s="613" t="s">
        <v>1193</v>
      </c>
      <c r="E87" s="612" t="s">
        <v>1757</v>
      </c>
      <c r="F87" s="613" t="s">
        <v>1758</v>
      </c>
      <c r="G87" s="612" t="s">
        <v>1443</v>
      </c>
      <c r="H87" s="612" t="s">
        <v>1444</v>
      </c>
      <c r="I87" s="614">
        <v>0.85</v>
      </c>
      <c r="J87" s="614">
        <v>30</v>
      </c>
      <c r="K87" s="615">
        <v>25.5</v>
      </c>
    </row>
    <row r="88" spans="1:11" ht="14.4" customHeight="1" x14ac:dyDescent="0.3">
      <c r="A88" s="610" t="s">
        <v>538</v>
      </c>
      <c r="B88" s="611" t="s">
        <v>539</v>
      </c>
      <c r="C88" s="612" t="s">
        <v>549</v>
      </c>
      <c r="D88" s="613" t="s">
        <v>1193</v>
      </c>
      <c r="E88" s="612" t="s">
        <v>1757</v>
      </c>
      <c r="F88" s="613" t="s">
        <v>1758</v>
      </c>
      <c r="G88" s="612" t="s">
        <v>1301</v>
      </c>
      <c r="H88" s="612" t="s">
        <v>1302</v>
      </c>
      <c r="I88" s="614">
        <v>0.3125</v>
      </c>
      <c r="J88" s="614">
        <v>12000</v>
      </c>
      <c r="K88" s="615">
        <v>3754.02</v>
      </c>
    </row>
    <row r="89" spans="1:11" ht="14.4" customHeight="1" x14ac:dyDescent="0.3">
      <c r="A89" s="610" t="s">
        <v>538</v>
      </c>
      <c r="B89" s="611" t="s">
        <v>539</v>
      </c>
      <c r="C89" s="612" t="s">
        <v>549</v>
      </c>
      <c r="D89" s="613" t="s">
        <v>1193</v>
      </c>
      <c r="E89" s="612" t="s">
        <v>1757</v>
      </c>
      <c r="F89" s="613" t="s">
        <v>1758</v>
      </c>
      <c r="G89" s="612" t="s">
        <v>1445</v>
      </c>
      <c r="H89" s="612" t="s">
        <v>1446</v>
      </c>
      <c r="I89" s="614">
        <v>114.77</v>
      </c>
      <c r="J89" s="614">
        <v>1</v>
      </c>
      <c r="K89" s="615">
        <v>114.77</v>
      </c>
    </row>
    <row r="90" spans="1:11" ht="14.4" customHeight="1" x14ac:dyDescent="0.3">
      <c r="A90" s="610" t="s">
        <v>538</v>
      </c>
      <c r="B90" s="611" t="s">
        <v>539</v>
      </c>
      <c r="C90" s="612" t="s">
        <v>549</v>
      </c>
      <c r="D90" s="613" t="s">
        <v>1193</v>
      </c>
      <c r="E90" s="612" t="s">
        <v>1759</v>
      </c>
      <c r="F90" s="613" t="s">
        <v>1760</v>
      </c>
      <c r="G90" s="612" t="s">
        <v>1447</v>
      </c>
      <c r="H90" s="612" t="s">
        <v>1448</v>
      </c>
      <c r="I90" s="614">
        <v>16.398571428571426</v>
      </c>
      <c r="J90" s="614">
        <v>3120</v>
      </c>
      <c r="K90" s="615">
        <v>51159.360000000001</v>
      </c>
    </row>
    <row r="91" spans="1:11" ht="14.4" customHeight="1" x14ac:dyDescent="0.3">
      <c r="A91" s="610" t="s">
        <v>538</v>
      </c>
      <c r="B91" s="611" t="s">
        <v>539</v>
      </c>
      <c r="C91" s="612" t="s">
        <v>549</v>
      </c>
      <c r="D91" s="613" t="s">
        <v>1193</v>
      </c>
      <c r="E91" s="612" t="s">
        <v>1759</v>
      </c>
      <c r="F91" s="613" t="s">
        <v>1760</v>
      </c>
      <c r="G91" s="612" t="s">
        <v>1449</v>
      </c>
      <c r="H91" s="612" t="s">
        <v>1450</v>
      </c>
      <c r="I91" s="614">
        <v>1.42</v>
      </c>
      <c r="J91" s="614">
        <v>600</v>
      </c>
      <c r="K91" s="615">
        <v>853.91</v>
      </c>
    </row>
    <row r="92" spans="1:11" ht="14.4" customHeight="1" x14ac:dyDescent="0.3">
      <c r="A92" s="610" t="s">
        <v>538</v>
      </c>
      <c r="B92" s="611" t="s">
        <v>539</v>
      </c>
      <c r="C92" s="612" t="s">
        <v>549</v>
      </c>
      <c r="D92" s="613" t="s">
        <v>1193</v>
      </c>
      <c r="E92" s="612" t="s">
        <v>1759</v>
      </c>
      <c r="F92" s="613" t="s">
        <v>1760</v>
      </c>
      <c r="G92" s="612" t="s">
        <v>1311</v>
      </c>
      <c r="H92" s="612" t="s">
        <v>1312</v>
      </c>
      <c r="I92" s="614">
        <v>15.923333333333334</v>
      </c>
      <c r="J92" s="614">
        <v>300</v>
      </c>
      <c r="K92" s="615">
        <v>4777</v>
      </c>
    </row>
    <row r="93" spans="1:11" ht="14.4" customHeight="1" x14ac:dyDescent="0.3">
      <c r="A93" s="610" t="s">
        <v>538</v>
      </c>
      <c r="B93" s="611" t="s">
        <v>539</v>
      </c>
      <c r="C93" s="612" t="s">
        <v>549</v>
      </c>
      <c r="D93" s="613" t="s">
        <v>1193</v>
      </c>
      <c r="E93" s="612" t="s">
        <v>1759</v>
      </c>
      <c r="F93" s="613" t="s">
        <v>1760</v>
      </c>
      <c r="G93" s="612" t="s">
        <v>1313</v>
      </c>
      <c r="H93" s="612" t="s">
        <v>1314</v>
      </c>
      <c r="I93" s="614">
        <v>2.5166666666666662</v>
      </c>
      <c r="J93" s="614">
        <v>300</v>
      </c>
      <c r="K93" s="615">
        <v>754.92</v>
      </c>
    </row>
    <row r="94" spans="1:11" ht="14.4" customHeight="1" x14ac:dyDescent="0.3">
      <c r="A94" s="610" t="s">
        <v>538</v>
      </c>
      <c r="B94" s="611" t="s">
        <v>539</v>
      </c>
      <c r="C94" s="612" t="s">
        <v>549</v>
      </c>
      <c r="D94" s="613" t="s">
        <v>1193</v>
      </c>
      <c r="E94" s="612" t="s">
        <v>1759</v>
      </c>
      <c r="F94" s="613" t="s">
        <v>1760</v>
      </c>
      <c r="G94" s="612" t="s">
        <v>1315</v>
      </c>
      <c r="H94" s="612" t="s">
        <v>1316</v>
      </c>
      <c r="I94" s="614">
        <v>30.252500000000001</v>
      </c>
      <c r="J94" s="614">
        <v>200</v>
      </c>
      <c r="K94" s="615">
        <v>6050.5</v>
      </c>
    </row>
    <row r="95" spans="1:11" ht="14.4" customHeight="1" x14ac:dyDescent="0.3">
      <c r="A95" s="610" t="s">
        <v>538</v>
      </c>
      <c r="B95" s="611" t="s">
        <v>539</v>
      </c>
      <c r="C95" s="612" t="s">
        <v>549</v>
      </c>
      <c r="D95" s="613" t="s">
        <v>1193</v>
      </c>
      <c r="E95" s="612" t="s">
        <v>1759</v>
      </c>
      <c r="F95" s="613" t="s">
        <v>1760</v>
      </c>
      <c r="G95" s="612" t="s">
        <v>1317</v>
      </c>
      <c r="H95" s="612" t="s">
        <v>1451</v>
      </c>
      <c r="I95" s="614">
        <v>2.76</v>
      </c>
      <c r="J95" s="614">
        <v>100</v>
      </c>
      <c r="K95" s="615">
        <v>276</v>
      </c>
    </row>
    <row r="96" spans="1:11" ht="14.4" customHeight="1" x14ac:dyDescent="0.3">
      <c r="A96" s="610" t="s">
        <v>538</v>
      </c>
      <c r="B96" s="611" t="s">
        <v>539</v>
      </c>
      <c r="C96" s="612" t="s">
        <v>549</v>
      </c>
      <c r="D96" s="613" t="s">
        <v>1193</v>
      </c>
      <c r="E96" s="612" t="s">
        <v>1759</v>
      </c>
      <c r="F96" s="613" t="s">
        <v>1760</v>
      </c>
      <c r="G96" s="612" t="s">
        <v>1317</v>
      </c>
      <c r="H96" s="612" t="s">
        <v>1318</v>
      </c>
      <c r="I96" s="614">
        <v>2.75</v>
      </c>
      <c r="J96" s="614">
        <v>300</v>
      </c>
      <c r="K96" s="615">
        <v>825</v>
      </c>
    </row>
    <row r="97" spans="1:11" ht="14.4" customHeight="1" x14ac:dyDescent="0.3">
      <c r="A97" s="610" t="s">
        <v>538</v>
      </c>
      <c r="B97" s="611" t="s">
        <v>539</v>
      </c>
      <c r="C97" s="612" t="s">
        <v>549</v>
      </c>
      <c r="D97" s="613" t="s">
        <v>1193</v>
      </c>
      <c r="E97" s="612" t="s">
        <v>1759</v>
      </c>
      <c r="F97" s="613" t="s">
        <v>1760</v>
      </c>
      <c r="G97" s="612" t="s">
        <v>1319</v>
      </c>
      <c r="H97" s="612" t="s">
        <v>1452</v>
      </c>
      <c r="I97" s="614">
        <v>4.18</v>
      </c>
      <c r="J97" s="614">
        <v>50</v>
      </c>
      <c r="K97" s="615">
        <v>209</v>
      </c>
    </row>
    <row r="98" spans="1:11" ht="14.4" customHeight="1" x14ac:dyDescent="0.3">
      <c r="A98" s="610" t="s">
        <v>538</v>
      </c>
      <c r="B98" s="611" t="s">
        <v>539</v>
      </c>
      <c r="C98" s="612" t="s">
        <v>549</v>
      </c>
      <c r="D98" s="613" t="s">
        <v>1193</v>
      </c>
      <c r="E98" s="612" t="s">
        <v>1759</v>
      </c>
      <c r="F98" s="613" t="s">
        <v>1760</v>
      </c>
      <c r="G98" s="612" t="s">
        <v>1321</v>
      </c>
      <c r="H98" s="612" t="s">
        <v>1322</v>
      </c>
      <c r="I98" s="614">
        <v>1.0950000000000002</v>
      </c>
      <c r="J98" s="614">
        <v>300</v>
      </c>
      <c r="K98" s="615">
        <v>328</v>
      </c>
    </row>
    <row r="99" spans="1:11" ht="14.4" customHeight="1" x14ac:dyDescent="0.3">
      <c r="A99" s="610" t="s">
        <v>538</v>
      </c>
      <c r="B99" s="611" t="s">
        <v>539</v>
      </c>
      <c r="C99" s="612" t="s">
        <v>549</v>
      </c>
      <c r="D99" s="613" t="s">
        <v>1193</v>
      </c>
      <c r="E99" s="612" t="s">
        <v>1759</v>
      </c>
      <c r="F99" s="613" t="s">
        <v>1760</v>
      </c>
      <c r="G99" s="612" t="s">
        <v>1323</v>
      </c>
      <c r="H99" s="612" t="s">
        <v>1324</v>
      </c>
      <c r="I99" s="614">
        <v>1.6714285714285713</v>
      </c>
      <c r="J99" s="614">
        <v>10700</v>
      </c>
      <c r="K99" s="615">
        <v>17889</v>
      </c>
    </row>
    <row r="100" spans="1:11" ht="14.4" customHeight="1" x14ac:dyDescent="0.3">
      <c r="A100" s="610" t="s">
        <v>538</v>
      </c>
      <c r="B100" s="611" t="s">
        <v>539</v>
      </c>
      <c r="C100" s="612" t="s">
        <v>549</v>
      </c>
      <c r="D100" s="613" t="s">
        <v>1193</v>
      </c>
      <c r="E100" s="612" t="s">
        <v>1759</v>
      </c>
      <c r="F100" s="613" t="s">
        <v>1760</v>
      </c>
      <c r="G100" s="612" t="s">
        <v>1325</v>
      </c>
      <c r="H100" s="612" t="s">
        <v>1326</v>
      </c>
      <c r="I100" s="614">
        <v>0.47624999999999995</v>
      </c>
      <c r="J100" s="614">
        <v>3600</v>
      </c>
      <c r="K100" s="615">
        <v>1713</v>
      </c>
    </row>
    <row r="101" spans="1:11" ht="14.4" customHeight="1" x14ac:dyDescent="0.3">
      <c r="A101" s="610" t="s">
        <v>538</v>
      </c>
      <c r="B101" s="611" t="s">
        <v>539</v>
      </c>
      <c r="C101" s="612" t="s">
        <v>549</v>
      </c>
      <c r="D101" s="613" t="s">
        <v>1193</v>
      </c>
      <c r="E101" s="612" t="s">
        <v>1759</v>
      </c>
      <c r="F101" s="613" t="s">
        <v>1760</v>
      </c>
      <c r="G101" s="612" t="s">
        <v>1327</v>
      </c>
      <c r="H101" s="612" t="s">
        <v>1328</v>
      </c>
      <c r="I101" s="614">
        <v>0.67</v>
      </c>
      <c r="J101" s="614">
        <v>800</v>
      </c>
      <c r="K101" s="615">
        <v>536</v>
      </c>
    </row>
    <row r="102" spans="1:11" ht="14.4" customHeight="1" x14ac:dyDescent="0.3">
      <c r="A102" s="610" t="s">
        <v>538</v>
      </c>
      <c r="B102" s="611" t="s">
        <v>539</v>
      </c>
      <c r="C102" s="612" t="s">
        <v>549</v>
      </c>
      <c r="D102" s="613" t="s">
        <v>1193</v>
      </c>
      <c r="E102" s="612" t="s">
        <v>1759</v>
      </c>
      <c r="F102" s="613" t="s">
        <v>1760</v>
      </c>
      <c r="G102" s="612" t="s">
        <v>1329</v>
      </c>
      <c r="H102" s="612" t="s">
        <v>1330</v>
      </c>
      <c r="I102" s="614">
        <v>3.74</v>
      </c>
      <c r="J102" s="614">
        <v>300</v>
      </c>
      <c r="K102" s="615">
        <v>1122</v>
      </c>
    </row>
    <row r="103" spans="1:11" ht="14.4" customHeight="1" x14ac:dyDescent="0.3">
      <c r="A103" s="610" t="s">
        <v>538</v>
      </c>
      <c r="B103" s="611" t="s">
        <v>539</v>
      </c>
      <c r="C103" s="612" t="s">
        <v>549</v>
      </c>
      <c r="D103" s="613" t="s">
        <v>1193</v>
      </c>
      <c r="E103" s="612" t="s">
        <v>1759</v>
      </c>
      <c r="F103" s="613" t="s">
        <v>1760</v>
      </c>
      <c r="G103" s="612" t="s">
        <v>1453</v>
      </c>
      <c r="H103" s="612" t="s">
        <v>1454</v>
      </c>
      <c r="I103" s="614">
        <v>30.25</v>
      </c>
      <c r="J103" s="614">
        <v>50</v>
      </c>
      <c r="K103" s="615">
        <v>1512.5</v>
      </c>
    </row>
    <row r="104" spans="1:11" ht="14.4" customHeight="1" x14ac:dyDescent="0.3">
      <c r="A104" s="610" t="s">
        <v>538</v>
      </c>
      <c r="B104" s="611" t="s">
        <v>539</v>
      </c>
      <c r="C104" s="612" t="s">
        <v>549</v>
      </c>
      <c r="D104" s="613" t="s">
        <v>1193</v>
      </c>
      <c r="E104" s="612" t="s">
        <v>1759</v>
      </c>
      <c r="F104" s="613" t="s">
        <v>1760</v>
      </c>
      <c r="G104" s="612" t="s">
        <v>1333</v>
      </c>
      <c r="H104" s="612" t="s">
        <v>1334</v>
      </c>
      <c r="I104" s="614">
        <v>32.67</v>
      </c>
      <c r="J104" s="614">
        <v>150</v>
      </c>
      <c r="K104" s="615">
        <v>4900.5</v>
      </c>
    </row>
    <row r="105" spans="1:11" ht="14.4" customHeight="1" x14ac:dyDescent="0.3">
      <c r="A105" s="610" t="s">
        <v>538</v>
      </c>
      <c r="B105" s="611" t="s">
        <v>539</v>
      </c>
      <c r="C105" s="612" t="s">
        <v>549</v>
      </c>
      <c r="D105" s="613" t="s">
        <v>1193</v>
      </c>
      <c r="E105" s="612" t="s">
        <v>1759</v>
      </c>
      <c r="F105" s="613" t="s">
        <v>1760</v>
      </c>
      <c r="G105" s="612" t="s">
        <v>1335</v>
      </c>
      <c r="H105" s="612" t="s">
        <v>1336</v>
      </c>
      <c r="I105" s="614">
        <v>25.988</v>
      </c>
      <c r="J105" s="614">
        <v>320</v>
      </c>
      <c r="K105" s="615">
        <v>8320.1999999999989</v>
      </c>
    </row>
    <row r="106" spans="1:11" ht="14.4" customHeight="1" x14ac:dyDescent="0.3">
      <c r="A106" s="610" t="s">
        <v>538</v>
      </c>
      <c r="B106" s="611" t="s">
        <v>539</v>
      </c>
      <c r="C106" s="612" t="s">
        <v>549</v>
      </c>
      <c r="D106" s="613" t="s">
        <v>1193</v>
      </c>
      <c r="E106" s="612" t="s">
        <v>1759</v>
      </c>
      <c r="F106" s="613" t="s">
        <v>1760</v>
      </c>
      <c r="G106" s="612" t="s">
        <v>1455</v>
      </c>
      <c r="H106" s="612" t="s">
        <v>1456</v>
      </c>
      <c r="I106" s="614">
        <v>14.3</v>
      </c>
      <c r="J106" s="614">
        <v>40</v>
      </c>
      <c r="K106" s="615">
        <v>572.08000000000004</v>
      </c>
    </row>
    <row r="107" spans="1:11" ht="14.4" customHeight="1" x14ac:dyDescent="0.3">
      <c r="A107" s="610" t="s">
        <v>538</v>
      </c>
      <c r="B107" s="611" t="s">
        <v>539</v>
      </c>
      <c r="C107" s="612" t="s">
        <v>549</v>
      </c>
      <c r="D107" s="613" t="s">
        <v>1193</v>
      </c>
      <c r="E107" s="612" t="s">
        <v>1759</v>
      </c>
      <c r="F107" s="613" t="s">
        <v>1760</v>
      </c>
      <c r="G107" s="612" t="s">
        <v>1337</v>
      </c>
      <c r="H107" s="612" t="s">
        <v>1338</v>
      </c>
      <c r="I107" s="614">
        <v>9.1449999999999996</v>
      </c>
      <c r="J107" s="614">
        <v>200</v>
      </c>
      <c r="K107" s="615">
        <v>1828.9499999999998</v>
      </c>
    </row>
    <row r="108" spans="1:11" ht="14.4" customHeight="1" x14ac:dyDescent="0.3">
      <c r="A108" s="610" t="s">
        <v>538</v>
      </c>
      <c r="B108" s="611" t="s">
        <v>539</v>
      </c>
      <c r="C108" s="612" t="s">
        <v>549</v>
      </c>
      <c r="D108" s="613" t="s">
        <v>1193</v>
      </c>
      <c r="E108" s="612" t="s">
        <v>1759</v>
      </c>
      <c r="F108" s="613" t="s">
        <v>1760</v>
      </c>
      <c r="G108" s="612" t="s">
        <v>1339</v>
      </c>
      <c r="H108" s="612" t="s">
        <v>1340</v>
      </c>
      <c r="I108" s="614">
        <v>5.0614285714285714</v>
      </c>
      <c r="J108" s="614">
        <v>700</v>
      </c>
      <c r="K108" s="615">
        <v>3542.6099999999997</v>
      </c>
    </row>
    <row r="109" spans="1:11" ht="14.4" customHeight="1" x14ac:dyDescent="0.3">
      <c r="A109" s="610" t="s">
        <v>538</v>
      </c>
      <c r="B109" s="611" t="s">
        <v>539</v>
      </c>
      <c r="C109" s="612" t="s">
        <v>549</v>
      </c>
      <c r="D109" s="613" t="s">
        <v>1193</v>
      </c>
      <c r="E109" s="612" t="s">
        <v>1759</v>
      </c>
      <c r="F109" s="613" t="s">
        <v>1760</v>
      </c>
      <c r="G109" s="612" t="s">
        <v>1343</v>
      </c>
      <c r="H109" s="612" t="s">
        <v>1344</v>
      </c>
      <c r="I109" s="614">
        <v>58.783333333333331</v>
      </c>
      <c r="J109" s="614">
        <v>36</v>
      </c>
      <c r="K109" s="615">
        <v>2116.2400000000002</v>
      </c>
    </row>
    <row r="110" spans="1:11" ht="14.4" customHeight="1" x14ac:dyDescent="0.3">
      <c r="A110" s="610" t="s">
        <v>538</v>
      </c>
      <c r="B110" s="611" t="s">
        <v>539</v>
      </c>
      <c r="C110" s="612" t="s">
        <v>549</v>
      </c>
      <c r="D110" s="613" t="s">
        <v>1193</v>
      </c>
      <c r="E110" s="612" t="s">
        <v>1759</v>
      </c>
      <c r="F110" s="613" t="s">
        <v>1760</v>
      </c>
      <c r="G110" s="612" t="s">
        <v>1345</v>
      </c>
      <c r="H110" s="612" t="s">
        <v>1346</v>
      </c>
      <c r="I110" s="614">
        <v>2.085</v>
      </c>
      <c r="J110" s="614">
        <v>40</v>
      </c>
      <c r="K110" s="615">
        <v>83.4</v>
      </c>
    </row>
    <row r="111" spans="1:11" ht="14.4" customHeight="1" x14ac:dyDescent="0.3">
      <c r="A111" s="610" t="s">
        <v>538</v>
      </c>
      <c r="B111" s="611" t="s">
        <v>539</v>
      </c>
      <c r="C111" s="612" t="s">
        <v>549</v>
      </c>
      <c r="D111" s="613" t="s">
        <v>1193</v>
      </c>
      <c r="E111" s="612" t="s">
        <v>1759</v>
      </c>
      <c r="F111" s="613" t="s">
        <v>1760</v>
      </c>
      <c r="G111" s="612" t="s">
        <v>1347</v>
      </c>
      <c r="H111" s="612" t="s">
        <v>1348</v>
      </c>
      <c r="I111" s="614">
        <v>2.46</v>
      </c>
      <c r="J111" s="614">
        <v>200</v>
      </c>
      <c r="K111" s="615">
        <v>492.5</v>
      </c>
    </row>
    <row r="112" spans="1:11" ht="14.4" customHeight="1" x14ac:dyDescent="0.3">
      <c r="A112" s="610" t="s">
        <v>538</v>
      </c>
      <c r="B112" s="611" t="s">
        <v>539</v>
      </c>
      <c r="C112" s="612" t="s">
        <v>549</v>
      </c>
      <c r="D112" s="613" t="s">
        <v>1193</v>
      </c>
      <c r="E112" s="612" t="s">
        <v>1759</v>
      </c>
      <c r="F112" s="613" t="s">
        <v>1760</v>
      </c>
      <c r="G112" s="612" t="s">
        <v>1353</v>
      </c>
      <c r="H112" s="612" t="s">
        <v>1354</v>
      </c>
      <c r="I112" s="614">
        <v>12.107142857142858</v>
      </c>
      <c r="J112" s="614">
        <v>210</v>
      </c>
      <c r="K112" s="615">
        <v>2542.5</v>
      </c>
    </row>
    <row r="113" spans="1:11" ht="14.4" customHeight="1" x14ac:dyDescent="0.3">
      <c r="A113" s="610" t="s">
        <v>538</v>
      </c>
      <c r="B113" s="611" t="s">
        <v>539</v>
      </c>
      <c r="C113" s="612" t="s">
        <v>549</v>
      </c>
      <c r="D113" s="613" t="s">
        <v>1193</v>
      </c>
      <c r="E113" s="612" t="s">
        <v>1759</v>
      </c>
      <c r="F113" s="613" t="s">
        <v>1760</v>
      </c>
      <c r="G113" s="612" t="s">
        <v>1359</v>
      </c>
      <c r="H113" s="612" t="s">
        <v>1360</v>
      </c>
      <c r="I113" s="614">
        <v>21.236666666666665</v>
      </c>
      <c r="J113" s="614">
        <v>150</v>
      </c>
      <c r="K113" s="615">
        <v>3185.5</v>
      </c>
    </row>
    <row r="114" spans="1:11" ht="14.4" customHeight="1" x14ac:dyDescent="0.3">
      <c r="A114" s="610" t="s">
        <v>538</v>
      </c>
      <c r="B114" s="611" t="s">
        <v>539</v>
      </c>
      <c r="C114" s="612" t="s">
        <v>549</v>
      </c>
      <c r="D114" s="613" t="s">
        <v>1193</v>
      </c>
      <c r="E114" s="612" t="s">
        <v>1759</v>
      </c>
      <c r="F114" s="613" t="s">
        <v>1760</v>
      </c>
      <c r="G114" s="612" t="s">
        <v>1361</v>
      </c>
      <c r="H114" s="612" t="s">
        <v>1362</v>
      </c>
      <c r="I114" s="614">
        <v>3.24</v>
      </c>
      <c r="J114" s="614">
        <v>100</v>
      </c>
      <c r="K114" s="615">
        <v>323.61</v>
      </c>
    </row>
    <row r="115" spans="1:11" ht="14.4" customHeight="1" x14ac:dyDescent="0.3">
      <c r="A115" s="610" t="s">
        <v>538</v>
      </c>
      <c r="B115" s="611" t="s">
        <v>539</v>
      </c>
      <c r="C115" s="612" t="s">
        <v>549</v>
      </c>
      <c r="D115" s="613" t="s">
        <v>1193</v>
      </c>
      <c r="E115" s="612" t="s">
        <v>1759</v>
      </c>
      <c r="F115" s="613" t="s">
        <v>1760</v>
      </c>
      <c r="G115" s="612" t="s">
        <v>1457</v>
      </c>
      <c r="H115" s="612" t="s">
        <v>1458</v>
      </c>
      <c r="I115" s="614">
        <v>1.2250000000000001</v>
      </c>
      <c r="J115" s="614">
        <v>1000</v>
      </c>
      <c r="K115" s="615">
        <v>1226.79</v>
      </c>
    </row>
    <row r="116" spans="1:11" ht="14.4" customHeight="1" x14ac:dyDescent="0.3">
      <c r="A116" s="610" t="s">
        <v>538</v>
      </c>
      <c r="B116" s="611" t="s">
        <v>539</v>
      </c>
      <c r="C116" s="612" t="s">
        <v>549</v>
      </c>
      <c r="D116" s="613" t="s">
        <v>1193</v>
      </c>
      <c r="E116" s="612" t="s">
        <v>1759</v>
      </c>
      <c r="F116" s="613" t="s">
        <v>1760</v>
      </c>
      <c r="G116" s="612" t="s">
        <v>1459</v>
      </c>
      <c r="H116" s="612" t="s">
        <v>1460</v>
      </c>
      <c r="I116" s="614">
        <v>0.47285714285714281</v>
      </c>
      <c r="J116" s="614">
        <v>2700</v>
      </c>
      <c r="K116" s="615">
        <v>1276</v>
      </c>
    </row>
    <row r="117" spans="1:11" ht="14.4" customHeight="1" x14ac:dyDescent="0.3">
      <c r="A117" s="610" t="s">
        <v>538</v>
      </c>
      <c r="B117" s="611" t="s">
        <v>539</v>
      </c>
      <c r="C117" s="612" t="s">
        <v>549</v>
      </c>
      <c r="D117" s="613" t="s">
        <v>1193</v>
      </c>
      <c r="E117" s="612" t="s">
        <v>1759</v>
      </c>
      <c r="F117" s="613" t="s">
        <v>1760</v>
      </c>
      <c r="G117" s="612" t="s">
        <v>1363</v>
      </c>
      <c r="H117" s="612" t="s">
        <v>1364</v>
      </c>
      <c r="I117" s="614">
        <v>12.1</v>
      </c>
      <c r="J117" s="614">
        <v>60</v>
      </c>
      <c r="K117" s="615">
        <v>726</v>
      </c>
    </row>
    <row r="118" spans="1:11" ht="14.4" customHeight="1" x14ac:dyDescent="0.3">
      <c r="A118" s="610" t="s">
        <v>538</v>
      </c>
      <c r="B118" s="611" t="s">
        <v>539</v>
      </c>
      <c r="C118" s="612" t="s">
        <v>549</v>
      </c>
      <c r="D118" s="613" t="s">
        <v>1193</v>
      </c>
      <c r="E118" s="612" t="s">
        <v>1759</v>
      </c>
      <c r="F118" s="613" t="s">
        <v>1760</v>
      </c>
      <c r="G118" s="612" t="s">
        <v>1461</v>
      </c>
      <c r="H118" s="612" t="s">
        <v>1462</v>
      </c>
      <c r="I118" s="614">
        <v>10.83</v>
      </c>
      <c r="J118" s="614">
        <v>12</v>
      </c>
      <c r="K118" s="615">
        <v>129.94999999999999</v>
      </c>
    </row>
    <row r="119" spans="1:11" ht="14.4" customHeight="1" x14ac:dyDescent="0.3">
      <c r="A119" s="610" t="s">
        <v>538</v>
      </c>
      <c r="B119" s="611" t="s">
        <v>539</v>
      </c>
      <c r="C119" s="612" t="s">
        <v>549</v>
      </c>
      <c r="D119" s="613" t="s">
        <v>1193</v>
      </c>
      <c r="E119" s="612" t="s">
        <v>1759</v>
      </c>
      <c r="F119" s="613" t="s">
        <v>1760</v>
      </c>
      <c r="G119" s="612" t="s">
        <v>1463</v>
      </c>
      <c r="H119" s="612" t="s">
        <v>1464</v>
      </c>
      <c r="I119" s="614">
        <v>106.47999999999999</v>
      </c>
      <c r="J119" s="614">
        <v>10</v>
      </c>
      <c r="K119" s="615">
        <v>1064.8</v>
      </c>
    </row>
    <row r="120" spans="1:11" ht="14.4" customHeight="1" x14ac:dyDescent="0.3">
      <c r="A120" s="610" t="s">
        <v>538</v>
      </c>
      <c r="B120" s="611" t="s">
        <v>539</v>
      </c>
      <c r="C120" s="612" t="s">
        <v>549</v>
      </c>
      <c r="D120" s="613" t="s">
        <v>1193</v>
      </c>
      <c r="E120" s="612" t="s">
        <v>1759</v>
      </c>
      <c r="F120" s="613" t="s">
        <v>1760</v>
      </c>
      <c r="G120" s="612" t="s">
        <v>1369</v>
      </c>
      <c r="H120" s="612" t="s">
        <v>1370</v>
      </c>
      <c r="I120" s="614">
        <v>403.77625</v>
      </c>
      <c r="J120" s="614">
        <v>160</v>
      </c>
      <c r="K120" s="615">
        <v>64604.200000000004</v>
      </c>
    </row>
    <row r="121" spans="1:11" ht="14.4" customHeight="1" x14ac:dyDescent="0.3">
      <c r="A121" s="610" t="s">
        <v>538</v>
      </c>
      <c r="B121" s="611" t="s">
        <v>539</v>
      </c>
      <c r="C121" s="612" t="s">
        <v>549</v>
      </c>
      <c r="D121" s="613" t="s">
        <v>1193</v>
      </c>
      <c r="E121" s="612" t="s">
        <v>1759</v>
      </c>
      <c r="F121" s="613" t="s">
        <v>1760</v>
      </c>
      <c r="G121" s="612" t="s">
        <v>1465</v>
      </c>
      <c r="H121" s="612" t="s">
        <v>1466</v>
      </c>
      <c r="I121" s="614">
        <v>282.99</v>
      </c>
      <c r="J121" s="614">
        <v>2</v>
      </c>
      <c r="K121" s="615">
        <v>565.98</v>
      </c>
    </row>
    <row r="122" spans="1:11" ht="14.4" customHeight="1" x14ac:dyDescent="0.3">
      <c r="A122" s="610" t="s">
        <v>538</v>
      </c>
      <c r="B122" s="611" t="s">
        <v>539</v>
      </c>
      <c r="C122" s="612" t="s">
        <v>549</v>
      </c>
      <c r="D122" s="613" t="s">
        <v>1193</v>
      </c>
      <c r="E122" s="612" t="s">
        <v>1759</v>
      </c>
      <c r="F122" s="613" t="s">
        <v>1760</v>
      </c>
      <c r="G122" s="612" t="s">
        <v>1467</v>
      </c>
      <c r="H122" s="612" t="s">
        <v>1468</v>
      </c>
      <c r="I122" s="614">
        <v>5</v>
      </c>
      <c r="J122" s="614">
        <v>200</v>
      </c>
      <c r="K122" s="615">
        <v>1000.17</v>
      </c>
    </row>
    <row r="123" spans="1:11" ht="14.4" customHeight="1" x14ac:dyDescent="0.3">
      <c r="A123" s="610" t="s">
        <v>538</v>
      </c>
      <c r="B123" s="611" t="s">
        <v>539</v>
      </c>
      <c r="C123" s="612" t="s">
        <v>549</v>
      </c>
      <c r="D123" s="613" t="s">
        <v>1193</v>
      </c>
      <c r="E123" s="612" t="s">
        <v>1759</v>
      </c>
      <c r="F123" s="613" t="s">
        <v>1760</v>
      </c>
      <c r="G123" s="612" t="s">
        <v>1373</v>
      </c>
      <c r="H123" s="612" t="s">
        <v>1374</v>
      </c>
      <c r="I123" s="614">
        <v>5.81</v>
      </c>
      <c r="J123" s="614">
        <v>90</v>
      </c>
      <c r="K123" s="615">
        <v>522.72</v>
      </c>
    </row>
    <row r="124" spans="1:11" ht="14.4" customHeight="1" x14ac:dyDescent="0.3">
      <c r="A124" s="610" t="s">
        <v>538</v>
      </c>
      <c r="B124" s="611" t="s">
        <v>539</v>
      </c>
      <c r="C124" s="612" t="s">
        <v>549</v>
      </c>
      <c r="D124" s="613" t="s">
        <v>1193</v>
      </c>
      <c r="E124" s="612" t="s">
        <v>1759</v>
      </c>
      <c r="F124" s="613" t="s">
        <v>1760</v>
      </c>
      <c r="G124" s="612" t="s">
        <v>1377</v>
      </c>
      <c r="H124" s="612" t="s">
        <v>1378</v>
      </c>
      <c r="I124" s="614">
        <v>113</v>
      </c>
      <c r="J124" s="614">
        <v>10</v>
      </c>
      <c r="K124" s="615">
        <v>1130</v>
      </c>
    </row>
    <row r="125" spans="1:11" ht="14.4" customHeight="1" x14ac:dyDescent="0.3">
      <c r="A125" s="610" t="s">
        <v>538</v>
      </c>
      <c r="B125" s="611" t="s">
        <v>539</v>
      </c>
      <c r="C125" s="612" t="s">
        <v>549</v>
      </c>
      <c r="D125" s="613" t="s">
        <v>1193</v>
      </c>
      <c r="E125" s="612" t="s">
        <v>1759</v>
      </c>
      <c r="F125" s="613" t="s">
        <v>1760</v>
      </c>
      <c r="G125" s="612" t="s">
        <v>1469</v>
      </c>
      <c r="H125" s="612" t="s">
        <v>1470</v>
      </c>
      <c r="I125" s="614">
        <v>1316</v>
      </c>
      <c r="J125" s="614">
        <v>5</v>
      </c>
      <c r="K125" s="615">
        <v>6580</v>
      </c>
    </row>
    <row r="126" spans="1:11" ht="14.4" customHeight="1" x14ac:dyDescent="0.3">
      <c r="A126" s="610" t="s">
        <v>538</v>
      </c>
      <c r="B126" s="611" t="s">
        <v>539</v>
      </c>
      <c r="C126" s="612" t="s">
        <v>549</v>
      </c>
      <c r="D126" s="613" t="s">
        <v>1193</v>
      </c>
      <c r="E126" s="612" t="s">
        <v>1759</v>
      </c>
      <c r="F126" s="613" t="s">
        <v>1760</v>
      </c>
      <c r="G126" s="612" t="s">
        <v>1471</v>
      </c>
      <c r="H126" s="612" t="s">
        <v>1472</v>
      </c>
      <c r="I126" s="614">
        <v>20.29</v>
      </c>
      <c r="J126" s="614">
        <v>1056</v>
      </c>
      <c r="K126" s="615">
        <v>21427.919999999998</v>
      </c>
    </row>
    <row r="127" spans="1:11" ht="14.4" customHeight="1" x14ac:dyDescent="0.3">
      <c r="A127" s="610" t="s">
        <v>538</v>
      </c>
      <c r="B127" s="611" t="s">
        <v>539</v>
      </c>
      <c r="C127" s="612" t="s">
        <v>549</v>
      </c>
      <c r="D127" s="613" t="s">
        <v>1193</v>
      </c>
      <c r="E127" s="612" t="s">
        <v>1759</v>
      </c>
      <c r="F127" s="613" t="s">
        <v>1760</v>
      </c>
      <c r="G127" s="612" t="s">
        <v>1471</v>
      </c>
      <c r="H127" s="612" t="s">
        <v>1473</v>
      </c>
      <c r="I127" s="614">
        <v>20.29</v>
      </c>
      <c r="J127" s="614">
        <v>768</v>
      </c>
      <c r="K127" s="615">
        <v>15583.96</v>
      </c>
    </row>
    <row r="128" spans="1:11" ht="14.4" customHeight="1" x14ac:dyDescent="0.3">
      <c r="A128" s="610" t="s">
        <v>538</v>
      </c>
      <c r="B128" s="611" t="s">
        <v>539</v>
      </c>
      <c r="C128" s="612" t="s">
        <v>549</v>
      </c>
      <c r="D128" s="613" t="s">
        <v>1193</v>
      </c>
      <c r="E128" s="612" t="s">
        <v>1759</v>
      </c>
      <c r="F128" s="613" t="s">
        <v>1760</v>
      </c>
      <c r="G128" s="612" t="s">
        <v>1474</v>
      </c>
      <c r="H128" s="612" t="s">
        <v>1475</v>
      </c>
      <c r="I128" s="614">
        <v>14.159999999999998</v>
      </c>
      <c r="J128" s="614">
        <v>2400</v>
      </c>
      <c r="K128" s="615">
        <v>33976.699999999997</v>
      </c>
    </row>
    <row r="129" spans="1:11" ht="14.4" customHeight="1" x14ac:dyDescent="0.3">
      <c r="A129" s="610" t="s">
        <v>538</v>
      </c>
      <c r="B129" s="611" t="s">
        <v>539</v>
      </c>
      <c r="C129" s="612" t="s">
        <v>549</v>
      </c>
      <c r="D129" s="613" t="s">
        <v>1193</v>
      </c>
      <c r="E129" s="612" t="s">
        <v>1759</v>
      </c>
      <c r="F129" s="613" t="s">
        <v>1760</v>
      </c>
      <c r="G129" s="612" t="s">
        <v>1476</v>
      </c>
      <c r="H129" s="612" t="s">
        <v>1477</v>
      </c>
      <c r="I129" s="614">
        <v>12.27</v>
      </c>
      <c r="J129" s="614">
        <v>1650</v>
      </c>
      <c r="K129" s="615">
        <v>20244.399999999998</v>
      </c>
    </row>
    <row r="130" spans="1:11" ht="14.4" customHeight="1" x14ac:dyDescent="0.3">
      <c r="A130" s="610" t="s">
        <v>538</v>
      </c>
      <c r="B130" s="611" t="s">
        <v>539</v>
      </c>
      <c r="C130" s="612" t="s">
        <v>549</v>
      </c>
      <c r="D130" s="613" t="s">
        <v>1193</v>
      </c>
      <c r="E130" s="612" t="s">
        <v>1759</v>
      </c>
      <c r="F130" s="613" t="s">
        <v>1760</v>
      </c>
      <c r="G130" s="612" t="s">
        <v>1478</v>
      </c>
      <c r="H130" s="612" t="s">
        <v>1479</v>
      </c>
      <c r="I130" s="614">
        <v>18.400000000000002</v>
      </c>
      <c r="J130" s="614">
        <v>9900</v>
      </c>
      <c r="K130" s="615">
        <v>182200.6</v>
      </c>
    </row>
    <row r="131" spans="1:11" ht="14.4" customHeight="1" x14ac:dyDescent="0.3">
      <c r="A131" s="610" t="s">
        <v>538</v>
      </c>
      <c r="B131" s="611" t="s">
        <v>539</v>
      </c>
      <c r="C131" s="612" t="s">
        <v>549</v>
      </c>
      <c r="D131" s="613" t="s">
        <v>1193</v>
      </c>
      <c r="E131" s="612" t="s">
        <v>1759</v>
      </c>
      <c r="F131" s="613" t="s">
        <v>1760</v>
      </c>
      <c r="G131" s="612" t="s">
        <v>1480</v>
      </c>
      <c r="H131" s="612" t="s">
        <v>1481</v>
      </c>
      <c r="I131" s="614">
        <v>12.27</v>
      </c>
      <c r="J131" s="614">
        <v>17430</v>
      </c>
      <c r="K131" s="615">
        <v>213855.5</v>
      </c>
    </row>
    <row r="132" spans="1:11" ht="14.4" customHeight="1" x14ac:dyDescent="0.3">
      <c r="A132" s="610" t="s">
        <v>538</v>
      </c>
      <c r="B132" s="611" t="s">
        <v>539</v>
      </c>
      <c r="C132" s="612" t="s">
        <v>549</v>
      </c>
      <c r="D132" s="613" t="s">
        <v>1193</v>
      </c>
      <c r="E132" s="612" t="s">
        <v>1759</v>
      </c>
      <c r="F132" s="613" t="s">
        <v>1760</v>
      </c>
      <c r="G132" s="612" t="s">
        <v>1379</v>
      </c>
      <c r="H132" s="612" t="s">
        <v>1380</v>
      </c>
      <c r="I132" s="614">
        <v>350.9</v>
      </c>
      <c r="J132" s="614">
        <v>4</v>
      </c>
      <c r="K132" s="615">
        <v>1403.6</v>
      </c>
    </row>
    <row r="133" spans="1:11" ht="14.4" customHeight="1" x14ac:dyDescent="0.3">
      <c r="A133" s="610" t="s">
        <v>538</v>
      </c>
      <c r="B133" s="611" t="s">
        <v>539</v>
      </c>
      <c r="C133" s="612" t="s">
        <v>549</v>
      </c>
      <c r="D133" s="613" t="s">
        <v>1193</v>
      </c>
      <c r="E133" s="612" t="s">
        <v>1759</v>
      </c>
      <c r="F133" s="613" t="s">
        <v>1760</v>
      </c>
      <c r="G133" s="612" t="s">
        <v>1383</v>
      </c>
      <c r="H133" s="612" t="s">
        <v>1384</v>
      </c>
      <c r="I133" s="614">
        <v>196</v>
      </c>
      <c r="J133" s="614">
        <v>5</v>
      </c>
      <c r="K133" s="615">
        <v>979.99</v>
      </c>
    </row>
    <row r="134" spans="1:11" ht="14.4" customHeight="1" x14ac:dyDescent="0.3">
      <c r="A134" s="610" t="s">
        <v>538</v>
      </c>
      <c r="B134" s="611" t="s">
        <v>539</v>
      </c>
      <c r="C134" s="612" t="s">
        <v>549</v>
      </c>
      <c r="D134" s="613" t="s">
        <v>1193</v>
      </c>
      <c r="E134" s="612" t="s">
        <v>1769</v>
      </c>
      <c r="F134" s="613" t="s">
        <v>1770</v>
      </c>
      <c r="G134" s="612" t="s">
        <v>1482</v>
      </c>
      <c r="H134" s="612" t="s">
        <v>1483</v>
      </c>
      <c r="I134" s="614">
        <v>7</v>
      </c>
      <c r="J134" s="614">
        <v>20</v>
      </c>
      <c r="K134" s="615">
        <v>140</v>
      </c>
    </row>
    <row r="135" spans="1:11" ht="14.4" customHeight="1" x14ac:dyDescent="0.3">
      <c r="A135" s="610" t="s">
        <v>538</v>
      </c>
      <c r="B135" s="611" t="s">
        <v>539</v>
      </c>
      <c r="C135" s="612" t="s">
        <v>549</v>
      </c>
      <c r="D135" s="613" t="s">
        <v>1193</v>
      </c>
      <c r="E135" s="612" t="s">
        <v>1761</v>
      </c>
      <c r="F135" s="613" t="s">
        <v>1762</v>
      </c>
      <c r="G135" s="612" t="s">
        <v>1407</v>
      </c>
      <c r="H135" s="612" t="s">
        <v>1408</v>
      </c>
      <c r="I135" s="614">
        <v>0.31</v>
      </c>
      <c r="J135" s="614">
        <v>100</v>
      </c>
      <c r="K135" s="615">
        <v>31</v>
      </c>
    </row>
    <row r="136" spans="1:11" ht="14.4" customHeight="1" x14ac:dyDescent="0.3">
      <c r="A136" s="610" t="s">
        <v>538</v>
      </c>
      <c r="B136" s="611" t="s">
        <v>539</v>
      </c>
      <c r="C136" s="612" t="s">
        <v>549</v>
      </c>
      <c r="D136" s="613" t="s">
        <v>1193</v>
      </c>
      <c r="E136" s="612" t="s">
        <v>1761</v>
      </c>
      <c r="F136" s="613" t="s">
        <v>1762</v>
      </c>
      <c r="G136" s="612" t="s">
        <v>1411</v>
      </c>
      <c r="H136" s="612" t="s">
        <v>1412</v>
      </c>
      <c r="I136" s="614">
        <v>0.48666666666666664</v>
      </c>
      <c r="J136" s="614">
        <v>300</v>
      </c>
      <c r="K136" s="615">
        <v>146</v>
      </c>
    </row>
    <row r="137" spans="1:11" ht="14.4" customHeight="1" x14ac:dyDescent="0.3">
      <c r="A137" s="610" t="s">
        <v>538</v>
      </c>
      <c r="B137" s="611" t="s">
        <v>539</v>
      </c>
      <c r="C137" s="612" t="s">
        <v>549</v>
      </c>
      <c r="D137" s="613" t="s">
        <v>1193</v>
      </c>
      <c r="E137" s="612" t="s">
        <v>1761</v>
      </c>
      <c r="F137" s="613" t="s">
        <v>1762</v>
      </c>
      <c r="G137" s="612" t="s">
        <v>1484</v>
      </c>
      <c r="H137" s="612" t="s">
        <v>1485</v>
      </c>
      <c r="I137" s="614">
        <v>0.3</v>
      </c>
      <c r="J137" s="614">
        <v>600</v>
      </c>
      <c r="K137" s="615">
        <v>182.16</v>
      </c>
    </row>
    <row r="138" spans="1:11" ht="14.4" customHeight="1" x14ac:dyDescent="0.3">
      <c r="A138" s="610" t="s">
        <v>538</v>
      </c>
      <c r="B138" s="611" t="s">
        <v>539</v>
      </c>
      <c r="C138" s="612" t="s">
        <v>549</v>
      </c>
      <c r="D138" s="613" t="s">
        <v>1193</v>
      </c>
      <c r="E138" s="612" t="s">
        <v>1763</v>
      </c>
      <c r="F138" s="613" t="s">
        <v>1764</v>
      </c>
      <c r="G138" s="612" t="s">
        <v>1417</v>
      </c>
      <c r="H138" s="612" t="s">
        <v>1418</v>
      </c>
      <c r="I138" s="614">
        <v>0.71</v>
      </c>
      <c r="J138" s="614">
        <v>20000</v>
      </c>
      <c r="K138" s="615">
        <v>14200</v>
      </c>
    </row>
    <row r="139" spans="1:11" ht="14.4" customHeight="1" x14ac:dyDescent="0.3">
      <c r="A139" s="610" t="s">
        <v>538</v>
      </c>
      <c r="B139" s="611" t="s">
        <v>539</v>
      </c>
      <c r="C139" s="612" t="s">
        <v>549</v>
      </c>
      <c r="D139" s="613" t="s">
        <v>1193</v>
      </c>
      <c r="E139" s="612" t="s">
        <v>1763</v>
      </c>
      <c r="F139" s="613" t="s">
        <v>1764</v>
      </c>
      <c r="G139" s="612" t="s">
        <v>1486</v>
      </c>
      <c r="H139" s="612" t="s">
        <v>1487</v>
      </c>
      <c r="I139" s="614">
        <v>12.58</v>
      </c>
      <c r="J139" s="614">
        <v>20</v>
      </c>
      <c r="K139" s="615">
        <v>251.6</v>
      </c>
    </row>
    <row r="140" spans="1:11" ht="14.4" customHeight="1" x14ac:dyDescent="0.3">
      <c r="A140" s="610" t="s">
        <v>538</v>
      </c>
      <c r="B140" s="611" t="s">
        <v>539</v>
      </c>
      <c r="C140" s="612" t="s">
        <v>549</v>
      </c>
      <c r="D140" s="613" t="s">
        <v>1193</v>
      </c>
      <c r="E140" s="612" t="s">
        <v>1767</v>
      </c>
      <c r="F140" s="613" t="s">
        <v>1768</v>
      </c>
      <c r="G140" s="612" t="s">
        <v>1488</v>
      </c>
      <c r="H140" s="612" t="s">
        <v>1489</v>
      </c>
      <c r="I140" s="614">
        <v>3341.9</v>
      </c>
      <c r="J140" s="614">
        <v>4</v>
      </c>
      <c r="K140" s="615">
        <v>13367.6</v>
      </c>
    </row>
    <row r="141" spans="1:11" ht="14.4" customHeight="1" x14ac:dyDescent="0.3">
      <c r="A141" s="610" t="s">
        <v>538</v>
      </c>
      <c r="B141" s="611" t="s">
        <v>539</v>
      </c>
      <c r="C141" s="612" t="s">
        <v>552</v>
      </c>
      <c r="D141" s="613" t="s">
        <v>1194</v>
      </c>
      <c r="E141" s="612" t="s">
        <v>1757</v>
      </c>
      <c r="F141" s="613" t="s">
        <v>1758</v>
      </c>
      <c r="G141" s="612" t="s">
        <v>1285</v>
      </c>
      <c r="H141" s="612" t="s">
        <v>1286</v>
      </c>
      <c r="I141" s="614">
        <v>4.3</v>
      </c>
      <c r="J141" s="614">
        <v>168</v>
      </c>
      <c r="K141" s="615">
        <v>722.40000000000009</v>
      </c>
    </row>
    <row r="142" spans="1:11" ht="14.4" customHeight="1" x14ac:dyDescent="0.3">
      <c r="A142" s="610" t="s">
        <v>538</v>
      </c>
      <c r="B142" s="611" t="s">
        <v>539</v>
      </c>
      <c r="C142" s="612" t="s">
        <v>552</v>
      </c>
      <c r="D142" s="613" t="s">
        <v>1194</v>
      </c>
      <c r="E142" s="612" t="s">
        <v>1757</v>
      </c>
      <c r="F142" s="613" t="s">
        <v>1758</v>
      </c>
      <c r="G142" s="612" t="s">
        <v>1289</v>
      </c>
      <c r="H142" s="612" t="s">
        <v>1290</v>
      </c>
      <c r="I142" s="614">
        <v>0.4</v>
      </c>
      <c r="J142" s="614">
        <v>100</v>
      </c>
      <c r="K142" s="615">
        <v>40</v>
      </c>
    </row>
    <row r="143" spans="1:11" ht="14.4" customHeight="1" x14ac:dyDescent="0.3">
      <c r="A143" s="610" t="s">
        <v>538</v>
      </c>
      <c r="B143" s="611" t="s">
        <v>539</v>
      </c>
      <c r="C143" s="612" t="s">
        <v>552</v>
      </c>
      <c r="D143" s="613" t="s">
        <v>1194</v>
      </c>
      <c r="E143" s="612" t="s">
        <v>1757</v>
      </c>
      <c r="F143" s="613" t="s">
        <v>1758</v>
      </c>
      <c r="G143" s="612" t="s">
        <v>1291</v>
      </c>
      <c r="H143" s="612" t="s">
        <v>1292</v>
      </c>
      <c r="I143" s="614">
        <v>28.276666666666667</v>
      </c>
      <c r="J143" s="614">
        <v>4</v>
      </c>
      <c r="K143" s="615">
        <v>113.56</v>
      </c>
    </row>
    <row r="144" spans="1:11" ht="14.4" customHeight="1" x14ac:dyDescent="0.3">
      <c r="A144" s="610" t="s">
        <v>538</v>
      </c>
      <c r="B144" s="611" t="s">
        <v>539</v>
      </c>
      <c r="C144" s="612" t="s">
        <v>552</v>
      </c>
      <c r="D144" s="613" t="s">
        <v>1194</v>
      </c>
      <c r="E144" s="612" t="s">
        <v>1757</v>
      </c>
      <c r="F144" s="613" t="s">
        <v>1758</v>
      </c>
      <c r="G144" s="612" t="s">
        <v>1293</v>
      </c>
      <c r="H144" s="612" t="s">
        <v>1294</v>
      </c>
      <c r="I144" s="614">
        <v>1.4257142857142855</v>
      </c>
      <c r="J144" s="614">
        <v>2600</v>
      </c>
      <c r="K144" s="615">
        <v>3703.2300000000005</v>
      </c>
    </row>
    <row r="145" spans="1:11" ht="14.4" customHeight="1" x14ac:dyDescent="0.3">
      <c r="A145" s="610" t="s">
        <v>538</v>
      </c>
      <c r="B145" s="611" t="s">
        <v>539</v>
      </c>
      <c r="C145" s="612" t="s">
        <v>552</v>
      </c>
      <c r="D145" s="613" t="s">
        <v>1194</v>
      </c>
      <c r="E145" s="612" t="s">
        <v>1757</v>
      </c>
      <c r="F145" s="613" t="s">
        <v>1758</v>
      </c>
      <c r="G145" s="612" t="s">
        <v>1435</v>
      </c>
      <c r="H145" s="612" t="s">
        <v>1436</v>
      </c>
      <c r="I145" s="614">
        <v>0.31666666666666671</v>
      </c>
      <c r="J145" s="614">
        <v>11700</v>
      </c>
      <c r="K145" s="615">
        <v>3713.5800000000004</v>
      </c>
    </row>
    <row r="146" spans="1:11" ht="14.4" customHeight="1" x14ac:dyDescent="0.3">
      <c r="A146" s="610" t="s">
        <v>538</v>
      </c>
      <c r="B146" s="611" t="s">
        <v>539</v>
      </c>
      <c r="C146" s="612" t="s">
        <v>552</v>
      </c>
      <c r="D146" s="613" t="s">
        <v>1194</v>
      </c>
      <c r="E146" s="612" t="s">
        <v>1757</v>
      </c>
      <c r="F146" s="613" t="s">
        <v>1758</v>
      </c>
      <c r="G146" s="612" t="s">
        <v>1490</v>
      </c>
      <c r="H146" s="612" t="s">
        <v>1491</v>
      </c>
      <c r="I146" s="614">
        <v>26.560000000000002</v>
      </c>
      <c r="J146" s="614">
        <v>48</v>
      </c>
      <c r="K146" s="615">
        <v>1274.9099999999999</v>
      </c>
    </row>
    <row r="147" spans="1:11" ht="14.4" customHeight="1" x14ac:dyDescent="0.3">
      <c r="A147" s="610" t="s">
        <v>538</v>
      </c>
      <c r="B147" s="611" t="s">
        <v>539</v>
      </c>
      <c r="C147" s="612" t="s">
        <v>552</v>
      </c>
      <c r="D147" s="613" t="s">
        <v>1194</v>
      </c>
      <c r="E147" s="612" t="s">
        <v>1757</v>
      </c>
      <c r="F147" s="613" t="s">
        <v>1758</v>
      </c>
      <c r="G147" s="612" t="s">
        <v>1492</v>
      </c>
      <c r="H147" s="612" t="s">
        <v>1493</v>
      </c>
      <c r="I147" s="614">
        <v>22.15</v>
      </c>
      <c r="J147" s="614">
        <v>25</v>
      </c>
      <c r="K147" s="615">
        <v>553.75</v>
      </c>
    </row>
    <row r="148" spans="1:11" ht="14.4" customHeight="1" x14ac:dyDescent="0.3">
      <c r="A148" s="610" t="s">
        <v>538</v>
      </c>
      <c r="B148" s="611" t="s">
        <v>539</v>
      </c>
      <c r="C148" s="612" t="s">
        <v>552</v>
      </c>
      <c r="D148" s="613" t="s">
        <v>1194</v>
      </c>
      <c r="E148" s="612" t="s">
        <v>1757</v>
      </c>
      <c r="F148" s="613" t="s">
        <v>1758</v>
      </c>
      <c r="G148" s="612" t="s">
        <v>1297</v>
      </c>
      <c r="H148" s="612" t="s">
        <v>1298</v>
      </c>
      <c r="I148" s="614">
        <v>2.9187499999999997</v>
      </c>
      <c r="J148" s="614">
        <v>2560</v>
      </c>
      <c r="K148" s="615">
        <v>7462.85</v>
      </c>
    </row>
    <row r="149" spans="1:11" ht="14.4" customHeight="1" x14ac:dyDescent="0.3">
      <c r="A149" s="610" t="s">
        <v>538</v>
      </c>
      <c r="B149" s="611" t="s">
        <v>539</v>
      </c>
      <c r="C149" s="612" t="s">
        <v>552</v>
      </c>
      <c r="D149" s="613" t="s">
        <v>1194</v>
      </c>
      <c r="E149" s="612" t="s">
        <v>1757</v>
      </c>
      <c r="F149" s="613" t="s">
        <v>1758</v>
      </c>
      <c r="G149" s="612" t="s">
        <v>1437</v>
      </c>
      <c r="H149" s="612" t="s">
        <v>1438</v>
      </c>
      <c r="I149" s="614">
        <v>0.6071428571428571</v>
      </c>
      <c r="J149" s="614">
        <v>2800</v>
      </c>
      <c r="K149" s="615">
        <v>1707</v>
      </c>
    </row>
    <row r="150" spans="1:11" ht="14.4" customHeight="1" x14ac:dyDescent="0.3">
      <c r="A150" s="610" t="s">
        <v>538</v>
      </c>
      <c r="B150" s="611" t="s">
        <v>539</v>
      </c>
      <c r="C150" s="612" t="s">
        <v>552</v>
      </c>
      <c r="D150" s="613" t="s">
        <v>1194</v>
      </c>
      <c r="E150" s="612" t="s">
        <v>1757</v>
      </c>
      <c r="F150" s="613" t="s">
        <v>1758</v>
      </c>
      <c r="G150" s="612" t="s">
        <v>1494</v>
      </c>
      <c r="H150" s="612" t="s">
        <v>1495</v>
      </c>
      <c r="I150" s="614">
        <v>50.66</v>
      </c>
      <c r="J150" s="614">
        <v>110</v>
      </c>
      <c r="K150" s="615">
        <v>5637.880000000001</v>
      </c>
    </row>
    <row r="151" spans="1:11" ht="14.4" customHeight="1" x14ac:dyDescent="0.3">
      <c r="A151" s="610" t="s">
        <v>538</v>
      </c>
      <c r="B151" s="611" t="s">
        <v>539</v>
      </c>
      <c r="C151" s="612" t="s">
        <v>552</v>
      </c>
      <c r="D151" s="613" t="s">
        <v>1194</v>
      </c>
      <c r="E151" s="612" t="s">
        <v>1757</v>
      </c>
      <c r="F151" s="613" t="s">
        <v>1758</v>
      </c>
      <c r="G151" s="612" t="s">
        <v>1496</v>
      </c>
      <c r="H151" s="612" t="s">
        <v>1497</v>
      </c>
      <c r="I151" s="614">
        <v>8.58</v>
      </c>
      <c r="J151" s="614">
        <v>48</v>
      </c>
      <c r="K151" s="615">
        <v>411.84</v>
      </c>
    </row>
    <row r="152" spans="1:11" ht="14.4" customHeight="1" x14ac:dyDescent="0.3">
      <c r="A152" s="610" t="s">
        <v>538</v>
      </c>
      <c r="B152" s="611" t="s">
        <v>539</v>
      </c>
      <c r="C152" s="612" t="s">
        <v>552</v>
      </c>
      <c r="D152" s="613" t="s">
        <v>1194</v>
      </c>
      <c r="E152" s="612" t="s">
        <v>1757</v>
      </c>
      <c r="F152" s="613" t="s">
        <v>1758</v>
      </c>
      <c r="G152" s="612" t="s">
        <v>1498</v>
      </c>
      <c r="H152" s="612" t="s">
        <v>1499</v>
      </c>
      <c r="I152" s="614">
        <v>159.55000000000001</v>
      </c>
      <c r="J152" s="614">
        <v>15</v>
      </c>
      <c r="K152" s="615">
        <v>2393.2600000000002</v>
      </c>
    </row>
    <row r="153" spans="1:11" ht="14.4" customHeight="1" x14ac:dyDescent="0.3">
      <c r="A153" s="610" t="s">
        <v>538</v>
      </c>
      <c r="B153" s="611" t="s">
        <v>539</v>
      </c>
      <c r="C153" s="612" t="s">
        <v>552</v>
      </c>
      <c r="D153" s="613" t="s">
        <v>1194</v>
      </c>
      <c r="E153" s="612" t="s">
        <v>1757</v>
      </c>
      <c r="F153" s="613" t="s">
        <v>1758</v>
      </c>
      <c r="G153" s="612" t="s">
        <v>1439</v>
      </c>
      <c r="H153" s="612" t="s">
        <v>1440</v>
      </c>
      <c r="I153" s="614">
        <v>1.29</v>
      </c>
      <c r="J153" s="614">
        <v>500</v>
      </c>
      <c r="K153" s="615">
        <v>645</v>
      </c>
    </row>
    <row r="154" spans="1:11" ht="14.4" customHeight="1" x14ac:dyDescent="0.3">
      <c r="A154" s="610" t="s">
        <v>538</v>
      </c>
      <c r="B154" s="611" t="s">
        <v>539</v>
      </c>
      <c r="C154" s="612" t="s">
        <v>552</v>
      </c>
      <c r="D154" s="613" t="s">
        <v>1194</v>
      </c>
      <c r="E154" s="612" t="s">
        <v>1757</v>
      </c>
      <c r="F154" s="613" t="s">
        <v>1758</v>
      </c>
      <c r="G154" s="612" t="s">
        <v>1500</v>
      </c>
      <c r="H154" s="612" t="s">
        <v>1501</v>
      </c>
      <c r="I154" s="614">
        <v>120.69</v>
      </c>
      <c r="J154" s="614">
        <v>60</v>
      </c>
      <c r="K154" s="615">
        <v>7241.5499999999993</v>
      </c>
    </row>
    <row r="155" spans="1:11" ht="14.4" customHeight="1" x14ac:dyDescent="0.3">
      <c r="A155" s="610" t="s">
        <v>538</v>
      </c>
      <c r="B155" s="611" t="s">
        <v>539</v>
      </c>
      <c r="C155" s="612" t="s">
        <v>552</v>
      </c>
      <c r="D155" s="613" t="s">
        <v>1194</v>
      </c>
      <c r="E155" s="612" t="s">
        <v>1757</v>
      </c>
      <c r="F155" s="613" t="s">
        <v>1758</v>
      </c>
      <c r="G155" s="612" t="s">
        <v>1502</v>
      </c>
      <c r="H155" s="612" t="s">
        <v>1503</v>
      </c>
      <c r="I155" s="614">
        <v>85.42</v>
      </c>
      <c r="J155" s="614">
        <v>60</v>
      </c>
      <c r="K155" s="615">
        <v>5125.3200000000006</v>
      </c>
    </row>
    <row r="156" spans="1:11" ht="14.4" customHeight="1" x14ac:dyDescent="0.3">
      <c r="A156" s="610" t="s">
        <v>538</v>
      </c>
      <c r="B156" s="611" t="s">
        <v>539</v>
      </c>
      <c r="C156" s="612" t="s">
        <v>552</v>
      </c>
      <c r="D156" s="613" t="s">
        <v>1194</v>
      </c>
      <c r="E156" s="612" t="s">
        <v>1757</v>
      </c>
      <c r="F156" s="613" t="s">
        <v>1758</v>
      </c>
      <c r="G156" s="612" t="s">
        <v>1441</v>
      </c>
      <c r="H156" s="612" t="s">
        <v>1442</v>
      </c>
      <c r="I156" s="614">
        <v>13.16</v>
      </c>
      <c r="J156" s="614">
        <v>144</v>
      </c>
      <c r="K156" s="615">
        <v>1894.46</v>
      </c>
    </row>
    <row r="157" spans="1:11" ht="14.4" customHeight="1" x14ac:dyDescent="0.3">
      <c r="A157" s="610" t="s">
        <v>538</v>
      </c>
      <c r="B157" s="611" t="s">
        <v>539</v>
      </c>
      <c r="C157" s="612" t="s">
        <v>552</v>
      </c>
      <c r="D157" s="613" t="s">
        <v>1194</v>
      </c>
      <c r="E157" s="612" t="s">
        <v>1757</v>
      </c>
      <c r="F157" s="613" t="s">
        <v>1758</v>
      </c>
      <c r="G157" s="612" t="s">
        <v>1504</v>
      </c>
      <c r="H157" s="612" t="s">
        <v>1505</v>
      </c>
      <c r="I157" s="614">
        <v>124.41</v>
      </c>
      <c r="J157" s="614">
        <v>10</v>
      </c>
      <c r="K157" s="615">
        <v>1244.0999999999999</v>
      </c>
    </row>
    <row r="158" spans="1:11" ht="14.4" customHeight="1" x14ac:dyDescent="0.3">
      <c r="A158" s="610" t="s">
        <v>538</v>
      </c>
      <c r="B158" s="611" t="s">
        <v>539</v>
      </c>
      <c r="C158" s="612" t="s">
        <v>552</v>
      </c>
      <c r="D158" s="613" t="s">
        <v>1194</v>
      </c>
      <c r="E158" s="612" t="s">
        <v>1757</v>
      </c>
      <c r="F158" s="613" t="s">
        <v>1758</v>
      </c>
      <c r="G158" s="612" t="s">
        <v>1443</v>
      </c>
      <c r="H158" s="612" t="s">
        <v>1444</v>
      </c>
      <c r="I158" s="614">
        <v>0.85499999999999998</v>
      </c>
      <c r="J158" s="614">
        <v>150</v>
      </c>
      <c r="K158" s="615">
        <v>128.5</v>
      </c>
    </row>
    <row r="159" spans="1:11" ht="14.4" customHeight="1" x14ac:dyDescent="0.3">
      <c r="A159" s="610" t="s">
        <v>538</v>
      </c>
      <c r="B159" s="611" t="s">
        <v>539</v>
      </c>
      <c r="C159" s="612" t="s">
        <v>552</v>
      </c>
      <c r="D159" s="613" t="s">
        <v>1194</v>
      </c>
      <c r="E159" s="612" t="s">
        <v>1757</v>
      </c>
      <c r="F159" s="613" t="s">
        <v>1758</v>
      </c>
      <c r="G159" s="612" t="s">
        <v>1506</v>
      </c>
      <c r="H159" s="612" t="s">
        <v>1507</v>
      </c>
      <c r="I159" s="614">
        <v>1.52</v>
      </c>
      <c r="J159" s="614">
        <v>50</v>
      </c>
      <c r="K159" s="615">
        <v>76</v>
      </c>
    </row>
    <row r="160" spans="1:11" ht="14.4" customHeight="1" x14ac:dyDescent="0.3">
      <c r="A160" s="610" t="s">
        <v>538</v>
      </c>
      <c r="B160" s="611" t="s">
        <v>539</v>
      </c>
      <c r="C160" s="612" t="s">
        <v>552</v>
      </c>
      <c r="D160" s="613" t="s">
        <v>1194</v>
      </c>
      <c r="E160" s="612" t="s">
        <v>1757</v>
      </c>
      <c r="F160" s="613" t="s">
        <v>1758</v>
      </c>
      <c r="G160" s="612" t="s">
        <v>1301</v>
      </c>
      <c r="H160" s="612" t="s">
        <v>1302</v>
      </c>
      <c r="I160" s="614">
        <v>0.31</v>
      </c>
      <c r="J160" s="614">
        <v>19200</v>
      </c>
      <c r="K160" s="615">
        <v>5957.28</v>
      </c>
    </row>
    <row r="161" spans="1:11" ht="14.4" customHeight="1" x14ac:dyDescent="0.3">
      <c r="A161" s="610" t="s">
        <v>538</v>
      </c>
      <c r="B161" s="611" t="s">
        <v>539</v>
      </c>
      <c r="C161" s="612" t="s">
        <v>552</v>
      </c>
      <c r="D161" s="613" t="s">
        <v>1194</v>
      </c>
      <c r="E161" s="612" t="s">
        <v>1757</v>
      </c>
      <c r="F161" s="613" t="s">
        <v>1758</v>
      </c>
      <c r="G161" s="612" t="s">
        <v>1508</v>
      </c>
      <c r="H161" s="612" t="s">
        <v>1509</v>
      </c>
      <c r="I161" s="614">
        <v>17.63</v>
      </c>
      <c r="J161" s="614">
        <v>54</v>
      </c>
      <c r="K161" s="615">
        <v>952.2</v>
      </c>
    </row>
    <row r="162" spans="1:11" ht="14.4" customHeight="1" x14ac:dyDescent="0.3">
      <c r="A162" s="610" t="s">
        <v>538</v>
      </c>
      <c r="B162" s="611" t="s">
        <v>539</v>
      </c>
      <c r="C162" s="612" t="s">
        <v>552</v>
      </c>
      <c r="D162" s="613" t="s">
        <v>1194</v>
      </c>
      <c r="E162" s="612" t="s">
        <v>1757</v>
      </c>
      <c r="F162" s="613" t="s">
        <v>1758</v>
      </c>
      <c r="G162" s="612" t="s">
        <v>1510</v>
      </c>
      <c r="H162" s="612" t="s">
        <v>1511</v>
      </c>
      <c r="I162" s="614">
        <v>0.36</v>
      </c>
      <c r="J162" s="614">
        <v>1000</v>
      </c>
      <c r="K162" s="615">
        <v>362</v>
      </c>
    </row>
    <row r="163" spans="1:11" ht="14.4" customHeight="1" x14ac:dyDescent="0.3">
      <c r="A163" s="610" t="s">
        <v>538</v>
      </c>
      <c r="B163" s="611" t="s">
        <v>539</v>
      </c>
      <c r="C163" s="612" t="s">
        <v>552</v>
      </c>
      <c r="D163" s="613" t="s">
        <v>1194</v>
      </c>
      <c r="E163" s="612" t="s">
        <v>1757</v>
      </c>
      <c r="F163" s="613" t="s">
        <v>1758</v>
      </c>
      <c r="G163" s="612" t="s">
        <v>1512</v>
      </c>
      <c r="H163" s="612" t="s">
        <v>1513</v>
      </c>
      <c r="I163" s="614">
        <v>61.75333333333333</v>
      </c>
      <c r="J163" s="614">
        <v>60</v>
      </c>
      <c r="K163" s="615">
        <v>3705.3100000000004</v>
      </c>
    </row>
    <row r="164" spans="1:11" ht="14.4" customHeight="1" x14ac:dyDescent="0.3">
      <c r="A164" s="610" t="s">
        <v>538</v>
      </c>
      <c r="B164" s="611" t="s">
        <v>539</v>
      </c>
      <c r="C164" s="612" t="s">
        <v>552</v>
      </c>
      <c r="D164" s="613" t="s">
        <v>1194</v>
      </c>
      <c r="E164" s="612" t="s">
        <v>1757</v>
      </c>
      <c r="F164" s="613" t="s">
        <v>1758</v>
      </c>
      <c r="G164" s="612" t="s">
        <v>1514</v>
      </c>
      <c r="H164" s="612" t="s">
        <v>1515</v>
      </c>
      <c r="I164" s="614">
        <v>17.420000000000002</v>
      </c>
      <c r="J164" s="614">
        <v>50</v>
      </c>
      <c r="K164" s="615">
        <v>871.2</v>
      </c>
    </row>
    <row r="165" spans="1:11" ht="14.4" customHeight="1" x14ac:dyDescent="0.3">
      <c r="A165" s="610" t="s">
        <v>538</v>
      </c>
      <c r="B165" s="611" t="s">
        <v>539</v>
      </c>
      <c r="C165" s="612" t="s">
        <v>552</v>
      </c>
      <c r="D165" s="613" t="s">
        <v>1194</v>
      </c>
      <c r="E165" s="612" t="s">
        <v>1757</v>
      </c>
      <c r="F165" s="613" t="s">
        <v>1758</v>
      </c>
      <c r="G165" s="612" t="s">
        <v>1516</v>
      </c>
      <c r="H165" s="612" t="s">
        <v>1517</v>
      </c>
      <c r="I165" s="614">
        <v>21.78</v>
      </c>
      <c r="J165" s="614">
        <v>300</v>
      </c>
      <c r="K165" s="615">
        <v>6534</v>
      </c>
    </row>
    <row r="166" spans="1:11" ht="14.4" customHeight="1" x14ac:dyDescent="0.3">
      <c r="A166" s="610" t="s">
        <v>538</v>
      </c>
      <c r="B166" s="611" t="s">
        <v>539</v>
      </c>
      <c r="C166" s="612" t="s">
        <v>552</v>
      </c>
      <c r="D166" s="613" t="s">
        <v>1194</v>
      </c>
      <c r="E166" s="612" t="s">
        <v>1759</v>
      </c>
      <c r="F166" s="613" t="s">
        <v>1760</v>
      </c>
      <c r="G166" s="612" t="s">
        <v>1518</v>
      </c>
      <c r="H166" s="612" t="s">
        <v>1519</v>
      </c>
      <c r="I166" s="614">
        <v>11.67</v>
      </c>
      <c r="J166" s="614">
        <v>80</v>
      </c>
      <c r="K166" s="615">
        <v>933.29</v>
      </c>
    </row>
    <row r="167" spans="1:11" ht="14.4" customHeight="1" x14ac:dyDescent="0.3">
      <c r="A167" s="610" t="s">
        <v>538</v>
      </c>
      <c r="B167" s="611" t="s">
        <v>539</v>
      </c>
      <c r="C167" s="612" t="s">
        <v>552</v>
      </c>
      <c r="D167" s="613" t="s">
        <v>1194</v>
      </c>
      <c r="E167" s="612" t="s">
        <v>1759</v>
      </c>
      <c r="F167" s="613" t="s">
        <v>1760</v>
      </c>
      <c r="G167" s="612" t="s">
        <v>1447</v>
      </c>
      <c r="H167" s="612" t="s">
        <v>1448</v>
      </c>
      <c r="I167" s="614">
        <v>16.396249999999998</v>
      </c>
      <c r="J167" s="614">
        <v>4000</v>
      </c>
      <c r="K167" s="615">
        <v>65578.429999999993</v>
      </c>
    </row>
    <row r="168" spans="1:11" ht="14.4" customHeight="1" x14ac:dyDescent="0.3">
      <c r="A168" s="610" t="s">
        <v>538</v>
      </c>
      <c r="B168" s="611" t="s">
        <v>539</v>
      </c>
      <c r="C168" s="612" t="s">
        <v>552</v>
      </c>
      <c r="D168" s="613" t="s">
        <v>1194</v>
      </c>
      <c r="E168" s="612" t="s">
        <v>1759</v>
      </c>
      <c r="F168" s="613" t="s">
        <v>1760</v>
      </c>
      <c r="G168" s="612" t="s">
        <v>1520</v>
      </c>
      <c r="H168" s="612" t="s">
        <v>1521</v>
      </c>
      <c r="I168" s="614">
        <v>260.14999999999998</v>
      </c>
      <c r="J168" s="614">
        <v>23</v>
      </c>
      <c r="K168" s="615">
        <v>5983.45</v>
      </c>
    </row>
    <row r="169" spans="1:11" ht="14.4" customHeight="1" x14ac:dyDescent="0.3">
      <c r="A169" s="610" t="s">
        <v>538</v>
      </c>
      <c r="B169" s="611" t="s">
        <v>539</v>
      </c>
      <c r="C169" s="612" t="s">
        <v>552</v>
      </c>
      <c r="D169" s="613" t="s">
        <v>1194</v>
      </c>
      <c r="E169" s="612" t="s">
        <v>1759</v>
      </c>
      <c r="F169" s="613" t="s">
        <v>1760</v>
      </c>
      <c r="G169" s="612" t="s">
        <v>1520</v>
      </c>
      <c r="H169" s="612" t="s">
        <v>1522</v>
      </c>
      <c r="I169" s="614">
        <v>260.14999999999998</v>
      </c>
      <c r="J169" s="614">
        <v>22</v>
      </c>
      <c r="K169" s="615">
        <v>5723.3</v>
      </c>
    </row>
    <row r="170" spans="1:11" ht="14.4" customHeight="1" x14ac:dyDescent="0.3">
      <c r="A170" s="610" t="s">
        <v>538</v>
      </c>
      <c r="B170" s="611" t="s">
        <v>539</v>
      </c>
      <c r="C170" s="612" t="s">
        <v>552</v>
      </c>
      <c r="D170" s="613" t="s">
        <v>1194</v>
      </c>
      <c r="E170" s="612" t="s">
        <v>1759</v>
      </c>
      <c r="F170" s="613" t="s">
        <v>1760</v>
      </c>
      <c r="G170" s="612" t="s">
        <v>1523</v>
      </c>
      <c r="H170" s="612" t="s">
        <v>1524</v>
      </c>
      <c r="I170" s="614">
        <v>5.21</v>
      </c>
      <c r="J170" s="614">
        <v>80</v>
      </c>
      <c r="K170" s="615">
        <v>416.8</v>
      </c>
    </row>
    <row r="171" spans="1:11" ht="14.4" customHeight="1" x14ac:dyDescent="0.3">
      <c r="A171" s="610" t="s">
        <v>538</v>
      </c>
      <c r="B171" s="611" t="s">
        <v>539</v>
      </c>
      <c r="C171" s="612" t="s">
        <v>552</v>
      </c>
      <c r="D171" s="613" t="s">
        <v>1194</v>
      </c>
      <c r="E171" s="612" t="s">
        <v>1759</v>
      </c>
      <c r="F171" s="613" t="s">
        <v>1760</v>
      </c>
      <c r="G171" s="612" t="s">
        <v>1525</v>
      </c>
      <c r="H171" s="612" t="s">
        <v>1526</v>
      </c>
      <c r="I171" s="614">
        <v>0.24</v>
      </c>
      <c r="J171" s="614">
        <v>100</v>
      </c>
      <c r="K171" s="615">
        <v>24</v>
      </c>
    </row>
    <row r="172" spans="1:11" ht="14.4" customHeight="1" x14ac:dyDescent="0.3">
      <c r="A172" s="610" t="s">
        <v>538</v>
      </c>
      <c r="B172" s="611" t="s">
        <v>539</v>
      </c>
      <c r="C172" s="612" t="s">
        <v>552</v>
      </c>
      <c r="D172" s="613" t="s">
        <v>1194</v>
      </c>
      <c r="E172" s="612" t="s">
        <v>1759</v>
      </c>
      <c r="F172" s="613" t="s">
        <v>1760</v>
      </c>
      <c r="G172" s="612" t="s">
        <v>1311</v>
      </c>
      <c r="H172" s="612" t="s">
        <v>1312</v>
      </c>
      <c r="I172" s="614">
        <v>15.924285714285714</v>
      </c>
      <c r="J172" s="614">
        <v>700</v>
      </c>
      <c r="K172" s="615">
        <v>11147</v>
      </c>
    </row>
    <row r="173" spans="1:11" ht="14.4" customHeight="1" x14ac:dyDescent="0.3">
      <c r="A173" s="610" t="s">
        <v>538</v>
      </c>
      <c r="B173" s="611" t="s">
        <v>539</v>
      </c>
      <c r="C173" s="612" t="s">
        <v>552</v>
      </c>
      <c r="D173" s="613" t="s">
        <v>1194</v>
      </c>
      <c r="E173" s="612" t="s">
        <v>1759</v>
      </c>
      <c r="F173" s="613" t="s">
        <v>1760</v>
      </c>
      <c r="G173" s="612" t="s">
        <v>1313</v>
      </c>
      <c r="H173" s="612" t="s">
        <v>1314</v>
      </c>
      <c r="I173" s="614">
        <v>2.4885714285714284</v>
      </c>
      <c r="J173" s="614">
        <v>750</v>
      </c>
      <c r="K173" s="615">
        <v>1866</v>
      </c>
    </row>
    <row r="174" spans="1:11" ht="14.4" customHeight="1" x14ac:dyDescent="0.3">
      <c r="A174" s="610" t="s">
        <v>538</v>
      </c>
      <c r="B174" s="611" t="s">
        <v>539</v>
      </c>
      <c r="C174" s="612" t="s">
        <v>552</v>
      </c>
      <c r="D174" s="613" t="s">
        <v>1194</v>
      </c>
      <c r="E174" s="612" t="s">
        <v>1759</v>
      </c>
      <c r="F174" s="613" t="s">
        <v>1760</v>
      </c>
      <c r="G174" s="612" t="s">
        <v>1315</v>
      </c>
      <c r="H174" s="612" t="s">
        <v>1316</v>
      </c>
      <c r="I174" s="614">
        <v>30.25</v>
      </c>
      <c r="J174" s="614">
        <v>700</v>
      </c>
      <c r="K174" s="615">
        <v>21175</v>
      </c>
    </row>
    <row r="175" spans="1:11" ht="14.4" customHeight="1" x14ac:dyDescent="0.3">
      <c r="A175" s="610" t="s">
        <v>538</v>
      </c>
      <c r="B175" s="611" t="s">
        <v>539</v>
      </c>
      <c r="C175" s="612" t="s">
        <v>552</v>
      </c>
      <c r="D175" s="613" t="s">
        <v>1194</v>
      </c>
      <c r="E175" s="612" t="s">
        <v>1759</v>
      </c>
      <c r="F175" s="613" t="s">
        <v>1760</v>
      </c>
      <c r="G175" s="612" t="s">
        <v>1317</v>
      </c>
      <c r="H175" s="612" t="s">
        <v>1451</v>
      </c>
      <c r="I175" s="614">
        <v>2.75</v>
      </c>
      <c r="J175" s="614">
        <v>1100</v>
      </c>
      <c r="K175" s="615">
        <v>3025</v>
      </c>
    </row>
    <row r="176" spans="1:11" ht="14.4" customHeight="1" x14ac:dyDescent="0.3">
      <c r="A176" s="610" t="s">
        <v>538</v>
      </c>
      <c r="B176" s="611" t="s">
        <v>539</v>
      </c>
      <c r="C176" s="612" t="s">
        <v>552</v>
      </c>
      <c r="D176" s="613" t="s">
        <v>1194</v>
      </c>
      <c r="E176" s="612" t="s">
        <v>1759</v>
      </c>
      <c r="F176" s="613" t="s">
        <v>1760</v>
      </c>
      <c r="G176" s="612" t="s">
        <v>1317</v>
      </c>
      <c r="H176" s="612" t="s">
        <v>1318</v>
      </c>
      <c r="I176" s="614">
        <v>2.7519999999999998</v>
      </c>
      <c r="J176" s="614">
        <v>2600</v>
      </c>
      <c r="K176" s="615">
        <v>7155</v>
      </c>
    </row>
    <row r="177" spans="1:11" ht="14.4" customHeight="1" x14ac:dyDescent="0.3">
      <c r="A177" s="610" t="s">
        <v>538</v>
      </c>
      <c r="B177" s="611" t="s">
        <v>539</v>
      </c>
      <c r="C177" s="612" t="s">
        <v>552</v>
      </c>
      <c r="D177" s="613" t="s">
        <v>1194</v>
      </c>
      <c r="E177" s="612" t="s">
        <v>1759</v>
      </c>
      <c r="F177" s="613" t="s">
        <v>1760</v>
      </c>
      <c r="G177" s="612" t="s">
        <v>1527</v>
      </c>
      <c r="H177" s="612" t="s">
        <v>1528</v>
      </c>
      <c r="I177" s="614">
        <v>7.43</v>
      </c>
      <c r="J177" s="614">
        <v>1613</v>
      </c>
      <c r="K177" s="615">
        <v>11982.79</v>
      </c>
    </row>
    <row r="178" spans="1:11" ht="14.4" customHeight="1" x14ac:dyDescent="0.3">
      <c r="A178" s="610" t="s">
        <v>538</v>
      </c>
      <c r="B178" s="611" t="s">
        <v>539</v>
      </c>
      <c r="C178" s="612" t="s">
        <v>552</v>
      </c>
      <c r="D178" s="613" t="s">
        <v>1194</v>
      </c>
      <c r="E178" s="612" t="s">
        <v>1759</v>
      </c>
      <c r="F178" s="613" t="s">
        <v>1760</v>
      </c>
      <c r="G178" s="612" t="s">
        <v>1529</v>
      </c>
      <c r="H178" s="612" t="s">
        <v>1530</v>
      </c>
      <c r="I178" s="614">
        <v>6.31</v>
      </c>
      <c r="J178" s="614">
        <v>1300</v>
      </c>
      <c r="K178" s="615">
        <v>8205.24</v>
      </c>
    </row>
    <row r="179" spans="1:11" ht="14.4" customHeight="1" x14ac:dyDescent="0.3">
      <c r="A179" s="610" t="s">
        <v>538</v>
      </c>
      <c r="B179" s="611" t="s">
        <v>539</v>
      </c>
      <c r="C179" s="612" t="s">
        <v>552</v>
      </c>
      <c r="D179" s="613" t="s">
        <v>1194</v>
      </c>
      <c r="E179" s="612" t="s">
        <v>1759</v>
      </c>
      <c r="F179" s="613" t="s">
        <v>1760</v>
      </c>
      <c r="G179" s="612" t="s">
        <v>1319</v>
      </c>
      <c r="H179" s="612" t="s">
        <v>1320</v>
      </c>
      <c r="I179" s="614">
        <v>4.1900000000000004</v>
      </c>
      <c r="J179" s="614">
        <v>50</v>
      </c>
      <c r="K179" s="615">
        <v>209.5</v>
      </c>
    </row>
    <row r="180" spans="1:11" ht="14.4" customHeight="1" x14ac:dyDescent="0.3">
      <c r="A180" s="610" t="s">
        <v>538</v>
      </c>
      <c r="B180" s="611" t="s">
        <v>539</v>
      </c>
      <c r="C180" s="612" t="s">
        <v>552</v>
      </c>
      <c r="D180" s="613" t="s">
        <v>1194</v>
      </c>
      <c r="E180" s="612" t="s">
        <v>1759</v>
      </c>
      <c r="F180" s="613" t="s">
        <v>1760</v>
      </c>
      <c r="G180" s="612" t="s">
        <v>1321</v>
      </c>
      <c r="H180" s="612" t="s">
        <v>1322</v>
      </c>
      <c r="I180" s="614">
        <v>1.0925</v>
      </c>
      <c r="J180" s="614">
        <v>4100</v>
      </c>
      <c r="K180" s="615">
        <v>4481</v>
      </c>
    </row>
    <row r="181" spans="1:11" ht="14.4" customHeight="1" x14ac:dyDescent="0.3">
      <c r="A181" s="610" t="s">
        <v>538</v>
      </c>
      <c r="B181" s="611" t="s">
        <v>539</v>
      </c>
      <c r="C181" s="612" t="s">
        <v>552</v>
      </c>
      <c r="D181" s="613" t="s">
        <v>1194</v>
      </c>
      <c r="E181" s="612" t="s">
        <v>1759</v>
      </c>
      <c r="F181" s="613" t="s">
        <v>1760</v>
      </c>
      <c r="G181" s="612" t="s">
        <v>1323</v>
      </c>
      <c r="H181" s="612" t="s">
        <v>1324</v>
      </c>
      <c r="I181" s="614">
        <v>1.6737499999999998</v>
      </c>
      <c r="J181" s="614">
        <v>11500</v>
      </c>
      <c r="K181" s="615">
        <v>19245</v>
      </c>
    </row>
    <row r="182" spans="1:11" ht="14.4" customHeight="1" x14ac:dyDescent="0.3">
      <c r="A182" s="610" t="s">
        <v>538</v>
      </c>
      <c r="B182" s="611" t="s">
        <v>539</v>
      </c>
      <c r="C182" s="612" t="s">
        <v>552</v>
      </c>
      <c r="D182" s="613" t="s">
        <v>1194</v>
      </c>
      <c r="E182" s="612" t="s">
        <v>1759</v>
      </c>
      <c r="F182" s="613" t="s">
        <v>1760</v>
      </c>
      <c r="G182" s="612" t="s">
        <v>1325</v>
      </c>
      <c r="H182" s="612" t="s">
        <v>1326</v>
      </c>
      <c r="I182" s="614">
        <v>0.4757142857142857</v>
      </c>
      <c r="J182" s="614">
        <v>7900</v>
      </c>
      <c r="K182" s="615">
        <v>3749</v>
      </c>
    </row>
    <row r="183" spans="1:11" ht="14.4" customHeight="1" x14ac:dyDescent="0.3">
      <c r="A183" s="610" t="s">
        <v>538</v>
      </c>
      <c r="B183" s="611" t="s">
        <v>539</v>
      </c>
      <c r="C183" s="612" t="s">
        <v>552</v>
      </c>
      <c r="D183" s="613" t="s">
        <v>1194</v>
      </c>
      <c r="E183" s="612" t="s">
        <v>1759</v>
      </c>
      <c r="F183" s="613" t="s">
        <v>1760</v>
      </c>
      <c r="G183" s="612" t="s">
        <v>1327</v>
      </c>
      <c r="H183" s="612" t="s">
        <v>1328</v>
      </c>
      <c r="I183" s="614">
        <v>0.67</v>
      </c>
      <c r="J183" s="614">
        <v>5300</v>
      </c>
      <c r="K183" s="615">
        <v>3551</v>
      </c>
    </row>
    <row r="184" spans="1:11" ht="14.4" customHeight="1" x14ac:dyDescent="0.3">
      <c r="A184" s="610" t="s">
        <v>538</v>
      </c>
      <c r="B184" s="611" t="s">
        <v>539</v>
      </c>
      <c r="C184" s="612" t="s">
        <v>552</v>
      </c>
      <c r="D184" s="613" t="s">
        <v>1194</v>
      </c>
      <c r="E184" s="612" t="s">
        <v>1759</v>
      </c>
      <c r="F184" s="613" t="s">
        <v>1760</v>
      </c>
      <c r="G184" s="612" t="s">
        <v>1329</v>
      </c>
      <c r="H184" s="612" t="s">
        <v>1330</v>
      </c>
      <c r="I184" s="614">
        <v>3.664285714285715</v>
      </c>
      <c r="J184" s="614">
        <v>1000</v>
      </c>
      <c r="K184" s="615">
        <v>3712.2799999999997</v>
      </c>
    </row>
    <row r="185" spans="1:11" ht="14.4" customHeight="1" x14ac:dyDescent="0.3">
      <c r="A185" s="610" t="s">
        <v>538</v>
      </c>
      <c r="B185" s="611" t="s">
        <v>539</v>
      </c>
      <c r="C185" s="612" t="s">
        <v>552</v>
      </c>
      <c r="D185" s="613" t="s">
        <v>1194</v>
      </c>
      <c r="E185" s="612" t="s">
        <v>1759</v>
      </c>
      <c r="F185" s="613" t="s">
        <v>1760</v>
      </c>
      <c r="G185" s="612" t="s">
        <v>1531</v>
      </c>
      <c r="H185" s="612" t="s">
        <v>1532</v>
      </c>
      <c r="I185" s="614">
        <v>81.731999999999999</v>
      </c>
      <c r="J185" s="614">
        <v>240</v>
      </c>
      <c r="K185" s="615">
        <v>19615.68</v>
      </c>
    </row>
    <row r="186" spans="1:11" ht="14.4" customHeight="1" x14ac:dyDescent="0.3">
      <c r="A186" s="610" t="s">
        <v>538</v>
      </c>
      <c r="B186" s="611" t="s">
        <v>539</v>
      </c>
      <c r="C186" s="612" t="s">
        <v>552</v>
      </c>
      <c r="D186" s="613" t="s">
        <v>1194</v>
      </c>
      <c r="E186" s="612" t="s">
        <v>1759</v>
      </c>
      <c r="F186" s="613" t="s">
        <v>1760</v>
      </c>
      <c r="G186" s="612" t="s">
        <v>1533</v>
      </c>
      <c r="H186" s="612" t="s">
        <v>1534</v>
      </c>
      <c r="I186" s="614">
        <v>80.569999999999993</v>
      </c>
      <c r="J186" s="614">
        <v>40</v>
      </c>
      <c r="K186" s="615">
        <v>3222.8</v>
      </c>
    </row>
    <row r="187" spans="1:11" ht="14.4" customHeight="1" x14ac:dyDescent="0.3">
      <c r="A187" s="610" t="s">
        <v>538</v>
      </c>
      <c r="B187" s="611" t="s">
        <v>539</v>
      </c>
      <c r="C187" s="612" t="s">
        <v>552</v>
      </c>
      <c r="D187" s="613" t="s">
        <v>1194</v>
      </c>
      <c r="E187" s="612" t="s">
        <v>1759</v>
      </c>
      <c r="F187" s="613" t="s">
        <v>1760</v>
      </c>
      <c r="G187" s="612" t="s">
        <v>1453</v>
      </c>
      <c r="H187" s="612" t="s">
        <v>1454</v>
      </c>
      <c r="I187" s="614">
        <v>30.25</v>
      </c>
      <c r="J187" s="614">
        <v>200</v>
      </c>
      <c r="K187" s="615">
        <v>6050</v>
      </c>
    </row>
    <row r="188" spans="1:11" ht="14.4" customHeight="1" x14ac:dyDescent="0.3">
      <c r="A188" s="610" t="s">
        <v>538</v>
      </c>
      <c r="B188" s="611" t="s">
        <v>539</v>
      </c>
      <c r="C188" s="612" t="s">
        <v>552</v>
      </c>
      <c r="D188" s="613" t="s">
        <v>1194</v>
      </c>
      <c r="E188" s="612" t="s">
        <v>1759</v>
      </c>
      <c r="F188" s="613" t="s">
        <v>1760</v>
      </c>
      <c r="G188" s="612" t="s">
        <v>1333</v>
      </c>
      <c r="H188" s="612" t="s">
        <v>1334</v>
      </c>
      <c r="I188" s="614">
        <v>32.67</v>
      </c>
      <c r="J188" s="614">
        <v>750</v>
      </c>
      <c r="K188" s="615">
        <v>24502.5</v>
      </c>
    </row>
    <row r="189" spans="1:11" ht="14.4" customHeight="1" x14ac:dyDescent="0.3">
      <c r="A189" s="610" t="s">
        <v>538</v>
      </c>
      <c r="B189" s="611" t="s">
        <v>539</v>
      </c>
      <c r="C189" s="612" t="s">
        <v>552</v>
      </c>
      <c r="D189" s="613" t="s">
        <v>1194</v>
      </c>
      <c r="E189" s="612" t="s">
        <v>1759</v>
      </c>
      <c r="F189" s="613" t="s">
        <v>1760</v>
      </c>
      <c r="G189" s="612" t="s">
        <v>1535</v>
      </c>
      <c r="H189" s="612" t="s">
        <v>1536</v>
      </c>
      <c r="I189" s="614">
        <v>108.28999999999999</v>
      </c>
      <c r="J189" s="614">
        <v>40</v>
      </c>
      <c r="K189" s="615">
        <v>4331.6000000000004</v>
      </c>
    </row>
    <row r="190" spans="1:11" ht="14.4" customHeight="1" x14ac:dyDescent="0.3">
      <c r="A190" s="610" t="s">
        <v>538</v>
      </c>
      <c r="B190" s="611" t="s">
        <v>539</v>
      </c>
      <c r="C190" s="612" t="s">
        <v>552</v>
      </c>
      <c r="D190" s="613" t="s">
        <v>1194</v>
      </c>
      <c r="E190" s="612" t="s">
        <v>1759</v>
      </c>
      <c r="F190" s="613" t="s">
        <v>1760</v>
      </c>
      <c r="G190" s="612" t="s">
        <v>1537</v>
      </c>
      <c r="H190" s="612" t="s">
        <v>1538</v>
      </c>
      <c r="I190" s="614">
        <v>2.67</v>
      </c>
      <c r="J190" s="614">
        <v>200</v>
      </c>
      <c r="K190" s="615">
        <v>534.83000000000004</v>
      </c>
    </row>
    <row r="191" spans="1:11" ht="14.4" customHeight="1" x14ac:dyDescent="0.3">
      <c r="A191" s="610" t="s">
        <v>538</v>
      </c>
      <c r="B191" s="611" t="s">
        <v>539</v>
      </c>
      <c r="C191" s="612" t="s">
        <v>552</v>
      </c>
      <c r="D191" s="613" t="s">
        <v>1194</v>
      </c>
      <c r="E191" s="612" t="s">
        <v>1759</v>
      </c>
      <c r="F191" s="613" t="s">
        <v>1760</v>
      </c>
      <c r="G191" s="612" t="s">
        <v>1335</v>
      </c>
      <c r="H191" s="612" t="s">
        <v>1336</v>
      </c>
      <c r="I191" s="614">
        <v>26.01857142857143</v>
      </c>
      <c r="J191" s="614">
        <v>5120</v>
      </c>
      <c r="K191" s="615">
        <v>133205</v>
      </c>
    </row>
    <row r="192" spans="1:11" ht="14.4" customHeight="1" x14ac:dyDescent="0.3">
      <c r="A192" s="610" t="s">
        <v>538</v>
      </c>
      <c r="B192" s="611" t="s">
        <v>539</v>
      </c>
      <c r="C192" s="612" t="s">
        <v>552</v>
      </c>
      <c r="D192" s="613" t="s">
        <v>1194</v>
      </c>
      <c r="E192" s="612" t="s">
        <v>1759</v>
      </c>
      <c r="F192" s="613" t="s">
        <v>1760</v>
      </c>
      <c r="G192" s="612" t="s">
        <v>1455</v>
      </c>
      <c r="H192" s="612" t="s">
        <v>1456</v>
      </c>
      <c r="I192" s="614">
        <v>14.299999999999999</v>
      </c>
      <c r="J192" s="614">
        <v>200</v>
      </c>
      <c r="K192" s="615">
        <v>2860.4300000000003</v>
      </c>
    </row>
    <row r="193" spans="1:11" ht="14.4" customHeight="1" x14ac:dyDescent="0.3">
      <c r="A193" s="610" t="s">
        <v>538</v>
      </c>
      <c r="B193" s="611" t="s">
        <v>539</v>
      </c>
      <c r="C193" s="612" t="s">
        <v>552</v>
      </c>
      <c r="D193" s="613" t="s">
        <v>1194</v>
      </c>
      <c r="E193" s="612" t="s">
        <v>1759</v>
      </c>
      <c r="F193" s="613" t="s">
        <v>1760</v>
      </c>
      <c r="G193" s="612" t="s">
        <v>1337</v>
      </c>
      <c r="H193" s="612" t="s">
        <v>1338</v>
      </c>
      <c r="I193" s="614">
        <v>9.15</v>
      </c>
      <c r="J193" s="614">
        <v>2700</v>
      </c>
      <c r="K193" s="615">
        <v>24697.31</v>
      </c>
    </row>
    <row r="194" spans="1:11" ht="14.4" customHeight="1" x14ac:dyDescent="0.3">
      <c r="A194" s="610" t="s">
        <v>538</v>
      </c>
      <c r="B194" s="611" t="s">
        <v>539</v>
      </c>
      <c r="C194" s="612" t="s">
        <v>552</v>
      </c>
      <c r="D194" s="613" t="s">
        <v>1194</v>
      </c>
      <c r="E194" s="612" t="s">
        <v>1759</v>
      </c>
      <c r="F194" s="613" t="s">
        <v>1760</v>
      </c>
      <c r="G194" s="612" t="s">
        <v>1339</v>
      </c>
      <c r="H194" s="612" t="s">
        <v>1340</v>
      </c>
      <c r="I194" s="614">
        <v>5.1485714285714286</v>
      </c>
      <c r="J194" s="614">
        <v>2600</v>
      </c>
      <c r="K194" s="615">
        <v>13332.41</v>
      </c>
    </row>
    <row r="195" spans="1:11" ht="14.4" customHeight="1" x14ac:dyDescent="0.3">
      <c r="A195" s="610" t="s">
        <v>538</v>
      </c>
      <c r="B195" s="611" t="s">
        <v>539</v>
      </c>
      <c r="C195" s="612" t="s">
        <v>552</v>
      </c>
      <c r="D195" s="613" t="s">
        <v>1194</v>
      </c>
      <c r="E195" s="612" t="s">
        <v>1759</v>
      </c>
      <c r="F195" s="613" t="s">
        <v>1760</v>
      </c>
      <c r="G195" s="612" t="s">
        <v>1539</v>
      </c>
      <c r="H195" s="612" t="s">
        <v>1540</v>
      </c>
      <c r="I195" s="614">
        <v>16.454000000000001</v>
      </c>
      <c r="J195" s="614">
        <v>80</v>
      </c>
      <c r="K195" s="615">
        <v>1316.4</v>
      </c>
    </row>
    <row r="196" spans="1:11" ht="14.4" customHeight="1" x14ac:dyDescent="0.3">
      <c r="A196" s="610" t="s">
        <v>538</v>
      </c>
      <c r="B196" s="611" t="s">
        <v>539</v>
      </c>
      <c r="C196" s="612" t="s">
        <v>552</v>
      </c>
      <c r="D196" s="613" t="s">
        <v>1194</v>
      </c>
      <c r="E196" s="612" t="s">
        <v>1759</v>
      </c>
      <c r="F196" s="613" t="s">
        <v>1760</v>
      </c>
      <c r="G196" s="612" t="s">
        <v>1541</v>
      </c>
      <c r="H196" s="612" t="s">
        <v>1542</v>
      </c>
      <c r="I196" s="614">
        <v>26.01</v>
      </c>
      <c r="J196" s="614">
        <v>160</v>
      </c>
      <c r="K196" s="615">
        <v>4162</v>
      </c>
    </row>
    <row r="197" spans="1:11" ht="14.4" customHeight="1" x14ac:dyDescent="0.3">
      <c r="A197" s="610" t="s">
        <v>538</v>
      </c>
      <c r="B197" s="611" t="s">
        <v>539</v>
      </c>
      <c r="C197" s="612" t="s">
        <v>552</v>
      </c>
      <c r="D197" s="613" t="s">
        <v>1194</v>
      </c>
      <c r="E197" s="612" t="s">
        <v>1759</v>
      </c>
      <c r="F197" s="613" t="s">
        <v>1760</v>
      </c>
      <c r="G197" s="612" t="s">
        <v>1543</v>
      </c>
      <c r="H197" s="612" t="s">
        <v>1544</v>
      </c>
      <c r="I197" s="614">
        <v>2.3766666666666665</v>
      </c>
      <c r="J197" s="614">
        <v>200</v>
      </c>
      <c r="K197" s="615">
        <v>475.5</v>
      </c>
    </row>
    <row r="198" spans="1:11" ht="14.4" customHeight="1" x14ac:dyDescent="0.3">
      <c r="A198" s="610" t="s">
        <v>538</v>
      </c>
      <c r="B198" s="611" t="s">
        <v>539</v>
      </c>
      <c r="C198" s="612" t="s">
        <v>552</v>
      </c>
      <c r="D198" s="613" t="s">
        <v>1194</v>
      </c>
      <c r="E198" s="612" t="s">
        <v>1759</v>
      </c>
      <c r="F198" s="613" t="s">
        <v>1760</v>
      </c>
      <c r="G198" s="612" t="s">
        <v>1545</v>
      </c>
      <c r="H198" s="612" t="s">
        <v>1546</v>
      </c>
      <c r="I198" s="614">
        <v>2.855</v>
      </c>
      <c r="J198" s="614">
        <v>260</v>
      </c>
      <c r="K198" s="615">
        <v>742.6</v>
      </c>
    </row>
    <row r="199" spans="1:11" ht="14.4" customHeight="1" x14ac:dyDescent="0.3">
      <c r="A199" s="610" t="s">
        <v>538</v>
      </c>
      <c r="B199" s="611" t="s">
        <v>539</v>
      </c>
      <c r="C199" s="612" t="s">
        <v>552</v>
      </c>
      <c r="D199" s="613" t="s">
        <v>1194</v>
      </c>
      <c r="E199" s="612" t="s">
        <v>1759</v>
      </c>
      <c r="F199" s="613" t="s">
        <v>1760</v>
      </c>
      <c r="G199" s="612" t="s">
        <v>1343</v>
      </c>
      <c r="H199" s="612" t="s">
        <v>1344</v>
      </c>
      <c r="I199" s="614">
        <v>58.787142857142861</v>
      </c>
      <c r="J199" s="614">
        <v>84</v>
      </c>
      <c r="K199" s="615">
        <v>4938.08</v>
      </c>
    </row>
    <row r="200" spans="1:11" ht="14.4" customHeight="1" x14ac:dyDescent="0.3">
      <c r="A200" s="610" t="s">
        <v>538</v>
      </c>
      <c r="B200" s="611" t="s">
        <v>539</v>
      </c>
      <c r="C200" s="612" t="s">
        <v>552</v>
      </c>
      <c r="D200" s="613" t="s">
        <v>1194</v>
      </c>
      <c r="E200" s="612" t="s">
        <v>1759</v>
      </c>
      <c r="F200" s="613" t="s">
        <v>1760</v>
      </c>
      <c r="G200" s="612" t="s">
        <v>1345</v>
      </c>
      <c r="H200" s="612" t="s">
        <v>1346</v>
      </c>
      <c r="I200" s="614">
        <v>2.0549999999999997</v>
      </c>
      <c r="J200" s="614">
        <v>100</v>
      </c>
      <c r="K200" s="615">
        <v>205.5</v>
      </c>
    </row>
    <row r="201" spans="1:11" ht="14.4" customHeight="1" x14ac:dyDescent="0.3">
      <c r="A201" s="610" t="s">
        <v>538</v>
      </c>
      <c r="B201" s="611" t="s">
        <v>539</v>
      </c>
      <c r="C201" s="612" t="s">
        <v>552</v>
      </c>
      <c r="D201" s="613" t="s">
        <v>1194</v>
      </c>
      <c r="E201" s="612" t="s">
        <v>1759</v>
      </c>
      <c r="F201" s="613" t="s">
        <v>1760</v>
      </c>
      <c r="G201" s="612" t="s">
        <v>1347</v>
      </c>
      <c r="H201" s="612" t="s">
        <v>1348</v>
      </c>
      <c r="I201" s="614">
        <v>2.4600000000000004</v>
      </c>
      <c r="J201" s="614">
        <v>1500</v>
      </c>
      <c r="K201" s="615">
        <v>3692.2</v>
      </c>
    </row>
    <row r="202" spans="1:11" ht="14.4" customHeight="1" x14ac:dyDescent="0.3">
      <c r="A202" s="610" t="s">
        <v>538</v>
      </c>
      <c r="B202" s="611" t="s">
        <v>539</v>
      </c>
      <c r="C202" s="612" t="s">
        <v>552</v>
      </c>
      <c r="D202" s="613" t="s">
        <v>1194</v>
      </c>
      <c r="E202" s="612" t="s">
        <v>1759</v>
      </c>
      <c r="F202" s="613" t="s">
        <v>1760</v>
      </c>
      <c r="G202" s="612" t="s">
        <v>1547</v>
      </c>
      <c r="H202" s="612" t="s">
        <v>1548</v>
      </c>
      <c r="I202" s="614">
        <v>636.38</v>
      </c>
      <c r="J202" s="614">
        <v>1</v>
      </c>
      <c r="K202" s="615">
        <v>636.38</v>
      </c>
    </row>
    <row r="203" spans="1:11" ht="14.4" customHeight="1" x14ac:dyDescent="0.3">
      <c r="A203" s="610" t="s">
        <v>538</v>
      </c>
      <c r="B203" s="611" t="s">
        <v>539</v>
      </c>
      <c r="C203" s="612" t="s">
        <v>552</v>
      </c>
      <c r="D203" s="613" t="s">
        <v>1194</v>
      </c>
      <c r="E203" s="612" t="s">
        <v>1759</v>
      </c>
      <c r="F203" s="613" t="s">
        <v>1760</v>
      </c>
      <c r="G203" s="612" t="s">
        <v>1349</v>
      </c>
      <c r="H203" s="612" t="s">
        <v>1350</v>
      </c>
      <c r="I203" s="614">
        <v>4.6550000000000002</v>
      </c>
      <c r="J203" s="614">
        <v>1480</v>
      </c>
      <c r="K203" s="615">
        <v>6765.8</v>
      </c>
    </row>
    <row r="204" spans="1:11" ht="14.4" customHeight="1" x14ac:dyDescent="0.3">
      <c r="A204" s="610" t="s">
        <v>538</v>
      </c>
      <c r="B204" s="611" t="s">
        <v>539</v>
      </c>
      <c r="C204" s="612" t="s">
        <v>552</v>
      </c>
      <c r="D204" s="613" t="s">
        <v>1194</v>
      </c>
      <c r="E204" s="612" t="s">
        <v>1759</v>
      </c>
      <c r="F204" s="613" t="s">
        <v>1760</v>
      </c>
      <c r="G204" s="612" t="s">
        <v>1549</v>
      </c>
      <c r="H204" s="612" t="s">
        <v>1550</v>
      </c>
      <c r="I204" s="614">
        <v>5.42</v>
      </c>
      <c r="J204" s="614">
        <v>2200</v>
      </c>
      <c r="K204" s="615">
        <v>11920.970000000001</v>
      </c>
    </row>
    <row r="205" spans="1:11" ht="14.4" customHeight="1" x14ac:dyDescent="0.3">
      <c r="A205" s="610" t="s">
        <v>538</v>
      </c>
      <c r="B205" s="611" t="s">
        <v>539</v>
      </c>
      <c r="C205" s="612" t="s">
        <v>552</v>
      </c>
      <c r="D205" s="613" t="s">
        <v>1194</v>
      </c>
      <c r="E205" s="612" t="s">
        <v>1759</v>
      </c>
      <c r="F205" s="613" t="s">
        <v>1760</v>
      </c>
      <c r="G205" s="612" t="s">
        <v>1353</v>
      </c>
      <c r="H205" s="612" t="s">
        <v>1354</v>
      </c>
      <c r="I205" s="614">
        <v>12.105714285714285</v>
      </c>
      <c r="J205" s="614">
        <v>600</v>
      </c>
      <c r="K205" s="615">
        <v>7263.2000000000007</v>
      </c>
    </row>
    <row r="206" spans="1:11" ht="14.4" customHeight="1" x14ac:dyDescent="0.3">
      <c r="A206" s="610" t="s">
        <v>538</v>
      </c>
      <c r="B206" s="611" t="s">
        <v>539</v>
      </c>
      <c r="C206" s="612" t="s">
        <v>552</v>
      </c>
      <c r="D206" s="613" t="s">
        <v>1194</v>
      </c>
      <c r="E206" s="612" t="s">
        <v>1759</v>
      </c>
      <c r="F206" s="613" t="s">
        <v>1760</v>
      </c>
      <c r="G206" s="612" t="s">
        <v>1357</v>
      </c>
      <c r="H206" s="612" t="s">
        <v>1358</v>
      </c>
      <c r="I206" s="614">
        <v>1.352857142857143</v>
      </c>
      <c r="J206" s="614">
        <v>1350</v>
      </c>
      <c r="K206" s="615">
        <v>1802.25</v>
      </c>
    </row>
    <row r="207" spans="1:11" ht="14.4" customHeight="1" x14ac:dyDescent="0.3">
      <c r="A207" s="610" t="s">
        <v>538</v>
      </c>
      <c r="B207" s="611" t="s">
        <v>539</v>
      </c>
      <c r="C207" s="612" t="s">
        <v>552</v>
      </c>
      <c r="D207" s="613" t="s">
        <v>1194</v>
      </c>
      <c r="E207" s="612" t="s">
        <v>1759</v>
      </c>
      <c r="F207" s="613" t="s">
        <v>1760</v>
      </c>
      <c r="G207" s="612" t="s">
        <v>1359</v>
      </c>
      <c r="H207" s="612" t="s">
        <v>1360</v>
      </c>
      <c r="I207" s="614">
        <v>21.236666666666665</v>
      </c>
      <c r="J207" s="614">
        <v>1250</v>
      </c>
      <c r="K207" s="615">
        <v>26545.5</v>
      </c>
    </row>
    <row r="208" spans="1:11" ht="14.4" customHeight="1" x14ac:dyDescent="0.3">
      <c r="A208" s="610" t="s">
        <v>538</v>
      </c>
      <c r="B208" s="611" t="s">
        <v>539</v>
      </c>
      <c r="C208" s="612" t="s">
        <v>552</v>
      </c>
      <c r="D208" s="613" t="s">
        <v>1194</v>
      </c>
      <c r="E208" s="612" t="s">
        <v>1759</v>
      </c>
      <c r="F208" s="613" t="s">
        <v>1760</v>
      </c>
      <c r="G208" s="612" t="s">
        <v>1551</v>
      </c>
      <c r="H208" s="612" t="s">
        <v>1552</v>
      </c>
      <c r="I208" s="614">
        <v>21.24</v>
      </c>
      <c r="J208" s="614">
        <v>30</v>
      </c>
      <c r="K208" s="615">
        <v>637.20000000000005</v>
      </c>
    </row>
    <row r="209" spans="1:11" ht="14.4" customHeight="1" x14ac:dyDescent="0.3">
      <c r="A209" s="610" t="s">
        <v>538</v>
      </c>
      <c r="B209" s="611" t="s">
        <v>539</v>
      </c>
      <c r="C209" s="612" t="s">
        <v>552</v>
      </c>
      <c r="D209" s="613" t="s">
        <v>1194</v>
      </c>
      <c r="E209" s="612" t="s">
        <v>1759</v>
      </c>
      <c r="F209" s="613" t="s">
        <v>1760</v>
      </c>
      <c r="G209" s="612" t="s">
        <v>1361</v>
      </c>
      <c r="H209" s="612" t="s">
        <v>1362</v>
      </c>
      <c r="I209" s="614">
        <v>3.0083333333333329</v>
      </c>
      <c r="J209" s="614">
        <v>2300</v>
      </c>
      <c r="K209" s="615">
        <v>6856.5300000000007</v>
      </c>
    </row>
    <row r="210" spans="1:11" ht="14.4" customHeight="1" x14ac:dyDescent="0.3">
      <c r="A210" s="610" t="s">
        <v>538</v>
      </c>
      <c r="B210" s="611" t="s">
        <v>539</v>
      </c>
      <c r="C210" s="612" t="s">
        <v>552</v>
      </c>
      <c r="D210" s="613" t="s">
        <v>1194</v>
      </c>
      <c r="E210" s="612" t="s">
        <v>1759</v>
      </c>
      <c r="F210" s="613" t="s">
        <v>1760</v>
      </c>
      <c r="G210" s="612" t="s">
        <v>1457</v>
      </c>
      <c r="H210" s="612" t="s">
        <v>1553</v>
      </c>
      <c r="I210" s="614">
        <v>1.38</v>
      </c>
      <c r="J210" s="614">
        <v>500</v>
      </c>
      <c r="K210" s="615">
        <v>690.19</v>
      </c>
    </row>
    <row r="211" spans="1:11" ht="14.4" customHeight="1" x14ac:dyDescent="0.3">
      <c r="A211" s="610" t="s">
        <v>538</v>
      </c>
      <c r="B211" s="611" t="s">
        <v>539</v>
      </c>
      <c r="C211" s="612" t="s">
        <v>552</v>
      </c>
      <c r="D211" s="613" t="s">
        <v>1194</v>
      </c>
      <c r="E211" s="612" t="s">
        <v>1759</v>
      </c>
      <c r="F211" s="613" t="s">
        <v>1760</v>
      </c>
      <c r="G211" s="612" t="s">
        <v>1457</v>
      </c>
      <c r="H211" s="612" t="s">
        <v>1458</v>
      </c>
      <c r="I211" s="614">
        <v>1.1933333333333334</v>
      </c>
      <c r="J211" s="614">
        <v>1500</v>
      </c>
      <c r="K211" s="615">
        <v>1792.6</v>
      </c>
    </row>
    <row r="212" spans="1:11" ht="14.4" customHeight="1" x14ac:dyDescent="0.3">
      <c r="A212" s="610" t="s">
        <v>538</v>
      </c>
      <c r="B212" s="611" t="s">
        <v>539</v>
      </c>
      <c r="C212" s="612" t="s">
        <v>552</v>
      </c>
      <c r="D212" s="613" t="s">
        <v>1194</v>
      </c>
      <c r="E212" s="612" t="s">
        <v>1759</v>
      </c>
      <c r="F212" s="613" t="s">
        <v>1760</v>
      </c>
      <c r="G212" s="612" t="s">
        <v>1554</v>
      </c>
      <c r="H212" s="612" t="s">
        <v>1555</v>
      </c>
      <c r="I212" s="614">
        <v>18.150000000000002</v>
      </c>
      <c r="J212" s="614">
        <v>800</v>
      </c>
      <c r="K212" s="615">
        <v>14520</v>
      </c>
    </row>
    <row r="213" spans="1:11" ht="14.4" customHeight="1" x14ac:dyDescent="0.3">
      <c r="A213" s="610" t="s">
        <v>538</v>
      </c>
      <c r="B213" s="611" t="s">
        <v>539</v>
      </c>
      <c r="C213" s="612" t="s">
        <v>552</v>
      </c>
      <c r="D213" s="613" t="s">
        <v>1194</v>
      </c>
      <c r="E213" s="612" t="s">
        <v>1759</v>
      </c>
      <c r="F213" s="613" t="s">
        <v>1760</v>
      </c>
      <c r="G213" s="612" t="s">
        <v>1556</v>
      </c>
      <c r="H213" s="612" t="s">
        <v>1557</v>
      </c>
      <c r="I213" s="614">
        <v>0.47111111111111104</v>
      </c>
      <c r="J213" s="614">
        <v>4500</v>
      </c>
      <c r="K213" s="615">
        <v>2118</v>
      </c>
    </row>
    <row r="214" spans="1:11" ht="14.4" customHeight="1" x14ac:dyDescent="0.3">
      <c r="A214" s="610" t="s">
        <v>538</v>
      </c>
      <c r="B214" s="611" t="s">
        <v>539</v>
      </c>
      <c r="C214" s="612" t="s">
        <v>552</v>
      </c>
      <c r="D214" s="613" t="s">
        <v>1194</v>
      </c>
      <c r="E214" s="612" t="s">
        <v>1759</v>
      </c>
      <c r="F214" s="613" t="s">
        <v>1760</v>
      </c>
      <c r="G214" s="612" t="s">
        <v>1558</v>
      </c>
      <c r="H214" s="612" t="s">
        <v>1559</v>
      </c>
      <c r="I214" s="614">
        <v>4.0271428571428576</v>
      </c>
      <c r="J214" s="614">
        <v>2100</v>
      </c>
      <c r="K214" s="615">
        <v>8456.5</v>
      </c>
    </row>
    <row r="215" spans="1:11" ht="14.4" customHeight="1" x14ac:dyDescent="0.3">
      <c r="A215" s="610" t="s">
        <v>538</v>
      </c>
      <c r="B215" s="611" t="s">
        <v>539</v>
      </c>
      <c r="C215" s="612" t="s">
        <v>552</v>
      </c>
      <c r="D215" s="613" t="s">
        <v>1194</v>
      </c>
      <c r="E215" s="612" t="s">
        <v>1759</v>
      </c>
      <c r="F215" s="613" t="s">
        <v>1760</v>
      </c>
      <c r="G215" s="612" t="s">
        <v>1560</v>
      </c>
      <c r="H215" s="612" t="s">
        <v>1561</v>
      </c>
      <c r="I215" s="614">
        <v>5924.2525000000005</v>
      </c>
      <c r="J215" s="614">
        <v>14</v>
      </c>
      <c r="K215" s="615">
        <v>82080.349999999991</v>
      </c>
    </row>
    <row r="216" spans="1:11" ht="14.4" customHeight="1" x14ac:dyDescent="0.3">
      <c r="A216" s="610" t="s">
        <v>538</v>
      </c>
      <c r="B216" s="611" t="s">
        <v>539</v>
      </c>
      <c r="C216" s="612" t="s">
        <v>552</v>
      </c>
      <c r="D216" s="613" t="s">
        <v>1194</v>
      </c>
      <c r="E216" s="612" t="s">
        <v>1759</v>
      </c>
      <c r="F216" s="613" t="s">
        <v>1760</v>
      </c>
      <c r="G216" s="612" t="s">
        <v>1562</v>
      </c>
      <c r="H216" s="612" t="s">
        <v>1563</v>
      </c>
      <c r="I216" s="614">
        <v>387.19899999999996</v>
      </c>
      <c r="J216" s="614">
        <v>240</v>
      </c>
      <c r="K216" s="615">
        <v>92927.760000000009</v>
      </c>
    </row>
    <row r="217" spans="1:11" ht="14.4" customHeight="1" x14ac:dyDescent="0.3">
      <c r="A217" s="610" t="s">
        <v>538</v>
      </c>
      <c r="B217" s="611" t="s">
        <v>539</v>
      </c>
      <c r="C217" s="612" t="s">
        <v>552</v>
      </c>
      <c r="D217" s="613" t="s">
        <v>1194</v>
      </c>
      <c r="E217" s="612" t="s">
        <v>1759</v>
      </c>
      <c r="F217" s="613" t="s">
        <v>1760</v>
      </c>
      <c r="G217" s="612" t="s">
        <v>1564</v>
      </c>
      <c r="H217" s="612" t="s">
        <v>1565</v>
      </c>
      <c r="I217" s="614">
        <v>60.5</v>
      </c>
      <c r="J217" s="614">
        <v>10</v>
      </c>
      <c r="K217" s="615">
        <v>605</v>
      </c>
    </row>
    <row r="218" spans="1:11" ht="14.4" customHeight="1" x14ac:dyDescent="0.3">
      <c r="A218" s="610" t="s">
        <v>538</v>
      </c>
      <c r="B218" s="611" t="s">
        <v>539</v>
      </c>
      <c r="C218" s="612" t="s">
        <v>552</v>
      </c>
      <c r="D218" s="613" t="s">
        <v>1194</v>
      </c>
      <c r="E218" s="612" t="s">
        <v>1759</v>
      </c>
      <c r="F218" s="613" t="s">
        <v>1760</v>
      </c>
      <c r="G218" s="612" t="s">
        <v>1365</v>
      </c>
      <c r="H218" s="612" t="s">
        <v>1366</v>
      </c>
      <c r="I218" s="614">
        <v>9.1999999999999993</v>
      </c>
      <c r="J218" s="614">
        <v>250</v>
      </c>
      <c r="K218" s="615">
        <v>2300</v>
      </c>
    </row>
    <row r="219" spans="1:11" ht="14.4" customHeight="1" x14ac:dyDescent="0.3">
      <c r="A219" s="610" t="s">
        <v>538</v>
      </c>
      <c r="B219" s="611" t="s">
        <v>539</v>
      </c>
      <c r="C219" s="612" t="s">
        <v>552</v>
      </c>
      <c r="D219" s="613" t="s">
        <v>1194</v>
      </c>
      <c r="E219" s="612" t="s">
        <v>1759</v>
      </c>
      <c r="F219" s="613" t="s">
        <v>1760</v>
      </c>
      <c r="G219" s="612" t="s">
        <v>1367</v>
      </c>
      <c r="H219" s="612" t="s">
        <v>1368</v>
      </c>
      <c r="I219" s="614">
        <v>172.5</v>
      </c>
      <c r="J219" s="614">
        <v>2</v>
      </c>
      <c r="K219" s="615">
        <v>345</v>
      </c>
    </row>
    <row r="220" spans="1:11" ht="14.4" customHeight="1" x14ac:dyDescent="0.3">
      <c r="A220" s="610" t="s">
        <v>538</v>
      </c>
      <c r="B220" s="611" t="s">
        <v>539</v>
      </c>
      <c r="C220" s="612" t="s">
        <v>552</v>
      </c>
      <c r="D220" s="613" t="s">
        <v>1194</v>
      </c>
      <c r="E220" s="612" t="s">
        <v>1759</v>
      </c>
      <c r="F220" s="613" t="s">
        <v>1760</v>
      </c>
      <c r="G220" s="612" t="s">
        <v>1461</v>
      </c>
      <c r="H220" s="612" t="s">
        <v>1462</v>
      </c>
      <c r="I220" s="614">
        <v>10.83</v>
      </c>
      <c r="J220" s="614">
        <v>768</v>
      </c>
      <c r="K220" s="615">
        <v>8317.06</v>
      </c>
    </row>
    <row r="221" spans="1:11" ht="14.4" customHeight="1" x14ac:dyDescent="0.3">
      <c r="A221" s="610" t="s">
        <v>538</v>
      </c>
      <c r="B221" s="611" t="s">
        <v>539</v>
      </c>
      <c r="C221" s="612" t="s">
        <v>552</v>
      </c>
      <c r="D221" s="613" t="s">
        <v>1194</v>
      </c>
      <c r="E221" s="612" t="s">
        <v>1759</v>
      </c>
      <c r="F221" s="613" t="s">
        <v>1760</v>
      </c>
      <c r="G221" s="612" t="s">
        <v>1566</v>
      </c>
      <c r="H221" s="612" t="s">
        <v>1567</v>
      </c>
      <c r="I221" s="614">
        <v>15.73</v>
      </c>
      <c r="J221" s="614">
        <v>240</v>
      </c>
      <c r="K221" s="615">
        <v>3775.2</v>
      </c>
    </row>
    <row r="222" spans="1:11" ht="14.4" customHeight="1" x14ac:dyDescent="0.3">
      <c r="A222" s="610" t="s">
        <v>538</v>
      </c>
      <c r="B222" s="611" t="s">
        <v>539</v>
      </c>
      <c r="C222" s="612" t="s">
        <v>552</v>
      </c>
      <c r="D222" s="613" t="s">
        <v>1194</v>
      </c>
      <c r="E222" s="612" t="s">
        <v>1759</v>
      </c>
      <c r="F222" s="613" t="s">
        <v>1760</v>
      </c>
      <c r="G222" s="612" t="s">
        <v>1568</v>
      </c>
      <c r="H222" s="612" t="s">
        <v>1569</v>
      </c>
      <c r="I222" s="614">
        <v>14.160000000000002</v>
      </c>
      <c r="J222" s="614">
        <v>480</v>
      </c>
      <c r="K222" s="615">
        <v>6795.36</v>
      </c>
    </row>
    <row r="223" spans="1:11" ht="14.4" customHeight="1" x14ac:dyDescent="0.3">
      <c r="A223" s="610" t="s">
        <v>538</v>
      </c>
      <c r="B223" s="611" t="s">
        <v>539</v>
      </c>
      <c r="C223" s="612" t="s">
        <v>552</v>
      </c>
      <c r="D223" s="613" t="s">
        <v>1194</v>
      </c>
      <c r="E223" s="612" t="s">
        <v>1759</v>
      </c>
      <c r="F223" s="613" t="s">
        <v>1760</v>
      </c>
      <c r="G223" s="612" t="s">
        <v>1570</v>
      </c>
      <c r="H223" s="612" t="s">
        <v>1571</v>
      </c>
      <c r="I223" s="614">
        <v>204.49</v>
      </c>
      <c r="J223" s="614">
        <v>10</v>
      </c>
      <c r="K223" s="615">
        <v>2044.9</v>
      </c>
    </row>
    <row r="224" spans="1:11" ht="14.4" customHeight="1" x14ac:dyDescent="0.3">
      <c r="A224" s="610" t="s">
        <v>538</v>
      </c>
      <c r="B224" s="611" t="s">
        <v>539</v>
      </c>
      <c r="C224" s="612" t="s">
        <v>552</v>
      </c>
      <c r="D224" s="613" t="s">
        <v>1194</v>
      </c>
      <c r="E224" s="612" t="s">
        <v>1759</v>
      </c>
      <c r="F224" s="613" t="s">
        <v>1760</v>
      </c>
      <c r="G224" s="612" t="s">
        <v>1463</v>
      </c>
      <c r="H224" s="612" t="s">
        <v>1464</v>
      </c>
      <c r="I224" s="614">
        <v>106.47999999999999</v>
      </c>
      <c r="J224" s="614">
        <v>50</v>
      </c>
      <c r="K224" s="615">
        <v>5324</v>
      </c>
    </row>
    <row r="225" spans="1:11" ht="14.4" customHeight="1" x14ac:dyDescent="0.3">
      <c r="A225" s="610" t="s">
        <v>538</v>
      </c>
      <c r="B225" s="611" t="s">
        <v>539</v>
      </c>
      <c r="C225" s="612" t="s">
        <v>552</v>
      </c>
      <c r="D225" s="613" t="s">
        <v>1194</v>
      </c>
      <c r="E225" s="612" t="s">
        <v>1759</v>
      </c>
      <c r="F225" s="613" t="s">
        <v>1760</v>
      </c>
      <c r="G225" s="612" t="s">
        <v>1369</v>
      </c>
      <c r="H225" s="612" t="s">
        <v>1370</v>
      </c>
      <c r="I225" s="614">
        <v>403.77499999999998</v>
      </c>
      <c r="J225" s="614">
        <v>40</v>
      </c>
      <c r="K225" s="615">
        <v>16151.08</v>
      </c>
    </row>
    <row r="226" spans="1:11" ht="14.4" customHeight="1" x14ac:dyDescent="0.3">
      <c r="A226" s="610" t="s">
        <v>538</v>
      </c>
      <c r="B226" s="611" t="s">
        <v>539</v>
      </c>
      <c r="C226" s="612" t="s">
        <v>552</v>
      </c>
      <c r="D226" s="613" t="s">
        <v>1194</v>
      </c>
      <c r="E226" s="612" t="s">
        <v>1759</v>
      </c>
      <c r="F226" s="613" t="s">
        <v>1760</v>
      </c>
      <c r="G226" s="612" t="s">
        <v>1572</v>
      </c>
      <c r="H226" s="612" t="s">
        <v>1573</v>
      </c>
      <c r="I226" s="614">
        <v>52.004999999999995</v>
      </c>
      <c r="J226" s="614">
        <v>60</v>
      </c>
      <c r="K226" s="615">
        <v>2927.71</v>
      </c>
    </row>
    <row r="227" spans="1:11" ht="14.4" customHeight="1" x14ac:dyDescent="0.3">
      <c r="A227" s="610" t="s">
        <v>538</v>
      </c>
      <c r="B227" s="611" t="s">
        <v>539</v>
      </c>
      <c r="C227" s="612" t="s">
        <v>552</v>
      </c>
      <c r="D227" s="613" t="s">
        <v>1194</v>
      </c>
      <c r="E227" s="612" t="s">
        <v>1759</v>
      </c>
      <c r="F227" s="613" t="s">
        <v>1760</v>
      </c>
      <c r="G227" s="612" t="s">
        <v>1371</v>
      </c>
      <c r="H227" s="612" t="s">
        <v>1372</v>
      </c>
      <c r="I227" s="614">
        <v>17.059999999999999</v>
      </c>
      <c r="J227" s="614">
        <v>30</v>
      </c>
      <c r="K227" s="615">
        <v>511.82000000000005</v>
      </c>
    </row>
    <row r="228" spans="1:11" ht="14.4" customHeight="1" x14ac:dyDescent="0.3">
      <c r="A228" s="610" t="s">
        <v>538</v>
      </c>
      <c r="B228" s="611" t="s">
        <v>539</v>
      </c>
      <c r="C228" s="612" t="s">
        <v>552</v>
      </c>
      <c r="D228" s="613" t="s">
        <v>1194</v>
      </c>
      <c r="E228" s="612" t="s">
        <v>1759</v>
      </c>
      <c r="F228" s="613" t="s">
        <v>1760</v>
      </c>
      <c r="G228" s="612" t="s">
        <v>1574</v>
      </c>
      <c r="H228" s="612" t="s">
        <v>1575</v>
      </c>
      <c r="I228" s="614">
        <v>39.93</v>
      </c>
      <c r="J228" s="614">
        <v>450</v>
      </c>
      <c r="K228" s="615">
        <v>17968.5</v>
      </c>
    </row>
    <row r="229" spans="1:11" ht="14.4" customHeight="1" x14ac:dyDescent="0.3">
      <c r="A229" s="610" t="s">
        <v>538</v>
      </c>
      <c r="B229" s="611" t="s">
        <v>539</v>
      </c>
      <c r="C229" s="612" t="s">
        <v>552</v>
      </c>
      <c r="D229" s="613" t="s">
        <v>1194</v>
      </c>
      <c r="E229" s="612" t="s">
        <v>1759</v>
      </c>
      <c r="F229" s="613" t="s">
        <v>1760</v>
      </c>
      <c r="G229" s="612" t="s">
        <v>1576</v>
      </c>
      <c r="H229" s="612" t="s">
        <v>1577</v>
      </c>
      <c r="I229" s="614">
        <v>445.25</v>
      </c>
      <c r="J229" s="614">
        <v>50</v>
      </c>
      <c r="K229" s="615">
        <v>22128.760000000002</v>
      </c>
    </row>
    <row r="230" spans="1:11" ht="14.4" customHeight="1" x14ac:dyDescent="0.3">
      <c r="A230" s="610" t="s">
        <v>538</v>
      </c>
      <c r="B230" s="611" t="s">
        <v>539</v>
      </c>
      <c r="C230" s="612" t="s">
        <v>552</v>
      </c>
      <c r="D230" s="613" t="s">
        <v>1194</v>
      </c>
      <c r="E230" s="612" t="s">
        <v>1759</v>
      </c>
      <c r="F230" s="613" t="s">
        <v>1760</v>
      </c>
      <c r="G230" s="612" t="s">
        <v>1578</v>
      </c>
      <c r="H230" s="612" t="s">
        <v>1579</v>
      </c>
      <c r="I230" s="614">
        <v>175.45</v>
      </c>
      <c r="J230" s="614">
        <v>1</v>
      </c>
      <c r="K230" s="615">
        <v>175.45</v>
      </c>
    </row>
    <row r="231" spans="1:11" ht="14.4" customHeight="1" x14ac:dyDescent="0.3">
      <c r="A231" s="610" t="s">
        <v>538</v>
      </c>
      <c r="B231" s="611" t="s">
        <v>539</v>
      </c>
      <c r="C231" s="612" t="s">
        <v>552</v>
      </c>
      <c r="D231" s="613" t="s">
        <v>1194</v>
      </c>
      <c r="E231" s="612" t="s">
        <v>1759</v>
      </c>
      <c r="F231" s="613" t="s">
        <v>1760</v>
      </c>
      <c r="G231" s="612" t="s">
        <v>1465</v>
      </c>
      <c r="H231" s="612" t="s">
        <v>1466</v>
      </c>
      <c r="I231" s="614">
        <v>283</v>
      </c>
      <c r="J231" s="614">
        <v>2</v>
      </c>
      <c r="K231" s="615">
        <v>565.99</v>
      </c>
    </row>
    <row r="232" spans="1:11" ht="14.4" customHeight="1" x14ac:dyDescent="0.3">
      <c r="A232" s="610" t="s">
        <v>538</v>
      </c>
      <c r="B232" s="611" t="s">
        <v>539</v>
      </c>
      <c r="C232" s="612" t="s">
        <v>552</v>
      </c>
      <c r="D232" s="613" t="s">
        <v>1194</v>
      </c>
      <c r="E232" s="612" t="s">
        <v>1759</v>
      </c>
      <c r="F232" s="613" t="s">
        <v>1760</v>
      </c>
      <c r="G232" s="612" t="s">
        <v>1580</v>
      </c>
      <c r="H232" s="612" t="s">
        <v>1581</v>
      </c>
      <c r="I232" s="614">
        <v>2.0699999999999998</v>
      </c>
      <c r="J232" s="614">
        <v>400</v>
      </c>
      <c r="K232" s="615">
        <v>828</v>
      </c>
    </row>
    <row r="233" spans="1:11" ht="14.4" customHeight="1" x14ac:dyDescent="0.3">
      <c r="A233" s="610" t="s">
        <v>538</v>
      </c>
      <c r="B233" s="611" t="s">
        <v>539</v>
      </c>
      <c r="C233" s="612" t="s">
        <v>552</v>
      </c>
      <c r="D233" s="613" t="s">
        <v>1194</v>
      </c>
      <c r="E233" s="612" t="s">
        <v>1759</v>
      </c>
      <c r="F233" s="613" t="s">
        <v>1760</v>
      </c>
      <c r="G233" s="612" t="s">
        <v>1582</v>
      </c>
      <c r="H233" s="612" t="s">
        <v>1583</v>
      </c>
      <c r="I233" s="614">
        <v>117.13</v>
      </c>
      <c r="J233" s="614">
        <v>30</v>
      </c>
      <c r="K233" s="615">
        <v>3513.84</v>
      </c>
    </row>
    <row r="234" spans="1:11" ht="14.4" customHeight="1" x14ac:dyDescent="0.3">
      <c r="A234" s="610" t="s">
        <v>538</v>
      </c>
      <c r="B234" s="611" t="s">
        <v>539</v>
      </c>
      <c r="C234" s="612" t="s">
        <v>552</v>
      </c>
      <c r="D234" s="613" t="s">
        <v>1194</v>
      </c>
      <c r="E234" s="612" t="s">
        <v>1759</v>
      </c>
      <c r="F234" s="613" t="s">
        <v>1760</v>
      </c>
      <c r="G234" s="612" t="s">
        <v>1584</v>
      </c>
      <c r="H234" s="612" t="s">
        <v>1585</v>
      </c>
      <c r="I234" s="614">
        <v>204.49</v>
      </c>
      <c r="J234" s="614">
        <v>40</v>
      </c>
      <c r="K234" s="615">
        <v>8179.6</v>
      </c>
    </row>
    <row r="235" spans="1:11" ht="14.4" customHeight="1" x14ac:dyDescent="0.3">
      <c r="A235" s="610" t="s">
        <v>538</v>
      </c>
      <c r="B235" s="611" t="s">
        <v>539</v>
      </c>
      <c r="C235" s="612" t="s">
        <v>552</v>
      </c>
      <c r="D235" s="613" t="s">
        <v>1194</v>
      </c>
      <c r="E235" s="612" t="s">
        <v>1759</v>
      </c>
      <c r="F235" s="613" t="s">
        <v>1760</v>
      </c>
      <c r="G235" s="612" t="s">
        <v>1469</v>
      </c>
      <c r="H235" s="612" t="s">
        <v>1470</v>
      </c>
      <c r="I235" s="614">
        <v>1315.99</v>
      </c>
      <c r="J235" s="614">
        <v>5</v>
      </c>
      <c r="K235" s="615">
        <v>6579.96</v>
      </c>
    </row>
    <row r="236" spans="1:11" ht="14.4" customHeight="1" x14ac:dyDescent="0.3">
      <c r="A236" s="610" t="s">
        <v>538</v>
      </c>
      <c r="B236" s="611" t="s">
        <v>539</v>
      </c>
      <c r="C236" s="612" t="s">
        <v>552</v>
      </c>
      <c r="D236" s="613" t="s">
        <v>1194</v>
      </c>
      <c r="E236" s="612" t="s">
        <v>1759</v>
      </c>
      <c r="F236" s="613" t="s">
        <v>1760</v>
      </c>
      <c r="G236" s="612" t="s">
        <v>1586</v>
      </c>
      <c r="H236" s="612" t="s">
        <v>1587</v>
      </c>
      <c r="I236" s="614">
        <v>27.83</v>
      </c>
      <c r="J236" s="614">
        <v>40</v>
      </c>
      <c r="K236" s="615">
        <v>1113.2</v>
      </c>
    </row>
    <row r="237" spans="1:11" ht="14.4" customHeight="1" x14ac:dyDescent="0.3">
      <c r="A237" s="610" t="s">
        <v>538</v>
      </c>
      <c r="B237" s="611" t="s">
        <v>539</v>
      </c>
      <c r="C237" s="612" t="s">
        <v>552</v>
      </c>
      <c r="D237" s="613" t="s">
        <v>1194</v>
      </c>
      <c r="E237" s="612" t="s">
        <v>1759</v>
      </c>
      <c r="F237" s="613" t="s">
        <v>1760</v>
      </c>
      <c r="G237" s="612" t="s">
        <v>1588</v>
      </c>
      <c r="H237" s="612" t="s">
        <v>1589</v>
      </c>
      <c r="I237" s="614">
        <v>83.49</v>
      </c>
      <c r="J237" s="614">
        <v>20</v>
      </c>
      <c r="K237" s="615">
        <v>1669.8</v>
      </c>
    </row>
    <row r="238" spans="1:11" ht="14.4" customHeight="1" x14ac:dyDescent="0.3">
      <c r="A238" s="610" t="s">
        <v>538</v>
      </c>
      <c r="B238" s="611" t="s">
        <v>539</v>
      </c>
      <c r="C238" s="612" t="s">
        <v>552</v>
      </c>
      <c r="D238" s="613" t="s">
        <v>1194</v>
      </c>
      <c r="E238" s="612" t="s">
        <v>1759</v>
      </c>
      <c r="F238" s="613" t="s">
        <v>1760</v>
      </c>
      <c r="G238" s="612" t="s">
        <v>1590</v>
      </c>
      <c r="H238" s="612" t="s">
        <v>1591</v>
      </c>
      <c r="I238" s="614">
        <v>204.49</v>
      </c>
      <c r="J238" s="614">
        <v>40</v>
      </c>
      <c r="K238" s="615">
        <v>8179.6</v>
      </c>
    </row>
    <row r="239" spans="1:11" ht="14.4" customHeight="1" x14ac:dyDescent="0.3">
      <c r="A239" s="610" t="s">
        <v>538</v>
      </c>
      <c r="B239" s="611" t="s">
        <v>539</v>
      </c>
      <c r="C239" s="612" t="s">
        <v>552</v>
      </c>
      <c r="D239" s="613" t="s">
        <v>1194</v>
      </c>
      <c r="E239" s="612" t="s">
        <v>1759</v>
      </c>
      <c r="F239" s="613" t="s">
        <v>1760</v>
      </c>
      <c r="G239" s="612" t="s">
        <v>1592</v>
      </c>
      <c r="H239" s="612" t="s">
        <v>1593</v>
      </c>
      <c r="I239" s="614">
        <v>307.45999999999998</v>
      </c>
      <c r="J239" s="614">
        <v>30</v>
      </c>
      <c r="K239" s="615">
        <v>9223.83</v>
      </c>
    </row>
    <row r="240" spans="1:11" ht="14.4" customHeight="1" x14ac:dyDescent="0.3">
      <c r="A240" s="610" t="s">
        <v>538</v>
      </c>
      <c r="B240" s="611" t="s">
        <v>539</v>
      </c>
      <c r="C240" s="612" t="s">
        <v>552</v>
      </c>
      <c r="D240" s="613" t="s">
        <v>1194</v>
      </c>
      <c r="E240" s="612" t="s">
        <v>1759</v>
      </c>
      <c r="F240" s="613" t="s">
        <v>1760</v>
      </c>
      <c r="G240" s="612" t="s">
        <v>1381</v>
      </c>
      <c r="H240" s="612" t="s">
        <v>1382</v>
      </c>
      <c r="I240" s="614">
        <v>14.31</v>
      </c>
      <c r="J240" s="614">
        <v>20</v>
      </c>
      <c r="K240" s="615">
        <v>286.12</v>
      </c>
    </row>
    <row r="241" spans="1:11" ht="14.4" customHeight="1" x14ac:dyDescent="0.3">
      <c r="A241" s="610" t="s">
        <v>538</v>
      </c>
      <c r="B241" s="611" t="s">
        <v>539</v>
      </c>
      <c r="C241" s="612" t="s">
        <v>552</v>
      </c>
      <c r="D241" s="613" t="s">
        <v>1194</v>
      </c>
      <c r="E241" s="612" t="s">
        <v>1759</v>
      </c>
      <c r="F241" s="613" t="s">
        <v>1760</v>
      </c>
      <c r="G241" s="612" t="s">
        <v>1383</v>
      </c>
      <c r="H241" s="612" t="s">
        <v>1384</v>
      </c>
      <c r="I241" s="614">
        <v>195.99</v>
      </c>
      <c r="J241" s="614">
        <v>1</v>
      </c>
      <c r="K241" s="615">
        <v>195.99</v>
      </c>
    </row>
    <row r="242" spans="1:11" ht="14.4" customHeight="1" x14ac:dyDescent="0.3">
      <c r="A242" s="610" t="s">
        <v>538</v>
      </c>
      <c r="B242" s="611" t="s">
        <v>539</v>
      </c>
      <c r="C242" s="612" t="s">
        <v>552</v>
      </c>
      <c r="D242" s="613" t="s">
        <v>1194</v>
      </c>
      <c r="E242" s="612" t="s">
        <v>1759</v>
      </c>
      <c r="F242" s="613" t="s">
        <v>1760</v>
      </c>
      <c r="G242" s="612" t="s">
        <v>1594</v>
      </c>
      <c r="H242" s="612" t="s">
        <v>1595</v>
      </c>
      <c r="I242" s="614">
        <v>373.65</v>
      </c>
      <c r="J242" s="614">
        <v>2</v>
      </c>
      <c r="K242" s="615">
        <v>747.3</v>
      </c>
    </row>
    <row r="243" spans="1:11" ht="14.4" customHeight="1" x14ac:dyDescent="0.3">
      <c r="A243" s="610" t="s">
        <v>538</v>
      </c>
      <c r="B243" s="611" t="s">
        <v>539</v>
      </c>
      <c r="C243" s="612" t="s">
        <v>552</v>
      </c>
      <c r="D243" s="613" t="s">
        <v>1194</v>
      </c>
      <c r="E243" s="612" t="s">
        <v>1759</v>
      </c>
      <c r="F243" s="613" t="s">
        <v>1760</v>
      </c>
      <c r="G243" s="612" t="s">
        <v>1596</v>
      </c>
      <c r="H243" s="612" t="s">
        <v>1597</v>
      </c>
      <c r="I243" s="614">
        <v>2272.9762500000002</v>
      </c>
      <c r="J243" s="614">
        <v>160</v>
      </c>
      <c r="K243" s="615">
        <v>362265.56</v>
      </c>
    </row>
    <row r="244" spans="1:11" ht="14.4" customHeight="1" x14ac:dyDescent="0.3">
      <c r="A244" s="610" t="s">
        <v>538</v>
      </c>
      <c r="B244" s="611" t="s">
        <v>539</v>
      </c>
      <c r="C244" s="612" t="s">
        <v>552</v>
      </c>
      <c r="D244" s="613" t="s">
        <v>1194</v>
      </c>
      <c r="E244" s="612" t="s">
        <v>1759</v>
      </c>
      <c r="F244" s="613" t="s">
        <v>1760</v>
      </c>
      <c r="G244" s="612" t="s">
        <v>1598</v>
      </c>
      <c r="H244" s="612" t="s">
        <v>1599</v>
      </c>
      <c r="I244" s="614">
        <v>414.995</v>
      </c>
      <c r="J244" s="614">
        <v>20</v>
      </c>
      <c r="K244" s="615">
        <v>8299.81</v>
      </c>
    </row>
    <row r="245" spans="1:11" ht="14.4" customHeight="1" x14ac:dyDescent="0.3">
      <c r="A245" s="610" t="s">
        <v>538</v>
      </c>
      <c r="B245" s="611" t="s">
        <v>539</v>
      </c>
      <c r="C245" s="612" t="s">
        <v>552</v>
      </c>
      <c r="D245" s="613" t="s">
        <v>1194</v>
      </c>
      <c r="E245" s="612" t="s">
        <v>1759</v>
      </c>
      <c r="F245" s="613" t="s">
        <v>1760</v>
      </c>
      <c r="G245" s="612" t="s">
        <v>1600</v>
      </c>
      <c r="H245" s="612" t="s">
        <v>1601</v>
      </c>
      <c r="I245" s="614">
        <v>414.995</v>
      </c>
      <c r="J245" s="614">
        <v>20</v>
      </c>
      <c r="K245" s="615">
        <v>8299.81</v>
      </c>
    </row>
    <row r="246" spans="1:11" ht="14.4" customHeight="1" x14ac:dyDescent="0.3">
      <c r="A246" s="610" t="s">
        <v>538</v>
      </c>
      <c r="B246" s="611" t="s">
        <v>539</v>
      </c>
      <c r="C246" s="612" t="s">
        <v>552</v>
      </c>
      <c r="D246" s="613" t="s">
        <v>1194</v>
      </c>
      <c r="E246" s="612" t="s">
        <v>1759</v>
      </c>
      <c r="F246" s="613" t="s">
        <v>1760</v>
      </c>
      <c r="G246" s="612" t="s">
        <v>1602</v>
      </c>
      <c r="H246" s="612" t="s">
        <v>1603</v>
      </c>
      <c r="I246" s="614">
        <v>425.24</v>
      </c>
      <c r="J246" s="614">
        <v>10</v>
      </c>
      <c r="K246" s="615">
        <v>4252.3599999999997</v>
      </c>
    </row>
    <row r="247" spans="1:11" ht="14.4" customHeight="1" x14ac:dyDescent="0.3">
      <c r="A247" s="610" t="s">
        <v>538</v>
      </c>
      <c r="B247" s="611" t="s">
        <v>539</v>
      </c>
      <c r="C247" s="612" t="s">
        <v>552</v>
      </c>
      <c r="D247" s="613" t="s">
        <v>1194</v>
      </c>
      <c r="E247" s="612" t="s">
        <v>1759</v>
      </c>
      <c r="F247" s="613" t="s">
        <v>1760</v>
      </c>
      <c r="G247" s="612" t="s">
        <v>1604</v>
      </c>
      <c r="H247" s="612" t="s">
        <v>1605</v>
      </c>
      <c r="I247" s="614">
        <v>245.3</v>
      </c>
      <c r="J247" s="614">
        <v>60</v>
      </c>
      <c r="K247" s="615">
        <v>14718.2</v>
      </c>
    </row>
    <row r="248" spans="1:11" ht="14.4" customHeight="1" x14ac:dyDescent="0.3">
      <c r="A248" s="610" t="s">
        <v>538</v>
      </c>
      <c r="B248" s="611" t="s">
        <v>539</v>
      </c>
      <c r="C248" s="612" t="s">
        <v>552</v>
      </c>
      <c r="D248" s="613" t="s">
        <v>1194</v>
      </c>
      <c r="E248" s="612" t="s">
        <v>1759</v>
      </c>
      <c r="F248" s="613" t="s">
        <v>1760</v>
      </c>
      <c r="G248" s="612" t="s">
        <v>1606</v>
      </c>
      <c r="H248" s="612" t="s">
        <v>1607</v>
      </c>
      <c r="I248" s="614">
        <v>4721.33</v>
      </c>
      <c r="J248" s="614">
        <v>6</v>
      </c>
      <c r="K248" s="615">
        <v>28328</v>
      </c>
    </row>
    <row r="249" spans="1:11" ht="14.4" customHeight="1" x14ac:dyDescent="0.3">
      <c r="A249" s="610" t="s">
        <v>538</v>
      </c>
      <c r="B249" s="611" t="s">
        <v>539</v>
      </c>
      <c r="C249" s="612" t="s">
        <v>552</v>
      </c>
      <c r="D249" s="613" t="s">
        <v>1194</v>
      </c>
      <c r="E249" s="612" t="s">
        <v>1759</v>
      </c>
      <c r="F249" s="613" t="s">
        <v>1760</v>
      </c>
      <c r="G249" s="612" t="s">
        <v>1608</v>
      </c>
      <c r="H249" s="612" t="s">
        <v>1609</v>
      </c>
      <c r="I249" s="614">
        <v>380.66999999999996</v>
      </c>
      <c r="J249" s="614">
        <v>20</v>
      </c>
      <c r="K249" s="615">
        <v>7613.32</v>
      </c>
    </row>
    <row r="250" spans="1:11" ht="14.4" customHeight="1" x14ac:dyDescent="0.3">
      <c r="A250" s="610" t="s">
        <v>538</v>
      </c>
      <c r="B250" s="611" t="s">
        <v>539</v>
      </c>
      <c r="C250" s="612" t="s">
        <v>552</v>
      </c>
      <c r="D250" s="613" t="s">
        <v>1194</v>
      </c>
      <c r="E250" s="612" t="s">
        <v>1759</v>
      </c>
      <c r="F250" s="613" t="s">
        <v>1760</v>
      </c>
      <c r="G250" s="612" t="s">
        <v>1610</v>
      </c>
      <c r="H250" s="612" t="s">
        <v>1611</v>
      </c>
      <c r="I250" s="614">
        <v>167.61</v>
      </c>
      <c r="J250" s="614">
        <v>50</v>
      </c>
      <c r="K250" s="615">
        <v>8380.51</v>
      </c>
    </row>
    <row r="251" spans="1:11" ht="14.4" customHeight="1" x14ac:dyDescent="0.3">
      <c r="A251" s="610" t="s">
        <v>538</v>
      </c>
      <c r="B251" s="611" t="s">
        <v>539</v>
      </c>
      <c r="C251" s="612" t="s">
        <v>552</v>
      </c>
      <c r="D251" s="613" t="s">
        <v>1194</v>
      </c>
      <c r="E251" s="612" t="s">
        <v>1759</v>
      </c>
      <c r="F251" s="613" t="s">
        <v>1760</v>
      </c>
      <c r="G251" s="612" t="s">
        <v>1612</v>
      </c>
      <c r="H251" s="612" t="s">
        <v>1613</v>
      </c>
      <c r="I251" s="614">
        <v>180.29</v>
      </c>
      <c r="J251" s="614">
        <v>1</v>
      </c>
      <c r="K251" s="615">
        <v>180.29</v>
      </c>
    </row>
    <row r="252" spans="1:11" ht="14.4" customHeight="1" x14ac:dyDescent="0.3">
      <c r="A252" s="610" t="s">
        <v>538</v>
      </c>
      <c r="B252" s="611" t="s">
        <v>539</v>
      </c>
      <c r="C252" s="612" t="s">
        <v>552</v>
      </c>
      <c r="D252" s="613" t="s">
        <v>1194</v>
      </c>
      <c r="E252" s="612" t="s">
        <v>1759</v>
      </c>
      <c r="F252" s="613" t="s">
        <v>1760</v>
      </c>
      <c r="G252" s="612" t="s">
        <v>1614</v>
      </c>
      <c r="H252" s="612" t="s">
        <v>1615</v>
      </c>
      <c r="I252" s="614">
        <v>115</v>
      </c>
      <c r="J252" s="614">
        <v>15</v>
      </c>
      <c r="K252" s="615">
        <v>1725</v>
      </c>
    </row>
    <row r="253" spans="1:11" ht="14.4" customHeight="1" x14ac:dyDescent="0.3">
      <c r="A253" s="610" t="s">
        <v>538</v>
      </c>
      <c r="B253" s="611" t="s">
        <v>539</v>
      </c>
      <c r="C253" s="612" t="s">
        <v>552</v>
      </c>
      <c r="D253" s="613" t="s">
        <v>1194</v>
      </c>
      <c r="E253" s="612" t="s">
        <v>1759</v>
      </c>
      <c r="F253" s="613" t="s">
        <v>1760</v>
      </c>
      <c r="G253" s="612" t="s">
        <v>1391</v>
      </c>
      <c r="H253" s="612" t="s">
        <v>1392</v>
      </c>
      <c r="I253" s="614">
        <v>63.004999999999995</v>
      </c>
      <c r="J253" s="614">
        <v>8</v>
      </c>
      <c r="K253" s="615">
        <v>504.03999999999996</v>
      </c>
    </row>
    <row r="254" spans="1:11" ht="14.4" customHeight="1" x14ac:dyDescent="0.3">
      <c r="A254" s="610" t="s">
        <v>538</v>
      </c>
      <c r="B254" s="611" t="s">
        <v>539</v>
      </c>
      <c r="C254" s="612" t="s">
        <v>552</v>
      </c>
      <c r="D254" s="613" t="s">
        <v>1194</v>
      </c>
      <c r="E254" s="612" t="s">
        <v>1759</v>
      </c>
      <c r="F254" s="613" t="s">
        <v>1760</v>
      </c>
      <c r="G254" s="612" t="s">
        <v>1393</v>
      </c>
      <c r="H254" s="612" t="s">
        <v>1394</v>
      </c>
      <c r="I254" s="614">
        <v>27.83</v>
      </c>
      <c r="J254" s="614">
        <v>20</v>
      </c>
      <c r="K254" s="615">
        <v>556.6</v>
      </c>
    </row>
    <row r="255" spans="1:11" ht="14.4" customHeight="1" x14ac:dyDescent="0.3">
      <c r="A255" s="610" t="s">
        <v>538</v>
      </c>
      <c r="B255" s="611" t="s">
        <v>539</v>
      </c>
      <c r="C255" s="612" t="s">
        <v>552</v>
      </c>
      <c r="D255" s="613" t="s">
        <v>1194</v>
      </c>
      <c r="E255" s="612" t="s">
        <v>1759</v>
      </c>
      <c r="F255" s="613" t="s">
        <v>1760</v>
      </c>
      <c r="G255" s="612" t="s">
        <v>1616</v>
      </c>
      <c r="H255" s="612" t="s">
        <v>1617</v>
      </c>
      <c r="I255" s="614">
        <v>20.970000000000002</v>
      </c>
      <c r="J255" s="614">
        <v>60</v>
      </c>
      <c r="K255" s="615">
        <v>1318.9</v>
      </c>
    </row>
    <row r="256" spans="1:11" ht="14.4" customHeight="1" x14ac:dyDescent="0.3">
      <c r="A256" s="610" t="s">
        <v>538</v>
      </c>
      <c r="B256" s="611" t="s">
        <v>539</v>
      </c>
      <c r="C256" s="612" t="s">
        <v>552</v>
      </c>
      <c r="D256" s="613" t="s">
        <v>1194</v>
      </c>
      <c r="E256" s="612" t="s">
        <v>1759</v>
      </c>
      <c r="F256" s="613" t="s">
        <v>1760</v>
      </c>
      <c r="G256" s="612" t="s">
        <v>1395</v>
      </c>
      <c r="H256" s="612" t="s">
        <v>1396</v>
      </c>
      <c r="I256" s="614">
        <v>9.0500000000000007</v>
      </c>
      <c r="J256" s="614">
        <v>40</v>
      </c>
      <c r="K256" s="615">
        <v>362</v>
      </c>
    </row>
    <row r="257" spans="1:11" ht="14.4" customHeight="1" x14ac:dyDescent="0.3">
      <c r="A257" s="610" t="s">
        <v>538</v>
      </c>
      <c r="B257" s="611" t="s">
        <v>539</v>
      </c>
      <c r="C257" s="612" t="s">
        <v>552</v>
      </c>
      <c r="D257" s="613" t="s">
        <v>1194</v>
      </c>
      <c r="E257" s="612" t="s">
        <v>1759</v>
      </c>
      <c r="F257" s="613" t="s">
        <v>1760</v>
      </c>
      <c r="G257" s="612" t="s">
        <v>1397</v>
      </c>
      <c r="H257" s="612" t="s">
        <v>1398</v>
      </c>
      <c r="I257" s="614">
        <v>113.99</v>
      </c>
      <c r="J257" s="614">
        <v>8</v>
      </c>
      <c r="K257" s="615">
        <v>911.95</v>
      </c>
    </row>
    <row r="258" spans="1:11" ht="14.4" customHeight="1" x14ac:dyDescent="0.3">
      <c r="A258" s="610" t="s">
        <v>538</v>
      </c>
      <c r="B258" s="611" t="s">
        <v>539</v>
      </c>
      <c r="C258" s="612" t="s">
        <v>552</v>
      </c>
      <c r="D258" s="613" t="s">
        <v>1194</v>
      </c>
      <c r="E258" s="612" t="s">
        <v>1759</v>
      </c>
      <c r="F258" s="613" t="s">
        <v>1760</v>
      </c>
      <c r="G258" s="612" t="s">
        <v>1618</v>
      </c>
      <c r="H258" s="612" t="s">
        <v>1619</v>
      </c>
      <c r="I258" s="614">
        <v>61.71</v>
      </c>
      <c r="J258" s="614">
        <v>10</v>
      </c>
      <c r="K258" s="615">
        <v>617.1</v>
      </c>
    </row>
    <row r="259" spans="1:11" ht="14.4" customHeight="1" x14ac:dyDescent="0.3">
      <c r="A259" s="610" t="s">
        <v>538</v>
      </c>
      <c r="B259" s="611" t="s">
        <v>539</v>
      </c>
      <c r="C259" s="612" t="s">
        <v>552</v>
      </c>
      <c r="D259" s="613" t="s">
        <v>1194</v>
      </c>
      <c r="E259" s="612" t="s">
        <v>1759</v>
      </c>
      <c r="F259" s="613" t="s">
        <v>1760</v>
      </c>
      <c r="G259" s="612" t="s">
        <v>1620</v>
      </c>
      <c r="H259" s="612" t="s">
        <v>1621</v>
      </c>
      <c r="I259" s="614">
        <v>484</v>
      </c>
      <c r="J259" s="614">
        <v>30</v>
      </c>
      <c r="K259" s="615">
        <v>14520</v>
      </c>
    </row>
    <row r="260" spans="1:11" ht="14.4" customHeight="1" x14ac:dyDescent="0.3">
      <c r="A260" s="610" t="s">
        <v>538</v>
      </c>
      <c r="B260" s="611" t="s">
        <v>539</v>
      </c>
      <c r="C260" s="612" t="s">
        <v>552</v>
      </c>
      <c r="D260" s="613" t="s">
        <v>1194</v>
      </c>
      <c r="E260" s="612" t="s">
        <v>1759</v>
      </c>
      <c r="F260" s="613" t="s">
        <v>1760</v>
      </c>
      <c r="G260" s="612" t="s">
        <v>1399</v>
      </c>
      <c r="H260" s="612" t="s">
        <v>1400</v>
      </c>
      <c r="I260" s="614">
        <v>436.8</v>
      </c>
      <c r="J260" s="614">
        <v>1</v>
      </c>
      <c r="K260" s="615">
        <v>436.8</v>
      </c>
    </row>
    <row r="261" spans="1:11" ht="14.4" customHeight="1" x14ac:dyDescent="0.3">
      <c r="A261" s="610" t="s">
        <v>538</v>
      </c>
      <c r="B261" s="611" t="s">
        <v>539</v>
      </c>
      <c r="C261" s="612" t="s">
        <v>552</v>
      </c>
      <c r="D261" s="613" t="s">
        <v>1194</v>
      </c>
      <c r="E261" s="612" t="s">
        <v>1759</v>
      </c>
      <c r="F261" s="613" t="s">
        <v>1760</v>
      </c>
      <c r="G261" s="612" t="s">
        <v>1622</v>
      </c>
      <c r="H261" s="612" t="s">
        <v>1623</v>
      </c>
      <c r="I261" s="614">
        <v>3358</v>
      </c>
      <c r="J261" s="614">
        <v>1</v>
      </c>
      <c r="K261" s="615">
        <v>3358</v>
      </c>
    </row>
    <row r="262" spans="1:11" ht="14.4" customHeight="1" x14ac:dyDescent="0.3">
      <c r="A262" s="610" t="s">
        <v>538</v>
      </c>
      <c r="B262" s="611" t="s">
        <v>539</v>
      </c>
      <c r="C262" s="612" t="s">
        <v>552</v>
      </c>
      <c r="D262" s="613" t="s">
        <v>1194</v>
      </c>
      <c r="E262" s="612" t="s">
        <v>1759</v>
      </c>
      <c r="F262" s="613" t="s">
        <v>1760</v>
      </c>
      <c r="G262" s="612" t="s">
        <v>1624</v>
      </c>
      <c r="H262" s="612" t="s">
        <v>1625</v>
      </c>
      <c r="I262" s="614">
        <v>182.47</v>
      </c>
      <c r="J262" s="614">
        <v>50</v>
      </c>
      <c r="K262" s="615">
        <v>9123.7000000000007</v>
      </c>
    </row>
    <row r="263" spans="1:11" ht="14.4" customHeight="1" x14ac:dyDescent="0.3">
      <c r="A263" s="610" t="s">
        <v>538</v>
      </c>
      <c r="B263" s="611" t="s">
        <v>539</v>
      </c>
      <c r="C263" s="612" t="s">
        <v>552</v>
      </c>
      <c r="D263" s="613" t="s">
        <v>1194</v>
      </c>
      <c r="E263" s="612" t="s">
        <v>1759</v>
      </c>
      <c r="F263" s="613" t="s">
        <v>1760</v>
      </c>
      <c r="G263" s="612" t="s">
        <v>1626</v>
      </c>
      <c r="H263" s="612" t="s">
        <v>1627</v>
      </c>
      <c r="I263" s="614">
        <v>181.5</v>
      </c>
      <c r="J263" s="614">
        <v>30</v>
      </c>
      <c r="K263" s="615">
        <v>5445</v>
      </c>
    </row>
    <row r="264" spans="1:11" ht="14.4" customHeight="1" x14ac:dyDescent="0.3">
      <c r="A264" s="610" t="s">
        <v>538</v>
      </c>
      <c r="B264" s="611" t="s">
        <v>539</v>
      </c>
      <c r="C264" s="612" t="s">
        <v>552</v>
      </c>
      <c r="D264" s="613" t="s">
        <v>1194</v>
      </c>
      <c r="E264" s="612" t="s">
        <v>1759</v>
      </c>
      <c r="F264" s="613" t="s">
        <v>1760</v>
      </c>
      <c r="G264" s="612" t="s">
        <v>1403</v>
      </c>
      <c r="H264" s="612" t="s">
        <v>1404</v>
      </c>
      <c r="I264" s="614">
        <v>1.05</v>
      </c>
      <c r="J264" s="614">
        <v>100</v>
      </c>
      <c r="K264" s="615">
        <v>105</v>
      </c>
    </row>
    <row r="265" spans="1:11" ht="14.4" customHeight="1" x14ac:dyDescent="0.3">
      <c r="A265" s="610" t="s">
        <v>538</v>
      </c>
      <c r="B265" s="611" t="s">
        <v>539</v>
      </c>
      <c r="C265" s="612" t="s">
        <v>552</v>
      </c>
      <c r="D265" s="613" t="s">
        <v>1194</v>
      </c>
      <c r="E265" s="612" t="s">
        <v>1759</v>
      </c>
      <c r="F265" s="613" t="s">
        <v>1760</v>
      </c>
      <c r="G265" s="612" t="s">
        <v>1405</v>
      </c>
      <c r="H265" s="612" t="s">
        <v>1406</v>
      </c>
      <c r="I265" s="614">
        <v>43.56</v>
      </c>
      <c r="J265" s="614">
        <v>20</v>
      </c>
      <c r="K265" s="615">
        <v>871.2</v>
      </c>
    </row>
    <row r="266" spans="1:11" ht="14.4" customHeight="1" x14ac:dyDescent="0.3">
      <c r="A266" s="610" t="s">
        <v>538</v>
      </c>
      <c r="B266" s="611" t="s">
        <v>539</v>
      </c>
      <c r="C266" s="612" t="s">
        <v>552</v>
      </c>
      <c r="D266" s="613" t="s">
        <v>1194</v>
      </c>
      <c r="E266" s="612" t="s">
        <v>1759</v>
      </c>
      <c r="F266" s="613" t="s">
        <v>1760</v>
      </c>
      <c r="G266" s="612" t="s">
        <v>1628</v>
      </c>
      <c r="H266" s="612" t="s">
        <v>1629</v>
      </c>
      <c r="I266" s="614">
        <v>458.63</v>
      </c>
      <c r="J266" s="614">
        <v>10</v>
      </c>
      <c r="K266" s="615">
        <v>4586.3100000000004</v>
      </c>
    </row>
    <row r="267" spans="1:11" ht="14.4" customHeight="1" x14ac:dyDescent="0.3">
      <c r="A267" s="610" t="s">
        <v>538</v>
      </c>
      <c r="B267" s="611" t="s">
        <v>539</v>
      </c>
      <c r="C267" s="612" t="s">
        <v>552</v>
      </c>
      <c r="D267" s="613" t="s">
        <v>1194</v>
      </c>
      <c r="E267" s="612" t="s">
        <v>1759</v>
      </c>
      <c r="F267" s="613" t="s">
        <v>1760</v>
      </c>
      <c r="G267" s="612" t="s">
        <v>1630</v>
      </c>
      <c r="H267" s="612" t="s">
        <v>1631</v>
      </c>
      <c r="I267" s="614">
        <v>404.75</v>
      </c>
      <c r="J267" s="614">
        <v>10</v>
      </c>
      <c r="K267" s="615">
        <v>4047.45</v>
      </c>
    </row>
    <row r="268" spans="1:11" ht="14.4" customHeight="1" x14ac:dyDescent="0.3">
      <c r="A268" s="610" t="s">
        <v>538</v>
      </c>
      <c r="B268" s="611" t="s">
        <v>539</v>
      </c>
      <c r="C268" s="612" t="s">
        <v>552</v>
      </c>
      <c r="D268" s="613" t="s">
        <v>1194</v>
      </c>
      <c r="E268" s="612" t="s">
        <v>1759</v>
      </c>
      <c r="F268" s="613" t="s">
        <v>1760</v>
      </c>
      <c r="G268" s="612" t="s">
        <v>1632</v>
      </c>
      <c r="H268" s="612" t="s">
        <v>1633</v>
      </c>
      <c r="I268" s="614">
        <v>1249.6600000000001</v>
      </c>
      <c r="J268" s="614">
        <v>6</v>
      </c>
      <c r="K268" s="615">
        <v>7497.98</v>
      </c>
    </row>
    <row r="269" spans="1:11" ht="14.4" customHeight="1" x14ac:dyDescent="0.3">
      <c r="A269" s="610" t="s">
        <v>538</v>
      </c>
      <c r="B269" s="611" t="s">
        <v>539</v>
      </c>
      <c r="C269" s="612" t="s">
        <v>552</v>
      </c>
      <c r="D269" s="613" t="s">
        <v>1194</v>
      </c>
      <c r="E269" s="612" t="s">
        <v>1759</v>
      </c>
      <c r="F269" s="613" t="s">
        <v>1760</v>
      </c>
      <c r="G269" s="612" t="s">
        <v>1634</v>
      </c>
      <c r="H269" s="612" t="s">
        <v>1635</v>
      </c>
      <c r="I269" s="614">
        <v>27.83</v>
      </c>
      <c r="J269" s="614">
        <v>20</v>
      </c>
      <c r="K269" s="615">
        <v>556.6</v>
      </c>
    </row>
    <row r="270" spans="1:11" ht="14.4" customHeight="1" x14ac:dyDescent="0.3">
      <c r="A270" s="610" t="s">
        <v>538</v>
      </c>
      <c r="B270" s="611" t="s">
        <v>539</v>
      </c>
      <c r="C270" s="612" t="s">
        <v>552</v>
      </c>
      <c r="D270" s="613" t="s">
        <v>1194</v>
      </c>
      <c r="E270" s="612" t="s">
        <v>1759</v>
      </c>
      <c r="F270" s="613" t="s">
        <v>1760</v>
      </c>
      <c r="G270" s="612" t="s">
        <v>1636</v>
      </c>
      <c r="H270" s="612" t="s">
        <v>1637</v>
      </c>
      <c r="I270" s="614">
        <v>20.55</v>
      </c>
      <c r="J270" s="614">
        <v>100</v>
      </c>
      <c r="K270" s="615">
        <v>2054.58</v>
      </c>
    </row>
    <row r="271" spans="1:11" ht="14.4" customHeight="1" x14ac:dyDescent="0.3">
      <c r="A271" s="610" t="s">
        <v>538</v>
      </c>
      <c r="B271" s="611" t="s">
        <v>539</v>
      </c>
      <c r="C271" s="612" t="s">
        <v>552</v>
      </c>
      <c r="D271" s="613" t="s">
        <v>1194</v>
      </c>
      <c r="E271" s="612" t="s">
        <v>1771</v>
      </c>
      <c r="F271" s="613" t="s">
        <v>1772</v>
      </c>
      <c r="G271" s="612" t="s">
        <v>1638</v>
      </c>
      <c r="H271" s="612" t="s">
        <v>1639</v>
      </c>
      <c r="I271" s="614">
        <v>4.9950000000000001</v>
      </c>
      <c r="J271" s="614">
        <v>150</v>
      </c>
      <c r="K271" s="615">
        <v>749.54</v>
      </c>
    </row>
    <row r="272" spans="1:11" ht="14.4" customHeight="1" x14ac:dyDescent="0.3">
      <c r="A272" s="610" t="s">
        <v>538</v>
      </c>
      <c r="B272" s="611" t="s">
        <v>539</v>
      </c>
      <c r="C272" s="612" t="s">
        <v>552</v>
      </c>
      <c r="D272" s="613" t="s">
        <v>1194</v>
      </c>
      <c r="E272" s="612" t="s">
        <v>1771</v>
      </c>
      <c r="F272" s="613" t="s">
        <v>1772</v>
      </c>
      <c r="G272" s="612" t="s">
        <v>1640</v>
      </c>
      <c r="H272" s="612" t="s">
        <v>1641</v>
      </c>
      <c r="I272" s="614">
        <v>25.05</v>
      </c>
      <c r="J272" s="614">
        <v>1</v>
      </c>
      <c r="K272" s="615">
        <v>25.05</v>
      </c>
    </row>
    <row r="273" spans="1:11" ht="14.4" customHeight="1" x14ac:dyDescent="0.3">
      <c r="A273" s="610" t="s">
        <v>538</v>
      </c>
      <c r="B273" s="611" t="s">
        <v>539</v>
      </c>
      <c r="C273" s="612" t="s">
        <v>552</v>
      </c>
      <c r="D273" s="613" t="s">
        <v>1194</v>
      </c>
      <c r="E273" s="612" t="s">
        <v>1771</v>
      </c>
      <c r="F273" s="613" t="s">
        <v>1772</v>
      </c>
      <c r="G273" s="612" t="s">
        <v>1642</v>
      </c>
      <c r="H273" s="612" t="s">
        <v>1643</v>
      </c>
      <c r="I273" s="614">
        <v>49.01</v>
      </c>
      <c r="J273" s="614">
        <v>1</v>
      </c>
      <c r="K273" s="615">
        <v>49.01</v>
      </c>
    </row>
    <row r="274" spans="1:11" ht="14.4" customHeight="1" x14ac:dyDescent="0.3">
      <c r="A274" s="610" t="s">
        <v>538</v>
      </c>
      <c r="B274" s="611" t="s">
        <v>539</v>
      </c>
      <c r="C274" s="612" t="s">
        <v>552</v>
      </c>
      <c r="D274" s="613" t="s">
        <v>1194</v>
      </c>
      <c r="E274" s="612" t="s">
        <v>1773</v>
      </c>
      <c r="F274" s="613" t="s">
        <v>1774</v>
      </c>
      <c r="G274" s="612" t="s">
        <v>1644</v>
      </c>
      <c r="H274" s="612" t="s">
        <v>1645</v>
      </c>
      <c r="I274" s="614">
        <v>899.63</v>
      </c>
      <c r="J274" s="614">
        <v>10</v>
      </c>
      <c r="K274" s="615">
        <v>8996.35</v>
      </c>
    </row>
    <row r="275" spans="1:11" ht="14.4" customHeight="1" x14ac:dyDescent="0.3">
      <c r="A275" s="610" t="s">
        <v>538</v>
      </c>
      <c r="B275" s="611" t="s">
        <v>539</v>
      </c>
      <c r="C275" s="612" t="s">
        <v>552</v>
      </c>
      <c r="D275" s="613" t="s">
        <v>1194</v>
      </c>
      <c r="E275" s="612" t="s">
        <v>1773</v>
      </c>
      <c r="F275" s="613" t="s">
        <v>1774</v>
      </c>
      <c r="G275" s="612" t="s">
        <v>1646</v>
      </c>
      <c r="H275" s="612" t="s">
        <v>1647</v>
      </c>
      <c r="I275" s="614">
        <v>4620.17</v>
      </c>
      <c r="J275" s="614">
        <v>1</v>
      </c>
      <c r="K275" s="615">
        <v>4620.17</v>
      </c>
    </row>
    <row r="276" spans="1:11" ht="14.4" customHeight="1" x14ac:dyDescent="0.3">
      <c r="A276" s="610" t="s">
        <v>538</v>
      </c>
      <c r="B276" s="611" t="s">
        <v>539</v>
      </c>
      <c r="C276" s="612" t="s">
        <v>552</v>
      </c>
      <c r="D276" s="613" t="s">
        <v>1194</v>
      </c>
      <c r="E276" s="612" t="s">
        <v>1773</v>
      </c>
      <c r="F276" s="613" t="s">
        <v>1774</v>
      </c>
      <c r="G276" s="612" t="s">
        <v>1648</v>
      </c>
      <c r="H276" s="612" t="s">
        <v>1649</v>
      </c>
      <c r="I276" s="614">
        <v>629.20000000000005</v>
      </c>
      <c r="J276" s="614">
        <v>40</v>
      </c>
      <c r="K276" s="615">
        <v>25168</v>
      </c>
    </row>
    <row r="277" spans="1:11" ht="14.4" customHeight="1" x14ac:dyDescent="0.3">
      <c r="A277" s="610" t="s">
        <v>538</v>
      </c>
      <c r="B277" s="611" t="s">
        <v>539</v>
      </c>
      <c r="C277" s="612" t="s">
        <v>552</v>
      </c>
      <c r="D277" s="613" t="s">
        <v>1194</v>
      </c>
      <c r="E277" s="612" t="s">
        <v>1773</v>
      </c>
      <c r="F277" s="613" t="s">
        <v>1774</v>
      </c>
      <c r="G277" s="612" t="s">
        <v>1650</v>
      </c>
      <c r="H277" s="612" t="s">
        <v>1651</v>
      </c>
      <c r="I277" s="614">
        <v>411.39999999999992</v>
      </c>
      <c r="J277" s="614">
        <v>30</v>
      </c>
      <c r="K277" s="615">
        <v>12342</v>
      </c>
    </row>
    <row r="278" spans="1:11" ht="14.4" customHeight="1" x14ac:dyDescent="0.3">
      <c r="A278" s="610" t="s">
        <v>538</v>
      </c>
      <c r="B278" s="611" t="s">
        <v>539</v>
      </c>
      <c r="C278" s="612" t="s">
        <v>552</v>
      </c>
      <c r="D278" s="613" t="s">
        <v>1194</v>
      </c>
      <c r="E278" s="612" t="s">
        <v>1769</v>
      </c>
      <c r="F278" s="613" t="s">
        <v>1770</v>
      </c>
      <c r="G278" s="612" t="s">
        <v>1652</v>
      </c>
      <c r="H278" s="612" t="s">
        <v>1653</v>
      </c>
      <c r="I278" s="614">
        <v>24.18</v>
      </c>
      <c r="J278" s="614">
        <v>900</v>
      </c>
      <c r="K278" s="615">
        <v>21758.22</v>
      </c>
    </row>
    <row r="279" spans="1:11" ht="14.4" customHeight="1" x14ac:dyDescent="0.3">
      <c r="A279" s="610" t="s">
        <v>538</v>
      </c>
      <c r="B279" s="611" t="s">
        <v>539</v>
      </c>
      <c r="C279" s="612" t="s">
        <v>552</v>
      </c>
      <c r="D279" s="613" t="s">
        <v>1194</v>
      </c>
      <c r="E279" s="612" t="s">
        <v>1769</v>
      </c>
      <c r="F279" s="613" t="s">
        <v>1770</v>
      </c>
      <c r="G279" s="612" t="s">
        <v>1482</v>
      </c>
      <c r="H279" s="612" t="s">
        <v>1483</v>
      </c>
      <c r="I279" s="614">
        <v>7</v>
      </c>
      <c r="J279" s="614">
        <v>95</v>
      </c>
      <c r="K279" s="615">
        <v>665</v>
      </c>
    </row>
    <row r="280" spans="1:11" ht="14.4" customHeight="1" x14ac:dyDescent="0.3">
      <c r="A280" s="610" t="s">
        <v>538</v>
      </c>
      <c r="B280" s="611" t="s">
        <v>539</v>
      </c>
      <c r="C280" s="612" t="s">
        <v>552</v>
      </c>
      <c r="D280" s="613" t="s">
        <v>1194</v>
      </c>
      <c r="E280" s="612" t="s">
        <v>1775</v>
      </c>
      <c r="F280" s="613" t="s">
        <v>1776</v>
      </c>
      <c r="G280" s="612" t="s">
        <v>1654</v>
      </c>
      <c r="H280" s="612" t="s">
        <v>1655</v>
      </c>
      <c r="I280" s="614">
        <v>48.96</v>
      </c>
      <c r="J280" s="614">
        <v>72</v>
      </c>
      <c r="K280" s="615">
        <v>3524.88</v>
      </c>
    </row>
    <row r="281" spans="1:11" ht="14.4" customHeight="1" x14ac:dyDescent="0.3">
      <c r="A281" s="610" t="s">
        <v>538</v>
      </c>
      <c r="B281" s="611" t="s">
        <v>539</v>
      </c>
      <c r="C281" s="612" t="s">
        <v>552</v>
      </c>
      <c r="D281" s="613" t="s">
        <v>1194</v>
      </c>
      <c r="E281" s="612" t="s">
        <v>1761</v>
      </c>
      <c r="F281" s="613" t="s">
        <v>1762</v>
      </c>
      <c r="G281" s="612" t="s">
        <v>1409</v>
      </c>
      <c r="H281" s="612" t="s">
        <v>1410</v>
      </c>
      <c r="I281" s="614">
        <v>0.30714285714285711</v>
      </c>
      <c r="J281" s="614">
        <v>3100</v>
      </c>
      <c r="K281" s="615">
        <v>954</v>
      </c>
    </row>
    <row r="282" spans="1:11" ht="14.4" customHeight="1" x14ac:dyDescent="0.3">
      <c r="A282" s="610" t="s">
        <v>538</v>
      </c>
      <c r="B282" s="611" t="s">
        <v>539</v>
      </c>
      <c r="C282" s="612" t="s">
        <v>552</v>
      </c>
      <c r="D282" s="613" t="s">
        <v>1194</v>
      </c>
      <c r="E282" s="612" t="s">
        <v>1761</v>
      </c>
      <c r="F282" s="613" t="s">
        <v>1762</v>
      </c>
      <c r="G282" s="612" t="s">
        <v>1656</v>
      </c>
      <c r="H282" s="612" t="s">
        <v>1657</v>
      </c>
      <c r="I282" s="614">
        <v>0.3</v>
      </c>
      <c r="J282" s="614">
        <v>100</v>
      </c>
      <c r="K282" s="615">
        <v>30</v>
      </c>
    </row>
    <row r="283" spans="1:11" ht="14.4" customHeight="1" x14ac:dyDescent="0.3">
      <c r="A283" s="610" t="s">
        <v>538</v>
      </c>
      <c r="B283" s="611" t="s">
        <v>539</v>
      </c>
      <c r="C283" s="612" t="s">
        <v>552</v>
      </c>
      <c r="D283" s="613" t="s">
        <v>1194</v>
      </c>
      <c r="E283" s="612" t="s">
        <v>1761</v>
      </c>
      <c r="F283" s="613" t="s">
        <v>1762</v>
      </c>
      <c r="G283" s="612" t="s">
        <v>1658</v>
      </c>
      <c r="H283" s="612" t="s">
        <v>1659</v>
      </c>
      <c r="I283" s="614">
        <v>0.48</v>
      </c>
      <c r="J283" s="614">
        <v>700</v>
      </c>
      <c r="K283" s="615">
        <v>336</v>
      </c>
    </row>
    <row r="284" spans="1:11" ht="14.4" customHeight="1" x14ac:dyDescent="0.3">
      <c r="A284" s="610" t="s">
        <v>538</v>
      </c>
      <c r="B284" s="611" t="s">
        <v>539</v>
      </c>
      <c r="C284" s="612" t="s">
        <v>552</v>
      </c>
      <c r="D284" s="613" t="s">
        <v>1194</v>
      </c>
      <c r="E284" s="612" t="s">
        <v>1761</v>
      </c>
      <c r="F284" s="613" t="s">
        <v>1762</v>
      </c>
      <c r="G284" s="612" t="s">
        <v>1411</v>
      </c>
      <c r="H284" s="612" t="s">
        <v>1412</v>
      </c>
      <c r="I284" s="614">
        <v>0.48714285714285716</v>
      </c>
      <c r="J284" s="614">
        <v>6300</v>
      </c>
      <c r="K284" s="615">
        <v>3070</v>
      </c>
    </row>
    <row r="285" spans="1:11" ht="14.4" customHeight="1" x14ac:dyDescent="0.3">
      <c r="A285" s="610" t="s">
        <v>538</v>
      </c>
      <c r="B285" s="611" t="s">
        <v>539</v>
      </c>
      <c r="C285" s="612" t="s">
        <v>552</v>
      </c>
      <c r="D285" s="613" t="s">
        <v>1194</v>
      </c>
      <c r="E285" s="612" t="s">
        <v>1761</v>
      </c>
      <c r="F285" s="613" t="s">
        <v>1762</v>
      </c>
      <c r="G285" s="612" t="s">
        <v>1660</v>
      </c>
      <c r="H285" s="612" t="s">
        <v>1661</v>
      </c>
      <c r="I285" s="614">
        <v>48.82</v>
      </c>
      <c r="J285" s="614">
        <v>25</v>
      </c>
      <c r="K285" s="615">
        <v>1220.5899999999999</v>
      </c>
    </row>
    <row r="286" spans="1:11" ht="14.4" customHeight="1" x14ac:dyDescent="0.3">
      <c r="A286" s="610" t="s">
        <v>538</v>
      </c>
      <c r="B286" s="611" t="s">
        <v>539</v>
      </c>
      <c r="C286" s="612" t="s">
        <v>552</v>
      </c>
      <c r="D286" s="613" t="s">
        <v>1194</v>
      </c>
      <c r="E286" s="612" t="s">
        <v>1763</v>
      </c>
      <c r="F286" s="613" t="s">
        <v>1764</v>
      </c>
      <c r="G286" s="612" t="s">
        <v>1662</v>
      </c>
      <c r="H286" s="612" t="s">
        <v>1663</v>
      </c>
      <c r="I286" s="614">
        <v>11.01</v>
      </c>
      <c r="J286" s="614">
        <v>80</v>
      </c>
      <c r="K286" s="615">
        <v>880.8</v>
      </c>
    </row>
    <row r="287" spans="1:11" ht="14.4" customHeight="1" x14ac:dyDescent="0.3">
      <c r="A287" s="610" t="s">
        <v>538</v>
      </c>
      <c r="B287" s="611" t="s">
        <v>539</v>
      </c>
      <c r="C287" s="612" t="s">
        <v>552</v>
      </c>
      <c r="D287" s="613" t="s">
        <v>1194</v>
      </c>
      <c r="E287" s="612" t="s">
        <v>1763</v>
      </c>
      <c r="F287" s="613" t="s">
        <v>1764</v>
      </c>
      <c r="G287" s="612" t="s">
        <v>1664</v>
      </c>
      <c r="H287" s="612" t="s">
        <v>1665</v>
      </c>
      <c r="I287" s="614">
        <v>11.016666666666666</v>
      </c>
      <c r="J287" s="614">
        <v>320</v>
      </c>
      <c r="K287" s="615">
        <v>3526</v>
      </c>
    </row>
    <row r="288" spans="1:11" ht="14.4" customHeight="1" x14ac:dyDescent="0.3">
      <c r="A288" s="610" t="s">
        <v>538</v>
      </c>
      <c r="B288" s="611" t="s">
        <v>539</v>
      </c>
      <c r="C288" s="612" t="s">
        <v>552</v>
      </c>
      <c r="D288" s="613" t="s">
        <v>1194</v>
      </c>
      <c r="E288" s="612" t="s">
        <v>1763</v>
      </c>
      <c r="F288" s="613" t="s">
        <v>1764</v>
      </c>
      <c r="G288" s="612" t="s">
        <v>1666</v>
      </c>
      <c r="H288" s="612" t="s">
        <v>1667</v>
      </c>
      <c r="I288" s="614">
        <v>11.012499999999999</v>
      </c>
      <c r="J288" s="614">
        <v>280</v>
      </c>
      <c r="K288" s="615">
        <v>3084</v>
      </c>
    </row>
    <row r="289" spans="1:11" ht="14.4" customHeight="1" x14ac:dyDescent="0.3">
      <c r="A289" s="610" t="s">
        <v>538</v>
      </c>
      <c r="B289" s="611" t="s">
        <v>539</v>
      </c>
      <c r="C289" s="612" t="s">
        <v>552</v>
      </c>
      <c r="D289" s="613" t="s">
        <v>1194</v>
      </c>
      <c r="E289" s="612" t="s">
        <v>1763</v>
      </c>
      <c r="F289" s="613" t="s">
        <v>1764</v>
      </c>
      <c r="G289" s="612" t="s">
        <v>1668</v>
      </c>
      <c r="H289" s="612" t="s">
        <v>1669</v>
      </c>
      <c r="I289" s="614">
        <v>11.015000000000001</v>
      </c>
      <c r="J289" s="614">
        <v>120</v>
      </c>
      <c r="K289" s="615">
        <v>1321.6</v>
      </c>
    </row>
    <row r="290" spans="1:11" ht="14.4" customHeight="1" x14ac:dyDescent="0.3">
      <c r="A290" s="610" t="s">
        <v>538</v>
      </c>
      <c r="B290" s="611" t="s">
        <v>539</v>
      </c>
      <c r="C290" s="612" t="s">
        <v>552</v>
      </c>
      <c r="D290" s="613" t="s">
        <v>1194</v>
      </c>
      <c r="E290" s="612" t="s">
        <v>1763</v>
      </c>
      <c r="F290" s="613" t="s">
        <v>1764</v>
      </c>
      <c r="G290" s="612" t="s">
        <v>1670</v>
      </c>
      <c r="H290" s="612" t="s">
        <v>1671</v>
      </c>
      <c r="I290" s="614">
        <v>11.01</v>
      </c>
      <c r="J290" s="614">
        <v>80</v>
      </c>
      <c r="K290" s="615">
        <v>880.64</v>
      </c>
    </row>
    <row r="291" spans="1:11" ht="14.4" customHeight="1" x14ac:dyDescent="0.3">
      <c r="A291" s="610" t="s">
        <v>538</v>
      </c>
      <c r="B291" s="611" t="s">
        <v>539</v>
      </c>
      <c r="C291" s="612" t="s">
        <v>552</v>
      </c>
      <c r="D291" s="613" t="s">
        <v>1194</v>
      </c>
      <c r="E291" s="612" t="s">
        <v>1763</v>
      </c>
      <c r="F291" s="613" t="s">
        <v>1764</v>
      </c>
      <c r="G291" s="612" t="s">
        <v>1417</v>
      </c>
      <c r="H291" s="612" t="s">
        <v>1418</v>
      </c>
      <c r="I291" s="614">
        <v>0.71099999999999997</v>
      </c>
      <c r="J291" s="614">
        <v>49800</v>
      </c>
      <c r="K291" s="615">
        <v>35410</v>
      </c>
    </row>
    <row r="292" spans="1:11" ht="14.4" customHeight="1" x14ac:dyDescent="0.3">
      <c r="A292" s="610" t="s">
        <v>538</v>
      </c>
      <c r="B292" s="611" t="s">
        <v>539</v>
      </c>
      <c r="C292" s="612" t="s">
        <v>552</v>
      </c>
      <c r="D292" s="613" t="s">
        <v>1194</v>
      </c>
      <c r="E292" s="612" t="s">
        <v>1763</v>
      </c>
      <c r="F292" s="613" t="s">
        <v>1764</v>
      </c>
      <c r="G292" s="612" t="s">
        <v>1419</v>
      </c>
      <c r="H292" s="612" t="s">
        <v>1672</v>
      </c>
      <c r="I292" s="614">
        <v>11.01</v>
      </c>
      <c r="J292" s="614">
        <v>80</v>
      </c>
      <c r="K292" s="615">
        <v>880.8</v>
      </c>
    </row>
    <row r="293" spans="1:11" ht="14.4" customHeight="1" x14ac:dyDescent="0.3">
      <c r="A293" s="610" t="s">
        <v>538</v>
      </c>
      <c r="B293" s="611" t="s">
        <v>539</v>
      </c>
      <c r="C293" s="612" t="s">
        <v>552</v>
      </c>
      <c r="D293" s="613" t="s">
        <v>1194</v>
      </c>
      <c r="E293" s="612" t="s">
        <v>1763</v>
      </c>
      <c r="F293" s="613" t="s">
        <v>1764</v>
      </c>
      <c r="G293" s="612" t="s">
        <v>1419</v>
      </c>
      <c r="H293" s="612" t="s">
        <v>1420</v>
      </c>
      <c r="I293" s="614">
        <v>12.475000000000001</v>
      </c>
      <c r="J293" s="614">
        <v>200</v>
      </c>
      <c r="K293" s="615">
        <v>2495</v>
      </c>
    </row>
    <row r="294" spans="1:11" ht="14.4" customHeight="1" x14ac:dyDescent="0.3">
      <c r="A294" s="610" t="s">
        <v>538</v>
      </c>
      <c r="B294" s="611" t="s">
        <v>539</v>
      </c>
      <c r="C294" s="612" t="s">
        <v>552</v>
      </c>
      <c r="D294" s="613" t="s">
        <v>1194</v>
      </c>
      <c r="E294" s="612" t="s">
        <v>1763</v>
      </c>
      <c r="F294" s="613" t="s">
        <v>1764</v>
      </c>
      <c r="G294" s="612" t="s">
        <v>1421</v>
      </c>
      <c r="H294" s="612" t="s">
        <v>1422</v>
      </c>
      <c r="I294" s="614">
        <v>12.585000000000001</v>
      </c>
      <c r="J294" s="614">
        <v>600</v>
      </c>
      <c r="K294" s="615">
        <v>7550.4</v>
      </c>
    </row>
    <row r="295" spans="1:11" ht="14.4" customHeight="1" x14ac:dyDescent="0.3">
      <c r="A295" s="610" t="s">
        <v>538</v>
      </c>
      <c r="B295" s="611" t="s">
        <v>539</v>
      </c>
      <c r="C295" s="612" t="s">
        <v>552</v>
      </c>
      <c r="D295" s="613" t="s">
        <v>1194</v>
      </c>
      <c r="E295" s="612" t="s">
        <v>1763</v>
      </c>
      <c r="F295" s="613" t="s">
        <v>1764</v>
      </c>
      <c r="G295" s="612" t="s">
        <v>1673</v>
      </c>
      <c r="H295" s="612" t="s">
        <v>1674</v>
      </c>
      <c r="I295" s="614">
        <v>12.585000000000001</v>
      </c>
      <c r="J295" s="614">
        <v>80</v>
      </c>
      <c r="K295" s="615">
        <v>1006.8</v>
      </c>
    </row>
    <row r="296" spans="1:11" ht="14.4" customHeight="1" x14ac:dyDescent="0.3">
      <c r="A296" s="610" t="s">
        <v>538</v>
      </c>
      <c r="B296" s="611" t="s">
        <v>539</v>
      </c>
      <c r="C296" s="612" t="s">
        <v>552</v>
      </c>
      <c r="D296" s="613" t="s">
        <v>1194</v>
      </c>
      <c r="E296" s="612" t="s">
        <v>1763</v>
      </c>
      <c r="F296" s="613" t="s">
        <v>1764</v>
      </c>
      <c r="G296" s="612" t="s">
        <v>1486</v>
      </c>
      <c r="H296" s="612" t="s">
        <v>1487</v>
      </c>
      <c r="I296" s="614">
        <v>12.587500000000002</v>
      </c>
      <c r="J296" s="614">
        <v>560</v>
      </c>
      <c r="K296" s="615">
        <v>7048.8</v>
      </c>
    </row>
    <row r="297" spans="1:11" ht="14.4" customHeight="1" x14ac:dyDescent="0.3">
      <c r="A297" s="610" t="s">
        <v>538</v>
      </c>
      <c r="B297" s="611" t="s">
        <v>539</v>
      </c>
      <c r="C297" s="612" t="s">
        <v>552</v>
      </c>
      <c r="D297" s="613" t="s">
        <v>1194</v>
      </c>
      <c r="E297" s="612" t="s">
        <v>1763</v>
      </c>
      <c r="F297" s="613" t="s">
        <v>1764</v>
      </c>
      <c r="G297" s="612" t="s">
        <v>1675</v>
      </c>
      <c r="H297" s="612" t="s">
        <v>1676</v>
      </c>
      <c r="I297" s="614">
        <v>12.09</v>
      </c>
      <c r="J297" s="614">
        <v>40</v>
      </c>
      <c r="K297" s="615">
        <v>483.6</v>
      </c>
    </row>
    <row r="298" spans="1:11" ht="14.4" customHeight="1" x14ac:dyDescent="0.3">
      <c r="A298" s="610" t="s">
        <v>538</v>
      </c>
      <c r="B298" s="611" t="s">
        <v>539</v>
      </c>
      <c r="C298" s="612" t="s">
        <v>552</v>
      </c>
      <c r="D298" s="613" t="s">
        <v>1194</v>
      </c>
      <c r="E298" s="612" t="s">
        <v>1765</v>
      </c>
      <c r="F298" s="613" t="s">
        <v>1766</v>
      </c>
      <c r="G298" s="612" t="s">
        <v>1423</v>
      </c>
      <c r="H298" s="612" t="s">
        <v>1424</v>
      </c>
      <c r="I298" s="614">
        <v>139.43090909090913</v>
      </c>
      <c r="J298" s="614">
        <v>110</v>
      </c>
      <c r="K298" s="615">
        <v>15337.380000000001</v>
      </c>
    </row>
    <row r="299" spans="1:11" ht="14.4" customHeight="1" x14ac:dyDescent="0.3">
      <c r="A299" s="610" t="s">
        <v>538</v>
      </c>
      <c r="B299" s="611" t="s">
        <v>539</v>
      </c>
      <c r="C299" s="612" t="s">
        <v>552</v>
      </c>
      <c r="D299" s="613" t="s">
        <v>1194</v>
      </c>
      <c r="E299" s="612" t="s">
        <v>1765</v>
      </c>
      <c r="F299" s="613" t="s">
        <v>1766</v>
      </c>
      <c r="G299" s="612" t="s">
        <v>1677</v>
      </c>
      <c r="H299" s="612" t="s">
        <v>1678</v>
      </c>
      <c r="I299" s="614">
        <v>11.650000000000002</v>
      </c>
      <c r="J299" s="614">
        <v>70</v>
      </c>
      <c r="K299" s="615">
        <v>815.65</v>
      </c>
    </row>
    <row r="300" spans="1:11" ht="14.4" customHeight="1" x14ac:dyDescent="0.3">
      <c r="A300" s="610" t="s">
        <v>538</v>
      </c>
      <c r="B300" s="611" t="s">
        <v>539</v>
      </c>
      <c r="C300" s="612" t="s">
        <v>552</v>
      </c>
      <c r="D300" s="613" t="s">
        <v>1194</v>
      </c>
      <c r="E300" s="612" t="s">
        <v>1765</v>
      </c>
      <c r="F300" s="613" t="s">
        <v>1766</v>
      </c>
      <c r="G300" s="612" t="s">
        <v>1679</v>
      </c>
      <c r="H300" s="612" t="s">
        <v>1680</v>
      </c>
      <c r="I300" s="614">
        <v>149.23333333333335</v>
      </c>
      <c r="J300" s="614">
        <v>5</v>
      </c>
      <c r="K300" s="615">
        <v>752.62</v>
      </c>
    </row>
    <row r="301" spans="1:11" ht="14.4" customHeight="1" x14ac:dyDescent="0.3">
      <c r="A301" s="610" t="s">
        <v>538</v>
      </c>
      <c r="B301" s="611" t="s">
        <v>539</v>
      </c>
      <c r="C301" s="612" t="s">
        <v>552</v>
      </c>
      <c r="D301" s="613" t="s">
        <v>1194</v>
      </c>
      <c r="E301" s="612" t="s">
        <v>1765</v>
      </c>
      <c r="F301" s="613" t="s">
        <v>1766</v>
      </c>
      <c r="G301" s="612" t="s">
        <v>1681</v>
      </c>
      <c r="H301" s="612" t="s">
        <v>1682</v>
      </c>
      <c r="I301" s="614">
        <v>2763.4</v>
      </c>
      <c r="J301" s="614">
        <v>1</v>
      </c>
      <c r="K301" s="615">
        <v>2763.4</v>
      </c>
    </row>
    <row r="302" spans="1:11" ht="14.4" customHeight="1" x14ac:dyDescent="0.3">
      <c r="A302" s="610" t="s">
        <v>538</v>
      </c>
      <c r="B302" s="611" t="s">
        <v>539</v>
      </c>
      <c r="C302" s="612" t="s">
        <v>552</v>
      </c>
      <c r="D302" s="613" t="s">
        <v>1194</v>
      </c>
      <c r="E302" s="612" t="s">
        <v>1765</v>
      </c>
      <c r="F302" s="613" t="s">
        <v>1766</v>
      </c>
      <c r="G302" s="612" t="s">
        <v>1683</v>
      </c>
      <c r="H302" s="612" t="s">
        <v>1684</v>
      </c>
      <c r="I302" s="614">
        <v>9699.49</v>
      </c>
      <c r="J302" s="614">
        <v>1</v>
      </c>
      <c r="K302" s="615">
        <v>9699.49</v>
      </c>
    </row>
    <row r="303" spans="1:11" ht="14.4" customHeight="1" x14ac:dyDescent="0.3">
      <c r="A303" s="610" t="s">
        <v>538</v>
      </c>
      <c r="B303" s="611" t="s">
        <v>539</v>
      </c>
      <c r="C303" s="612" t="s">
        <v>552</v>
      </c>
      <c r="D303" s="613" t="s">
        <v>1194</v>
      </c>
      <c r="E303" s="612" t="s">
        <v>1765</v>
      </c>
      <c r="F303" s="613" t="s">
        <v>1766</v>
      </c>
      <c r="G303" s="612" t="s">
        <v>1425</v>
      </c>
      <c r="H303" s="612" t="s">
        <v>1426</v>
      </c>
      <c r="I303" s="614">
        <v>4572.71</v>
      </c>
      <c r="J303" s="614">
        <v>1</v>
      </c>
      <c r="K303" s="615">
        <v>4572.71</v>
      </c>
    </row>
    <row r="304" spans="1:11" ht="14.4" customHeight="1" x14ac:dyDescent="0.3">
      <c r="A304" s="610" t="s">
        <v>538</v>
      </c>
      <c r="B304" s="611" t="s">
        <v>539</v>
      </c>
      <c r="C304" s="612" t="s">
        <v>552</v>
      </c>
      <c r="D304" s="613" t="s">
        <v>1194</v>
      </c>
      <c r="E304" s="612" t="s">
        <v>1765</v>
      </c>
      <c r="F304" s="613" t="s">
        <v>1766</v>
      </c>
      <c r="G304" s="612" t="s">
        <v>1427</v>
      </c>
      <c r="H304" s="612" t="s">
        <v>1428</v>
      </c>
      <c r="I304" s="614">
        <v>4973.91</v>
      </c>
      <c r="J304" s="614">
        <v>1</v>
      </c>
      <c r="K304" s="615">
        <v>4973.91</v>
      </c>
    </row>
    <row r="305" spans="1:11" ht="14.4" customHeight="1" x14ac:dyDescent="0.3">
      <c r="A305" s="610" t="s">
        <v>538</v>
      </c>
      <c r="B305" s="611" t="s">
        <v>539</v>
      </c>
      <c r="C305" s="612" t="s">
        <v>552</v>
      </c>
      <c r="D305" s="613" t="s">
        <v>1194</v>
      </c>
      <c r="E305" s="612" t="s">
        <v>1765</v>
      </c>
      <c r="F305" s="613" t="s">
        <v>1766</v>
      </c>
      <c r="G305" s="612" t="s">
        <v>1685</v>
      </c>
      <c r="H305" s="612" t="s">
        <v>1686</v>
      </c>
      <c r="I305" s="614">
        <v>2746.7</v>
      </c>
      <c r="J305" s="614">
        <v>2</v>
      </c>
      <c r="K305" s="615">
        <v>5493.4</v>
      </c>
    </row>
    <row r="306" spans="1:11" ht="14.4" customHeight="1" x14ac:dyDescent="0.3">
      <c r="A306" s="610" t="s">
        <v>538</v>
      </c>
      <c r="B306" s="611" t="s">
        <v>539</v>
      </c>
      <c r="C306" s="612" t="s">
        <v>552</v>
      </c>
      <c r="D306" s="613" t="s">
        <v>1194</v>
      </c>
      <c r="E306" s="612" t="s">
        <v>1765</v>
      </c>
      <c r="F306" s="613" t="s">
        <v>1766</v>
      </c>
      <c r="G306" s="612" t="s">
        <v>1687</v>
      </c>
      <c r="H306" s="612" t="s">
        <v>1688</v>
      </c>
      <c r="I306" s="614">
        <v>6352.5</v>
      </c>
      <c r="J306" s="614">
        <v>5</v>
      </c>
      <c r="K306" s="615">
        <v>31762.5</v>
      </c>
    </row>
    <row r="307" spans="1:11" ht="14.4" customHeight="1" x14ac:dyDescent="0.3">
      <c r="A307" s="610" t="s">
        <v>538</v>
      </c>
      <c r="B307" s="611" t="s">
        <v>539</v>
      </c>
      <c r="C307" s="612" t="s">
        <v>552</v>
      </c>
      <c r="D307" s="613" t="s">
        <v>1194</v>
      </c>
      <c r="E307" s="612" t="s">
        <v>1765</v>
      </c>
      <c r="F307" s="613" t="s">
        <v>1766</v>
      </c>
      <c r="G307" s="612" t="s">
        <v>1689</v>
      </c>
      <c r="H307" s="612" t="s">
        <v>1690</v>
      </c>
      <c r="I307" s="614">
        <v>9699.3700000000008</v>
      </c>
      <c r="J307" s="614">
        <v>1</v>
      </c>
      <c r="K307" s="615">
        <v>9699.3700000000008</v>
      </c>
    </row>
    <row r="308" spans="1:11" ht="14.4" customHeight="1" x14ac:dyDescent="0.3">
      <c r="A308" s="610" t="s">
        <v>538</v>
      </c>
      <c r="B308" s="611" t="s">
        <v>539</v>
      </c>
      <c r="C308" s="612" t="s">
        <v>552</v>
      </c>
      <c r="D308" s="613" t="s">
        <v>1194</v>
      </c>
      <c r="E308" s="612" t="s">
        <v>1765</v>
      </c>
      <c r="F308" s="613" t="s">
        <v>1766</v>
      </c>
      <c r="G308" s="612" t="s">
        <v>1691</v>
      </c>
      <c r="H308" s="612" t="s">
        <v>1692</v>
      </c>
      <c r="I308" s="614">
        <v>8470</v>
      </c>
      <c r="J308" s="614">
        <v>4</v>
      </c>
      <c r="K308" s="615">
        <v>33880</v>
      </c>
    </row>
    <row r="309" spans="1:11" ht="14.4" customHeight="1" x14ac:dyDescent="0.3">
      <c r="A309" s="610" t="s">
        <v>538</v>
      </c>
      <c r="B309" s="611" t="s">
        <v>539</v>
      </c>
      <c r="C309" s="612" t="s">
        <v>552</v>
      </c>
      <c r="D309" s="613" t="s">
        <v>1194</v>
      </c>
      <c r="E309" s="612" t="s">
        <v>1765</v>
      </c>
      <c r="F309" s="613" t="s">
        <v>1766</v>
      </c>
      <c r="G309" s="612" t="s">
        <v>1429</v>
      </c>
      <c r="H309" s="612" t="s">
        <v>1430</v>
      </c>
      <c r="I309" s="614">
        <v>363</v>
      </c>
      <c r="J309" s="614">
        <v>5</v>
      </c>
      <c r="K309" s="615">
        <v>1815</v>
      </c>
    </row>
    <row r="310" spans="1:11" ht="14.4" customHeight="1" x14ac:dyDescent="0.3">
      <c r="A310" s="610" t="s">
        <v>538</v>
      </c>
      <c r="B310" s="611" t="s">
        <v>539</v>
      </c>
      <c r="C310" s="612" t="s">
        <v>552</v>
      </c>
      <c r="D310" s="613" t="s">
        <v>1194</v>
      </c>
      <c r="E310" s="612" t="s">
        <v>1765</v>
      </c>
      <c r="F310" s="613" t="s">
        <v>1766</v>
      </c>
      <c r="G310" s="612" t="s">
        <v>1693</v>
      </c>
      <c r="H310" s="612" t="s">
        <v>1694</v>
      </c>
      <c r="I310" s="614">
        <v>4469.9979999999996</v>
      </c>
      <c r="J310" s="614">
        <v>12</v>
      </c>
      <c r="K310" s="615">
        <v>53540</v>
      </c>
    </row>
    <row r="311" spans="1:11" ht="14.4" customHeight="1" x14ac:dyDescent="0.3">
      <c r="A311" s="610" t="s">
        <v>538</v>
      </c>
      <c r="B311" s="611" t="s">
        <v>539</v>
      </c>
      <c r="C311" s="612" t="s">
        <v>552</v>
      </c>
      <c r="D311" s="613" t="s">
        <v>1194</v>
      </c>
      <c r="E311" s="612" t="s">
        <v>1765</v>
      </c>
      <c r="F311" s="613" t="s">
        <v>1766</v>
      </c>
      <c r="G311" s="612" t="s">
        <v>1695</v>
      </c>
      <c r="H311" s="612" t="s">
        <v>1696</v>
      </c>
      <c r="I311" s="614">
        <v>786.5</v>
      </c>
      <c r="J311" s="614">
        <v>2</v>
      </c>
      <c r="K311" s="615">
        <v>1573</v>
      </c>
    </row>
    <row r="312" spans="1:11" ht="14.4" customHeight="1" x14ac:dyDescent="0.3">
      <c r="A312" s="610" t="s">
        <v>538</v>
      </c>
      <c r="B312" s="611" t="s">
        <v>539</v>
      </c>
      <c r="C312" s="612" t="s">
        <v>552</v>
      </c>
      <c r="D312" s="613" t="s">
        <v>1194</v>
      </c>
      <c r="E312" s="612" t="s">
        <v>1765</v>
      </c>
      <c r="F312" s="613" t="s">
        <v>1766</v>
      </c>
      <c r="G312" s="612" t="s">
        <v>1697</v>
      </c>
      <c r="H312" s="612" t="s">
        <v>1698</v>
      </c>
      <c r="I312" s="614">
        <v>9699.49</v>
      </c>
      <c r="J312" s="614">
        <v>1</v>
      </c>
      <c r="K312" s="615">
        <v>9699.49</v>
      </c>
    </row>
    <row r="313" spans="1:11" ht="14.4" customHeight="1" x14ac:dyDescent="0.3">
      <c r="A313" s="610" t="s">
        <v>538</v>
      </c>
      <c r="B313" s="611" t="s">
        <v>539</v>
      </c>
      <c r="C313" s="612" t="s">
        <v>552</v>
      </c>
      <c r="D313" s="613" t="s">
        <v>1194</v>
      </c>
      <c r="E313" s="612" t="s">
        <v>1765</v>
      </c>
      <c r="F313" s="613" t="s">
        <v>1766</v>
      </c>
      <c r="G313" s="612" t="s">
        <v>1699</v>
      </c>
      <c r="H313" s="612" t="s">
        <v>1700</v>
      </c>
      <c r="I313" s="614">
        <v>4532.4799999999996</v>
      </c>
      <c r="J313" s="614">
        <v>1</v>
      </c>
      <c r="K313" s="615">
        <v>4532.4799999999996</v>
      </c>
    </row>
    <row r="314" spans="1:11" ht="14.4" customHeight="1" x14ac:dyDescent="0.3">
      <c r="A314" s="610" t="s">
        <v>538</v>
      </c>
      <c r="B314" s="611" t="s">
        <v>539</v>
      </c>
      <c r="C314" s="612" t="s">
        <v>552</v>
      </c>
      <c r="D314" s="613" t="s">
        <v>1194</v>
      </c>
      <c r="E314" s="612" t="s">
        <v>1765</v>
      </c>
      <c r="F314" s="613" t="s">
        <v>1766</v>
      </c>
      <c r="G314" s="612" t="s">
        <v>1701</v>
      </c>
      <c r="H314" s="612" t="s">
        <v>1702</v>
      </c>
      <c r="I314" s="614">
        <v>3630</v>
      </c>
      <c r="J314" s="614">
        <v>1</v>
      </c>
      <c r="K314" s="615">
        <v>3630</v>
      </c>
    </row>
    <row r="315" spans="1:11" ht="14.4" customHeight="1" x14ac:dyDescent="0.3">
      <c r="A315" s="610" t="s">
        <v>538</v>
      </c>
      <c r="B315" s="611" t="s">
        <v>539</v>
      </c>
      <c r="C315" s="612" t="s">
        <v>552</v>
      </c>
      <c r="D315" s="613" t="s">
        <v>1194</v>
      </c>
      <c r="E315" s="612" t="s">
        <v>1765</v>
      </c>
      <c r="F315" s="613" t="s">
        <v>1766</v>
      </c>
      <c r="G315" s="612" t="s">
        <v>1703</v>
      </c>
      <c r="H315" s="612" t="s">
        <v>1704</v>
      </c>
      <c r="I315" s="614">
        <v>4572.71</v>
      </c>
      <c r="J315" s="614">
        <v>1</v>
      </c>
      <c r="K315" s="615">
        <v>4572.71</v>
      </c>
    </row>
    <row r="316" spans="1:11" ht="14.4" customHeight="1" x14ac:dyDescent="0.3">
      <c r="A316" s="610" t="s">
        <v>538</v>
      </c>
      <c r="B316" s="611" t="s">
        <v>539</v>
      </c>
      <c r="C316" s="612" t="s">
        <v>552</v>
      </c>
      <c r="D316" s="613" t="s">
        <v>1194</v>
      </c>
      <c r="E316" s="612" t="s">
        <v>1765</v>
      </c>
      <c r="F316" s="613" t="s">
        <v>1766</v>
      </c>
      <c r="G316" s="612" t="s">
        <v>1705</v>
      </c>
      <c r="H316" s="612" t="s">
        <v>1706</v>
      </c>
      <c r="I316" s="614">
        <v>240.01</v>
      </c>
      <c r="J316" s="614">
        <v>3</v>
      </c>
      <c r="K316" s="615">
        <v>693.37</v>
      </c>
    </row>
    <row r="317" spans="1:11" ht="14.4" customHeight="1" x14ac:dyDescent="0.3">
      <c r="A317" s="610" t="s">
        <v>538</v>
      </c>
      <c r="B317" s="611" t="s">
        <v>539</v>
      </c>
      <c r="C317" s="612" t="s">
        <v>552</v>
      </c>
      <c r="D317" s="613" t="s">
        <v>1194</v>
      </c>
      <c r="E317" s="612" t="s">
        <v>1765</v>
      </c>
      <c r="F317" s="613" t="s">
        <v>1766</v>
      </c>
      <c r="G317" s="612" t="s">
        <v>1707</v>
      </c>
      <c r="H317" s="612" t="s">
        <v>1708</v>
      </c>
      <c r="I317" s="614">
        <v>1548.8</v>
      </c>
      <c r="J317" s="614">
        <v>1</v>
      </c>
      <c r="K317" s="615">
        <v>1548.8</v>
      </c>
    </row>
    <row r="318" spans="1:11" ht="14.4" customHeight="1" x14ac:dyDescent="0.3">
      <c r="A318" s="610" t="s">
        <v>538</v>
      </c>
      <c r="B318" s="611" t="s">
        <v>539</v>
      </c>
      <c r="C318" s="612" t="s">
        <v>552</v>
      </c>
      <c r="D318" s="613" t="s">
        <v>1194</v>
      </c>
      <c r="E318" s="612" t="s">
        <v>1765</v>
      </c>
      <c r="F318" s="613" t="s">
        <v>1766</v>
      </c>
      <c r="G318" s="612" t="s">
        <v>1709</v>
      </c>
      <c r="H318" s="612" t="s">
        <v>1710</v>
      </c>
      <c r="I318" s="614">
        <v>847</v>
      </c>
      <c r="J318" s="614">
        <v>4</v>
      </c>
      <c r="K318" s="615">
        <v>3388</v>
      </c>
    </row>
    <row r="319" spans="1:11" ht="14.4" customHeight="1" x14ac:dyDescent="0.3">
      <c r="A319" s="610" t="s">
        <v>538</v>
      </c>
      <c r="B319" s="611" t="s">
        <v>539</v>
      </c>
      <c r="C319" s="612" t="s">
        <v>552</v>
      </c>
      <c r="D319" s="613" t="s">
        <v>1194</v>
      </c>
      <c r="E319" s="612" t="s">
        <v>1765</v>
      </c>
      <c r="F319" s="613" t="s">
        <v>1766</v>
      </c>
      <c r="G319" s="612" t="s">
        <v>1711</v>
      </c>
      <c r="H319" s="612" t="s">
        <v>1712</v>
      </c>
      <c r="I319" s="614">
        <v>60.5</v>
      </c>
      <c r="J319" s="614">
        <v>3</v>
      </c>
      <c r="K319" s="615">
        <v>181.5</v>
      </c>
    </row>
    <row r="320" spans="1:11" ht="14.4" customHeight="1" x14ac:dyDescent="0.3">
      <c r="A320" s="610" t="s">
        <v>538</v>
      </c>
      <c r="B320" s="611" t="s">
        <v>539</v>
      </c>
      <c r="C320" s="612" t="s">
        <v>552</v>
      </c>
      <c r="D320" s="613" t="s">
        <v>1194</v>
      </c>
      <c r="E320" s="612" t="s">
        <v>1765</v>
      </c>
      <c r="F320" s="613" t="s">
        <v>1766</v>
      </c>
      <c r="G320" s="612" t="s">
        <v>1713</v>
      </c>
      <c r="H320" s="612" t="s">
        <v>1714</v>
      </c>
      <c r="I320" s="614">
        <v>9699.49</v>
      </c>
      <c r="J320" s="614">
        <v>1</v>
      </c>
      <c r="K320" s="615">
        <v>9699.49</v>
      </c>
    </row>
    <row r="321" spans="1:11" ht="14.4" customHeight="1" x14ac:dyDescent="0.3">
      <c r="A321" s="610" t="s">
        <v>538</v>
      </c>
      <c r="B321" s="611" t="s">
        <v>539</v>
      </c>
      <c r="C321" s="612" t="s">
        <v>552</v>
      </c>
      <c r="D321" s="613" t="s">
        <v>1194</v>
      </c>
      <c r="E321" s="612" t="s">
        <v>1765</v>
      </c>
      <c r="F321" s="613" t="s">
        <v>1766</v>
      </c>
      <c r="G321" s="612" t="s">
        <v>1715</v>
      </c>
      <c r="H321" s="612" t="s">
        <v>1716</v>
      </c>
      <c r="I321" s="614">
        <v>1440.32</v>
      </c>
      <c r="J321" s="614">
        <v>1</v>
      </c>
      <c r="K321" s="615">
        <v>1440.32</v>
      </c>
    </row>
    <row r="322" spans="1:11" ht="14.4" customHeight="1" x14ac:dyDescent="0.3">
      <c r="A322" s="610" t="s">
        <v>538</v>
      </c>
      <c r="B322" s="611" t="s">
        <v>539</v>
      </c>
      <c r="C322" s="612" t="s">
        <v>552</v>
      </c>
      <c r="D322" s="613" t="s">
        <v>1194</v>
      </c>
      <c r="E322" s="612" t="s">
        <v>1765</v>
      </c>
      <c r="F322" s="613" t="s">
        <v>1766</v>
      </c>
      <c r="G322" s="612" t="s">
        <v>1717</v>
      </c>
      <c r="H322" s="612" t="s">
        <v>1718</v>
      </c>
      <c r="I322" s="614">
        <v>3280.67</v>
      </c>
      <c r="J322" s="614">
        <v>1</v>
      </c>
      <c r="K322" s="615">
        <v>3280.67</v>
      </c>
    </row>
    <row r="323" spans="1:11" ht="14.4" customHeight="1" x14ac:dyDescent="0.3">
      <c r="A323" s="610" t="s">
        <v>538</v>
      </c>
      <c r="B323" s="611" t="s">
        <v>539</v>
      </c>
      <c r="C323" s="612" t="s">
        <v>552</v>
      </c>
      <c r="D323" s="613" t="s">
        <v>1194</v>
      </c>
      <c r="E323" s="612" t="s">
        <v>1765</v>
      </c>
      <c r="F323" s="613" t="s">
        <v>1766</v>
      </c>
      <c r="G323" s="612" t="s">
        <v>1719</v>
      </c>
      <c r="H323" s="612" t="s">
        <v>1720</v>
      </c>
      <c r="I323" s="614">
        <v>356.95</v>
      </c>
      <c r="J323" s="614">
        <v>1</v>
      </c>
      <c r="K323" s="615">
        <v>356.95</v>
      </c>
    </row>
    <row r="324" spans="1:11" ht="14.4" customHeight="1" x14ac:dyDescent="0.3">
      <c r="A324" s="610" t="s">
        <v>538</v>
      </c>
      <c r="B324" s="611" t="s">
        <v>539</v>
      </c>
      <c r="C324" s="612" t="s">
        <v>552</v>
      </c>
      <c r="D324" s="613" t="s">
        <v>1194</v>
      </c>
      <c r="E324" s="612" t="s">
        <v>1767</v>
      </c>
      <c r="F324" s="613" t="s">
        <v>1768</v>
      </c>
      <c r="G324" s="612" t="s">
        <v>1721</v>
      </c>
      <c r="H324" s="612" t="s">
        <v>1722</v>
      </c>
      <c r="I324" s="614">
        <v>308.85250000000002</v>
      </c>
      <c r="J324" s="614">
        <v>70</v>
      </c>
      <c r="K324" s="615">
        <v>22409.199999999997</v>
      </c>
    </row>
    <row r="325" spans="1:11" ht="14.4" customHeight="1" x14ac:dyDescent="0.3">
      <c r="A325" s="610" t="s">
        <v>538</v>
      </c>
      <c r="B325" s="611" t="s">
        <v>539</v>
      </c>
      <c r="C325" s="612" t="s">
        <v>552</v>
      </c>
      <c r="D325" s="613" t="s">
        <v>1194</v>
      </c>
      <c r="E325" s="612" t="s">
        <v>1767</v>
      </c>
      <c r="F325" s="613" t="s">
        <v>1768</v>
      </c>
      <c r="G325" s="612" t="s">
        <v>1723</v>
      </c>
      <c r="H325" s="612" t="s">
        <v>1724</v>
      </c>
      <c r="I325" s="614">
        <v>630</v>
      </c>
      <c r="J325" s="614">
        <v>60</v>
      </c>
      <c r="K325" s="615">
        <v>37800.300000000003</v>
      </c>
    </row>
    <row r="326" spans="1:11" ht="14.4" customHeight="1" x14ac:dyDescent="0.3">
      <c r="A326" s="610" t="s">
        <v>538</v>
      </c>
      <c r="B326" s="611" t="s">
        <v>539</v>
      </c>
      <c r="C326" s="612" t="s">
        <v>552</v>
      </c>
      <c r="D326" s="613" t="s">
        <v>1194</v>
      </c>
      <c r="E326" s="612" t="s">
        <v>1767</v>
      </c>
      <c r="F326" s="613" t="s">
        <v>1768</v>
      </c>
      <c r="G326" s="612" t="s">
        <v>1725</v>
      </c>
      <c r="H326" s="612" t="s">
        <v>1726</v>
      </c>
      <c r="I326" s="614">
        <v>254.1</v>
      </c>
      <c r="J326" s="614">
        <v>20</v>
      </c>
      <c r="K326" s="615">
        <v>5082</v>
      </c>
    </row>
    <row r="327" spans="1:11" ht="14.4" customHeight="1" x14ac:dyDescent="0.3">
      <c r="A327" s="610" t="s">
        <v>538</v>
      </c>
      <c r="B327" s="611" t="s">
        <v>539</v>
      </c>
      <c r="C327" s="612" t="s">
        <v>552</v>
      </c>
      <c r="D327" s="613" t="s">
        <v>1194</v>
      </c>
      <c r="E327" s="612" t="s">
        <v>1767</v>
      </c>
      <c r="F327" s="613" t="s">
        <v>1768</v>
      </c>
      <c r="G327" s="612" t="s">
        <v>1727</v>
      </c>
      <c r="H327" s="612" t="s">
        <v>1728</v>
      </c>
      <c r="I327" s="614">
        <v>409.67999999999995</v>
      </c>
      <c r="J327" s="614">
        <v>20</v>
      </c>
      <c r="K327" s="615">
        <v>8193.6</v>
      </c>
    </row>
    <row r="328" spans="1:11" ht="14.4" customHeight="1" x14ac:dyDescent="0.3">
      <c r="A328" s="610" t="s">
        <v>538</v>
      </c>
      <c r="B328" s="611" t="s">
        <v>539</v>
      </c>
      <c r="C328" s="612" t="s">
        <v>552</v>
      </c>
      <c r="D328" s="613" t="s">
        <v>1194</v>
      </c>
      <c r="E328" s="612" t="s">
        <v>1767</v>
      </c>
      <c r="F328" s="613" t="s">
        <v>1768</v>
      </c>
      <c r="G328" s="612" t="s">
        <v>1729</v>
      </c>
      <c r="H328" s="612" t="s">
        <v>1730</v>
      </c>
      <c r="I328" s="614">
        <v>452.83</v>
      </c>
      <c r="J328" s="614">
        <v>20</v>
      </c>
      <c r="K328" s="615">
        <v>9056.61</v>
      </c>
    </row>
    <row r="329" spans="1:11" ht="14.4" customHeight="1" x14ac:dyDescent="0.3">
      <c r="A329" s="610" t="s">
        <v>538</v>
      </c>
      <c r="B329" s="611" t="s">
        <v>539</v>
      </c>
      <c r="C329" s="612" t="s">
        <v>552</v>
      </c>
      <c r="D329" s="613" t="s">
        <v>1194</v>
      </c>
      <c r="E329" s="612" t="s">
        <v>1767</v>
      </c>
      <c r="F329" s="613" t="s">
        <v>1768</v>
      </c>
      <c r="G329" s="612" t="s">
        <v>1731</v>
      </c>
      <c r="H329" s="612" t="s">
        <v>1732</v>
      </c>
      <c r="I329" s="614">
        <v>43.37</v>
      </c>
      <c r="J329" s="614">
        <v>25</v>
      </c>
      <c r="K329" s="615">
        <v>1084.25</v>
      </c>
    </row>
    <row r="330" spans="1:11" ht="14.4" customHeight="1" x14ac:dyDescent="0.3">
      <c r="A330" s="610" t="s">
        <v>538</v>
      </c>
      <c r="B330" s="611" t="s">
        <v>539</v>
      </c>
      <c r="C330" s="612" t="s">
        <v>552</v>
      </c>
      <c r="D330" s="613" t="s">
        <v>1194</v>
      </c>
      <c r="E330" s="612" t="s">
        <v>1767</v>
      </c>
      <c r="F330" s="613" t="s">
        <v>1768</v>
      </c>
      <c r="G330" s="612" t="s">
        <v>1733</v>
      </c>
      <c r="H330" s="612" t="s">
        <v>1734</v>
      </c>
      <c r="I330" s="614">
        <v>977.6</v>
      </c>
      <c r="J330" s="614">
        <v>1</v>
      </c>
      <c r="K330" s="615">
        <v>977.6</v>
      </c>
    </row>
    <row r="331" spans="1:11" ht="14.4" customHeight="1" x14ac:dyDescent="0.3">
      <c r="A331" s="610" t="s">
        <v>538</v>
      </c>
      <c r="B331" s="611" t="s">
        <v>539</v>
      </c>
      <c r="C331" s="612" t="s">
        <v>552</v>
      </c>
      <c r="D331" s="613" t="s">
        <v>1194</v>
      </c>
      <c r="E331" s="612" t="s">
        <v>1767</v>
      </c>
      <c r="F331" s="613" t="s">
        <v>1768</v>
      </c>
      <c r="G331" s="612" t="s">
        <v>1735</v>
      </c>
      <c r="H331" s="612" t="s">
        <v>1736</v>
      </c>
      <c r="I331" s="614">
        <v>371.96000000000004</v>
      </c>
      <c r="J331" s="614">
        <v>30</v>
      </c>
      <c r="K331" s="615">
        <v>11158.82</v>
      </c>
    </row>
    <row r="332" spans="1:11" ht="14.4" customHeight="1" x14ac:dyDescent="0.3">
      <c r="A332" s="610" t="s">
        <v>538</v>
      </c>
      <c r="B332" s="611" t="s">
        <v>539</v>
      </c>
      <c r="C332" s="612" t="s">
        <v>552</v>
      </c>
      <c r="D332" s="613" t="s">
        <v>1194</v>
      </c>
      <c r="E332" s="612" t="s">
        <v>1767</v>
      </c>
      <c r="F332" s="613" t="s">
        <v>1768</v>
      </c>
      <c r="G332" s="612" t="s">
        <v>1737</v>
      </c>
      <c r="H332" s="612" t="s">
        <v>1738</v>
      </c>
      <c r="I332" s="614">
        <v>1099.02</v>
      </c>
      <c r="J332" s="614">
        <v>20</v>
      </c>
      <c r="K332" s="615">
        <v>21980.39</v>
      </c>
    </row>
    <row r="333" spans="1:11" ht="14.4" customHeight="1" x14ac:dyDescent="0.3">
      <c r="A333" s="610" t="s">
        <v>538</v>
      </c>
      <c r="B333" s="611" t="s">
        <v>539</v>
      </c>
      <c r="C333" s="612" t="s">
        <v>552</v>
      </c>
      <c r="D333" s="613" t="s">
        <v>1194</v>
      </c>
      <c r="E333" s="612" t="s">
        <v>1767</v>
      </c>
      <c r="F333" s="613" t="s">
        <v>1768</v>
      </c>
      <c r="G333" s="612" t="s">
        <v>1739</v>
      </c>
      <c r="H333" s="612" t="s">
        <v>1740</v>
      </c>
      <c r="I333" s="614">
        <v>1050.32</v>
      </c>
      <c r="J333" s="614">
        <v>1</v>
      </c>
      <c r="K333" s="615">
        <v>1050.32</v>
      </c>
    </row>
    <row r="334" spans="1:11" ht="14.4" customHeight="1" x14ac:dyDescent="0.3">
      <c r="A334" s="610" t="s">
        <v>538</v>
      </c>
      <c r="B334" s="611" t="s">
        <v>539</v>
      </c>
      <c r="C334" s="612" t="s">
        <v>552</v>
      </c>
      <c r="D334" s="613" t="s">
        <v>1194</v>
      </c>
      <c r="E334" s="612" t="s">
        <v>1767</v>
      </c>
      <c r="F334" s="613" t="s">
        <v>1768</v>
      </c>
      <c r="G334" s="612" t="s">
        <v>1741</v>
      </c>
      <c r="H334" s="612" t="s">
        <v>1742</v>
      </c>
      <c r="I334" s="614">
        <v>6167.56</v>
      </c>
      <c r="J334" s="614">
        <v>1</v>
      </c>
      <c r="K334" s="615">
        <v>6167.56</v>
      </c>
    </row>
    <row r="335" spans="1:11" ht="14.4" customHeight="1" x14ac:dyDescent="0.3">
      <c r="A335" s="610" t="s">
        <v>538</v>
      </c>
      <c r="B335" s="611" t="s">
        <v>539</v>
      </c>
      <c r="C335" s="612" t="s">
        <v>552</v>
      </c>
      <c r="D335" s="613" t="s">
        <v>1194</v>
      </c>
      <c r="E335" s="612" t="s">
        <v>1767</v>
      </c>
      <c r="F335" s="613" t="s">
        <v>1768</v>
      </c>
      <c r="G335" s="612" t="s">
        <v>1743</v>
      </c>
      <c r="H335" s="612" t="s">
        <v>1744</v>
      </c>
      <c r="I335" s="614">
        <v>154.83000000000001</v>
      </c>
      <c r="J335" s="614">
        <v>10</v>
      </c>
      <c r="K335" s="615">
        <v>1548.28</v>
      </c>
    </row>
    <row r="336" spans="1:11" ht="14.4" customHeight="1" x14ac:dyDescent="0.3">
      <c r="A336" s="610" t="s">
        <v>538</v>
      </c>
      <c r="B336" s="611" t="s">
        <v>539</v>
      </c>
      <c r="C336" s="612" t="s">
        <v>552</v>
      </c>
      <c r="D336" s="613" t="s">
        <v>1194</v>
      </c>
      <c r="E336" s="612" t="s">
        <v>1767</v>
      </c>
      <c r="F336" s="613" t="s">
        <v>1768</v>
      </c>
      <c r="G336" s="612" t="s">
        <v>1745</v>
      </c>
      <c r="H336" s="612" t="s">
        <v>1746</v>
      </c>
      <c r="I336" s="614">
        <v>1580.28</v>
      </c>
      <c r="J336" s="614">
        <v>1</v>
      </c>
      <c r="K336" s="615">
        <v>1580.28</v>
      </c>
    </row>
    <row r="337" spans="1:11" ht="14.4" customHeight="1" x14ac:dyDescent="0.3">
      <c r="A337" s="610" t="s">
        <v>538</v>
      </c>
      <c r="B337" s="611" t="s">
        <v>539</v>
      </c>
      <c r="C337" s="612" t="s">
        <v>552</v>
      </c>
      <c r="D337" s="613" t="s">
        <v>1194</v>
      </c>
      <c r="E337" s="612" t="s">
        <v>1767</v>
      </c>
      <c r="F337" s="613" t="s">
        <v>1768</v>
      </c>
      <c r="G337" s="612" t="s">
        <v>1747</v>
      </c>
      <c r="H337" s="612" t="s">
        <v>1748</v>
      </c>
      <c r="I337" s="614">
        <v>8672.9699999999993</v>
      </c>
      <c r="J337" s="614">
        <v>1</v>
      </c>
      <c r="K337" s="615">
        <v>8672.9699999999993</v>
      </c>
    </row>
    <row r="338" spans="1:11" ht="14.4" customHeight="1" x14ac:dyDescent="0.3">
      <c r="A338" s="610" t="s">
        <v>538</v>
      </c>
      <c r="B338" s="611" t="s">
        <v>539</v>
      </c>
      <c r="C338" s="612" t="s">
        <v>552</v>
      </c>
      <c r="D338" s="613" t="s">
        <v>1194</v>
      </c>
      <c r="E338" s="612" t="s">
        <v>1767</v>
      </c>
      <c r="F338" s="613" t="s">
        <v>1768</v>
      </c>
      <c r="G338" s="612" t="s">
        <v>1749</v>
      </c>
      <c r="H338" s="612" t="s">
        <v>1750</v>
      </c>
      <c r="I338" s="614">
        <v>14015.43</v>
      </c>
      <c r="J338" s="614">
        <v>3</v>
      </c>
      <c r="K338" s="615">
        <v>42046.29</v>
      </c>
    </row>
    <row r="339" spans="1:11" ht="14.4" customHeight="1" x14ac:dyDescent="0.3">
      <c r="A339" s="610" t="s">
        <v>538</v>
      </c>
      <c r="B339" s="611" t="s">
        <v>539</v>
      </c>
      <c r="C339" s="612" t="s">
        <v>552</v>
      </c>
      <c r="D339" s="613" t="s">
        <v>1194</v>
      </c>
      <c r="E339" s="612" t="s">
        <v>1767</v>
      </c>
      <c r="F339" s="613" t="s">
        <v>1768</v>
      </c>
      <c r="G339" s="612" t="s">
        <v>1751</v>
      </c>
      <c r="H339" s="612" t="s">
        <v>1752</v>
      </c>
      <c r="I339" s="614">
        <v>441.65</v>
      </c>
      <c r="J339" s="614">
        <v>10</v>
      </c>
      <c r="K339" s="615">
        <v>4416.5</v>
      </c>
    </row>
    <row r="340" spans="1:11" ht="14.4" customHeight="1" x14ac:dyDescent="0.3">
      <c r="A340" s="610" t="s">
        <v>538</v>
      </c>
      <c r="B340" s="611" t="s">
        <v>539</v>
      </c>
      <c r="C340" s="612" t="s">
        <v>552</v>
      </c>
      <c r="D340" s="613" t="s">
        <v>1194</v>
      </c>
      <c r="E340" s="612" t="s">
        <v>1767</v>
      </c>
      <c r="F340" s="613" t="s">
        <v>1768</v>
      </c>
      <c r="G340" s="612" t="s">
        <v>1753</v>
      </c>
      <c r="H340" s="612" t="s">
        <v>1754</v>
      </c>
      <c r="I340" s="614">
        <v>249.26</v>
      </c>
      <c r="J340" s="614">
        <v>20</v>
      </c>
      <c r="K340" s="615">
        <v>4985.2</v>
      </c>
    </row>
    <row r="341" spans="1:11" ht="14.4" customHeight="1" thickBot="1" x14ac:dyDescent="0.35">
      <c r="A341" s="616" t="s">
        <v>538</v>
      </c>
      <c r="B341" s="617" t="s">
        <v>539</v>
      </c>
      <c r="C341" s="618" t="s">
        <v>552</v>
      </c>
      <c r="D341" s="619" t="s">
        <v>1194</v>
      </c>
      <c r="E341" s="618" t="s">
        <v>1767</v>
      </c>
      <c r="F341" s="619" t="s">
        <v>1768</v>
      </c>
      <c r="G341" s="618" t="s">
        <v>1755</v>
      </c>
      <c r="H341" s="618" t="s">
        <v>1756</v>
      </c>
      <c r="I341" s="620">
        <v>95.59</v>
      </c>
      <c r="J341" s="620">
        <v>10</v>
      </c>
      <c r="K341" s="621">
        <v>955.9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05" t="s">
        <v>117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</row>
    <row r="2" spans="1:35" ht="15" thickBot="1" x14ac:dyDescent="0.35">
      <c r="A2" s="360" t="s">
        <v>306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</row>
    <row r="3" spans="1:35" x14ac:dyDescent="0.3">
      <c r="A3" s="379" t="s">
        <v>225</v>
      </c>
      <c r="B3" s="506" t="s">
        <v>206</v>
      </c>
      <c r="C3" s="362">
        <v>0</v>
      </c>
      <c r="D3" s="363">
        <v>101</v>
      </c>
      <c r="E3" s="363">
        <v>102</v>
      </c>
      <c r="F3" s="382">
        <v>305</v>
      </c>
      <c r="G3" s="382">
        <v>306</v>
      </c>
      <c r="H3" s="382">
        <v>407</v>
      </c>
      <c r="I3" s="382">
        <v>408</v>
      </c>
      <c r="J3" s="382">
        <v>409</v>
      </c>
      <c r="K3" s="382">
        <v>410</v>
      </c>
      <c r="L3" s="382">
        <v>415</v>
      </c>
      <c r="M3" s="382">
        <v>416</v>
      </c>
      <c r="N3" s="382">
        <v>418</v>
      </c>
      <c r="O3" s="382">
        <v>419</v>
      </c>
      <c r="P3" s="382">
        <v>420</v>
      </c>
      <c r="Q3" s="382">
        <v>421</v>
      </c>
      <c r="R3" s="382">
        <v>522</v>
      </c>
      <c r="S3" s="382">
        <v>523</v>
      </c>
      <c r="T3" s="382">
        <v>524</v>
      </c>
      <c r="U3" s="382">
        <v>525</v>
      </c>
      <c r="V3" s="382">
        <v>526</v>
      </c>
      <c r="W3" s="382">
        <v>527</v>
      </c>
      <c r="X3" s="382">
        <v>528</v>
      </c>
      <c r="Y3" s="382">
        <v>629</v>
      </c>
      <c r="Z3" s="382">
        <v>630</v>
      </c>
      <c r="AA3" s="382">
        <v>636</v>
      </c>
      <c r="AB3" s="382">
        <v>637</v>
      </c>
      <c r="AC3" s="382">
        <v>640</v>
      </c>
      <c r="AD3" s="382">
        <v>642</v>
      </c>
      <c r="AE3" s="382">
        <v>743</v>
      </c>
      <c r="AF3" s="363">
        <v>745</v>
      </c>
      <c r="AG3" s="363">
        <v>746</v>
      </c>
      <c r="AH3" s="673">
        <v>930</v>
      </c>
      <c r="AI3" s="689"/>
    </row>
    <row r="4" spans="1:35" ht="36.6" outlineLevel="1" thickBot="1" x14ac:dyDescent="0.35">
      <c r="A4" s="380">
        <v>2015</v>
      </c>
      <c r="B4" s="507"/>
      <c r="C4" s="364" t="s">
        <v>207</v>
      </c>
      <c r="D4" s="365" t="s">
        <v>208</v>
      </c>
      <c r="E4" s="365" t="s">
        <v>209</v>
      </c>
      <c r="F4" s="383" t="s">
        <v>237</v>
      </c>
      <c r="G4" s="383" t="s">
        <v>238</v>
      </c>
      <c r="H4" s="383" t="s">
        <v>301</v>
      </c>
      <c r="I4" s="383" t="s">
        <v>239</v>
      </c>
      <c r="J4" s="383" t="s">
        <v>240</v>
      </c>
      <c r="K4" s="383" t="s">
        <v>241</v>
      </c>
      <c r="L4" s="383" t="s">
        <v>242</v>
      </c>
      <c r="M4" s="383" t="s">
        <v>243</v>
      </c>
      <c r="N4" s="383" t="s">
        <v>244</v>
      </c>
      <c r="O4" s="383" t="s">
        <v>245</v>
      </c>
      <c r="P4" s="383" t="s">
        <v>246</v>
      </c>
      <c r="Q4" s="383" t="s">
        <v>247</v>
      </c>
      <c r="R4" s="383" t="s">
        <v>248</v>
      </c>
      <c r="S4" s="383" t="s">
        <v>249</v>
      </c>
      <c r="T4" s="383" t="s">
        <v>250</v>
      </c>
      <c r="U4" s="383" t="s">
        <v>251</v>
      </c>
      <c r="V4" s="383" t="s">
        <v>252</v>
      </c>
      <c r="W4" s="383" t="s">
        <v>253</v>
      </c>
      <c r="X4" s="383" t="s">
        <v>262</v>
      </c>
      <c r="Y4" s="383" t="s">
        <v>254</v>
      </c>
      <c r="Z4" s="383" t="s">
        <v>263</v>
      </c>
      <c r="AA4" s="383" t="s">
        <v>255</v>
      </c>
      <c r="AB4" s="383" t="s">
        <v>256</v>
      </c>
      <c r="AC4" s="383" t="s">
        <v>257</v>
      </c>
      <c r="AD4" s="383" t="s">
        <v>258</v>
      </c>
      <c r="AE4" s="383" t="s">
        <v>259</v>
      </c>
      <c r="AF4" s="365" t="s">
        <v>260</v>
      </c>
      <c r="AG4" s="365" t="s">
        <v>261</v>
      </c>
      <c r="AH4" s="674" t="s">
        <v>227</v>
      </c>
      <c r="AI4" s="689"/>
    </row>
    <row r="5" spans="1:35" x14ac:dyDescent="0.3">
      <c r="A5" s="366" t="s">
        <v>210</v>
      </c>
      <c r="B5" s="402"/>
      <c r="C5" s="403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675"/>
      <c r="AI5" s="689"/>
    </row>
    <row r="6" spans="1:35" ht="15" collapsed="1" thickBot="1" x14ac:dyDescent="0.35">
      <c r="A6" s="367" t="s">
        <v>81</v>
      </c>
      <c r="B6" s="405">
        <f xml:space="preserve">
TRUNC(IF($A$4&lt;=12,SUMIFS('ON Data'!F:F,'ON Data'!$D:$D,$A$4,'ON Data'!$E:$E,1),SUMIFS('ON Data'!F:F,'ON Data'!$E:$E,1)/'ON Data'!$D$3),1)</f>
        <v>66.8</v>
      </c>
      <c r="C6" s="406">
        <f xml:space="preserve">
TRUNC(IF($A$4&lt;=12,SUMIFS('ON Data'!G:G,'ON Data'!$D:$D,$A$4,'ON Data'!$E:$E,1),SUMIFS('ON Data'!G:G,'ON Data'!$E:$E,1)/'ON Data'!$D$3),1)</f>
        <v>0</v>
      </c>
      <c r="D6" s="407">
        <f xml:space="preserve">
TRUNC(IF($A$4&lt;=12,SUMIFS('ON Data'!H:H,'ON Data'!$D:$D,$A$4,'ON Data'!$E:$E,1),SUMIFS('ON Data'!H:H,'ON Data'!$E:$E,1)/'ON Data'!$D$3),1)</f>
        <v>9.5</v>
      </c>
      <c r="E6" s="407">
        <f xml:space="preserve">
TRUNC(IF($A$4&lt;=12,SUMIFS('ON Data'!I:I,'ON Data'!$D:$D,$A$4,'ON Data'!$E:$E,1),SUMIFS('ON Data'!I:I,'ON Data'!$E:$E,1)/'ON Data'!$D$3),1)</f>
        <v>0</v>
      </c>
      <c r="F6" s="407">
        <f xml:space="preserve">
TRUNC(IF($A$4&lt;=12,SUMIFS('ON Data'!K:K,'ON Data'!$D:$D,$A$4,'ON Data'!$E:$E,1),SUMIFS('ON Data'!K:K,'ON Data'!$E:$E,1)/'ON Data'!$D$3),1)</f>
        <v>50.9</v>
      </c>
      <c r="G6" s="407">
        <f xml:space="preserve">
TRUNC(IF($A$4&lt;=12,SUMIFS('ON Data'!L:L,'ON Data'!$D:$D,$A$4,'ON Data'!$E:$E,1),SUMIFS('ON Data'!L:L,'ON Data'!$E:$E,1)/'ON Data'!$D$3),1)</f>
        <v>1.3</v>
      </c>
      <c r="H6" s="407">
        <f xml:space="preserve">
TRUNC(IF($A$4&lt;=12,SUMIFS('ON Data'!M:M,'ON Data'!$D:$D,$A$4,'ON Data'!$E:$E,1),SUMIFS('ON Data'!M:M,'ON Data'!$E:$E,1)/'ON Data'!$D$3),1)</f>
        <v>0</v>
      </c>
      <c r="I6" s="407">
        <f xml:space="preserve">
TRUNC(IF($A$4&lt;=12,SUMIFS('ON Data'!N:N,'ON Data'!$D:$D,$A$4,'ON Data'!$E:$E,1),SUMIFS('ON Data'!N:N,'ON Data'!$E:$E,1)/'ON Data'!$D$3),1)</f>
        <v>0</v>
      </c>
      <c r="J6" s="407">
        <f xml:space="preserve">
TRUNC(IF($A$4&lt;=12,SUMIFS('ON Data'!O:O,'ON Data'!$D:$D,$A$4,'ON Data'!$E:$E,1),SUMIFS('ON Data'!O:O,'ON Data'!$E:$E,1)/'ON Data'!$D$3),1)</f>
        <v>0</v>
      </c>
      <c r="K6" s="407">
        <f xml:space="preserve">
TRUNC(IF($A$4&lt;=12,SUMIFS('ON Data'!P:P,'ON Data'!$D:$D,$A$4,'ON Data'!$E:$E,1),SUMIFS('ON Data'!P:P,'ON Data'!$E:$E,1)/'ON Data'!$D$3),1)</f>
        <v>0</v>
      </c>
      <c r="L6" s="407">
        <f xml:space="preserve">
TRUNC(IF($A$4&lt;=12,SUMIFS('ON Data'!Q:Q,'ON Data'!$D:$D,$A$4,'ON Data'!$E:$E,1),SUMIFS('ON Data'!Q:Q,'ON Data'!$E:$E,1)/'ON Data'!$D$3),1)</f>
        <v>0</v>
      </c>
      <c r="M6" s="407">
        <f xml:space="preserve">
TRUNC(IF($A$4&lt;=12,SUMIFS('ON Data'!R:R,'ON Data'!$D:$D,$A$4,'ON Data'!$E:$E,1),SUMIFS('ON Data'!R:R,'ON Data'!$E:$E,1)/'ON Data'!$D$3),1)</f>
        <v>0</v>
      </c>
      <c r="N6" s="407">
        <f xml:space="preserve">
TRUNC(IF($A$4&lt;=12,SUMIFS('ON Data'!S:S,'ON Data'!$D:$D,$A$4,'ON Data'!$E:$E,1),SUMIFS('ON Data'!S:S,'ON Data'!$E:$E,1)/'ON Data'!$D$3),1)</f>
        <v>0</v>
      </c>
      <c r="O6" s="407">
        <f xml:space="preserve">
TRUNC(IF($A$4&lt;=12,SUMIFS('ON Data'!T:T,'ON Data'!$D:$D,$A$4,'ON Data'!$E:$E,1),SUMIFS('ON Data'!T:T,'ON Data'!$E:$E,1)/'ON Data'!$D$3),1)</f>
        <v>0</v>
      </c>
      <c r="P6" s="407">
        <f xml:space="preserve">
TRUNC(IF($A$4&lt;=12,SUMIFS('ON Data'!U:U,'ON Data'!$D:$D,$A$4,'ON Data'!$E:$E,1),SUMIFS('ON Data'!U:U,'ON Data'!$E:$E,1)/'ON Data'!$D$3),1)</f>
        <v>0</v>
      </c>
      <c r="Q6" s="407">
        <f xml:space="preserve">
TRUNC(IF($A$4&lt;=12,SUMIFS('ON Data'!V:V,'ON Data'!$D:$D,$A$4,'ON Data'!$E:$E,1),SUMIFS('ON Data'!V:V,'ON Data'!$E:$E,1)/'ON Data'!$D$3),1)</f>
        <v>0</v>
      </c>
      <c r="R6" s="407">
        <f xml:space="preserve">
TRUNC(IF($A$4&lt;=12,SUMIFS('ON Data'!W:W,'ON Data'!$D:$D,$A$4,'ON Data'!$E:$E,1),SUMIFS('ON Data'!W:W,'ON Data'!$E:$E,1)/'ON Data'!$D$3),1)</f>
        <v>0</v>
      </c>
      <c r="S6" s="407">
        <f xml:space="preserve">
TRUNC(IF($A$4&lt;=12,SUMIFS('ON Data'!X:X,'ON Data'!$D:$D,$A$4,'ON Data'!$E:$E,1),SUMIFS('ON Data'!X:X,'ON Data'!$E:$E,1)/'ON Data'!$D$3),1)</f>
        <v>0</v>
      </c>
      <c r="T6" s="407">
        <f xml:space="preserve">
TRUNC(IF($A$4&lt;=12,SUMIFS('ON Data'!Y:Y,'ON Data'!$D:$D,$A$4,'ON Data'!$E:$E,1),SUMIFS('ON Data'!Y:Y,'ON Data'!$E:$E,1)/'ON Data'!$D$3),1)</f>
        <v>0</v>
      </c>
      <c r="U6" s="407">
        <f xml:space="preserve">
TRUNC(IF($A$4&lt;=12,SUMIFS('ON Data'!Z:Z,'ON Data'!$D:$D,$A$4,'ON Data'!$E:$E,1),SUMIFS('ON Data'!Z:Z,'ON Data'!$E:$E,1)/'ON Data'!$D$3),1)</f>
        <v>0</v>
      </c>
      <c r="V6" s="407">
        <f xml:space="preserve">
TRUNC(IF($A$4&lt;=12,SUMIFS('ON Data'!AA:AA,'ON Data'!$D:$D,$A$4,'ON Data'!$E:$E,1),SUMIFS('ON Data'!AA:AA,'ON Data'!$E:$E,1)/'ON Data'!$D$3),1)</f>
        <v>0</v>
      </c>
      <c r="W6" s="407">
        <f xml:space="preserve">
TRUNC(IF($A$4&lt;=12,SUMIFS('ON Data'!AB:AB,'ON Data'!$D:$D,$A$4,'ON Data'!$E:$E,1),SUMIFS('ON Data'!AB:AB,'ON Data'!$E:$E,1)/'ON Data'!$D$3),1)</f>
        <v>0</v>
      </c>
      <c r="X6" s="407">
        <f xml:space="preserve">
TRUNC(IF($A$4&lt;=12,SUMIFS('ON Data'!AC:AC,'ON Data'!$D:$D,$A$4,'ON Data'!$E:$E,1),SUMIFS('ON Data'!AC:AC,'ON Data'!$E:$E,1)/'ON Data'!$D$3),1)</f>
        <v>0</v>
      </c>
      <c r="Y6" s="407">
        <f xml:space="preserve">
TRUNC(IF($A$4&lt;=12,SUMIFS('ON Data'!AD:AD,'ON Data'!$D:$D,$A$4,'ON Data'!$E:$E,1),SUMIFS('ON Data'!AD:AD,'ON Data'!$E:$E,1)/'ON Data'!$D$3),1)</f>
        <v>0</v>
      </c>
      <c r="Z6" s="407">
        <f xml:space="preserve">
TRUNC(IF($A$4&lt;=12,SUMIFS('ON Data'!AE:AE,'ON Data'!$D:$D,$A$4,'ON Data'!$E:$E,1),SUMIFS('ON Data'!AE:AE,'ON Data'!$E:$E,1)/'ON Data'!$D$3),1)</f>
        <v>0</v>
      </c>
      <c r="AA6" s="407">
        <f xml:space="preserve">
TRUNC(IF($A$4&lt;=12,SUMIFS('ON Data'!AF:AF,'ON Data'!$D:$D,$A$4,'ON Data'!$E:$E,1),SUMIFS('ON Data'!AF:AF,'ON Data'!$E:$E,1)/'ON Data'!$D$3),1)</f>
        <v>0</v>
      </c>
      <c r="AB6" s="407">
        <f xml:space="preserve">
TRUNC(IF($A$4&lt;=12,SUMIFS('ON Data'!AG:AG,'ON Data'!$D:$D,$A$4,'ON Data'!$E:$E,1),SUMIFS('ON Data'!AG:AG,'ON Data'!$E:$E,1)/'ON Data'!$D$3),1)</f>
        <v>0</v>
      </c>
      <c r="AC6" s="407">
        <f xml:space="preserve">
TRUNC(IF($A$4&lt;=12,SUMIFS('ON Data'!AH:AH,'ON Data'!$D:$D,$A$4,'ON Data'!$E:$E,1),SUMIFS('ON Data'!AH:AH,'ON Data'!$E:$E,1)/'ON Data'!$D$3),1)</f>
        <v>0</v>
      </c>
      <c r="AD6" s="407">
        <f xml:space="preserve">
TRUNC(IF($A$4&lt;=12,SUMIFS('ON Data'!AI:AI,'ON Data'!$D:$D,$A$4,'ON Data'!$E:$E,1),SUMIFS('ON Data'!AI:AI,'ON Data'!$E:$E,1)/'ON Data'!$D$3),1)</f>
        <v>4</v>
      </c>
      <c r="AE6" s="407">
        <f xml:space="preserve">
TRUNC(IF($A$4&lt;=12,SUMIFS('ON Data'!AJ:AJ,'ON Data'!$D:$D,$A$4,'ON Data'!$E:$E,1),SUMIFS('ON Data'!AJ:AJ,'ON Data'!$E:$E,1)/'ON Data'!$D$3),1)</f>
        <v>0</v>
      </c>
      <c r="AF6" s="407">
        <f xml:space="preserve">
TRUNC(IF($A$4&lt;=12,SUMIFS('ON Data'!AK:AK,'ON Data'!$D:$D,$A$4,'ON Data'!$E:$E,1),SUMIFS('ON Data'!AK:AK,'ON Data'!$E:$E,1)/'ON Data'!$D$3),1)</f>
        <v>0</v>
      </c>
      <c r="AG6" s="407">
        <f xml:space="preserve">
TRUNC(IF($A$4&lt;=12,SUMIFS('ON Data'!AL:AL,'ON Data'!$D:$D,$A$4,'ON Data'!$E:$E,1),SUMIFS('ON Data'!AL:AL,'ON Data'!$E:$E,1)/'ON Data'!$D$3),1)</f>
        <v>0</v>
      </c>
      <c r="AH6" s="676">
        <f xml:space="preserve">
TRUNC(IF($A$4&lt;=12,SUMIFS('ON Data'!AN:AN,'ON Data'!$D:$D,$A$4,'ON Data'!$E:$E,1),SUMIFS('ON Data'!AN:AN,'ON Data'!$E:$E,1)/'ON Data'!$D$3),1)</f>
        <v>1</v>
      </c>
      <c r="AI6" s="689"/>
    </row>
    <row r="7" spans="1:35" ht="15" hidden="1" outlineLevel="1" thickBot="1" x14ac:dyDescent="0.35">
      <c r="A7" s="367" t="s">
        <v>118</v>
      </c>
      <c r="B7" s="405"/>
      <c r="C7" s="408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676"/>
      <c r="AI7" s="689"/>
    </row>
    <row r="8" spans="1:35" ht="15" hidden="1" outlineLevel="1" thickBot="1" x14ac:dyDescent="0.35">
      <c r="A8" s="367" t="s">
        <v>83</v>
      </c>
      <c r="B8" s="405"/>
      <c r="C8" s="408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7"/>
      <c r="AE8" s="407"/>
      <c r="AF8" s="407"/>
      <c r="AG8" s="407"/>
      <c r="AH8" s="676"/>
      <c r="AI8" s="689"/>
    </row>
    <row r="9" spans="1:35" ht="15" hidden="1" outlineLevel="1" thickBot="1" x14ac:dyDescent="0.35">
      <c r="A9" s="368" t="s">
        <v>56</v>
      </c>
      <c r="B9" s="409"/>
      <c r="C9" s="410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677"/>
      <c r="AI9" s="689"/>
    </row>
    <row r="10" spans="1:35" x14ac:dyDescent="0.3">
      <c r="A10" s="369" t="s">
        <v>211</v>
      </c>
      <c r="B10" s="384"/>
      <c r="C10" s="385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678"/>
      <c r="AI10" s="689"/>
    </row>
    <row r="11" spans="1:35" x14ac:dyDescent="0.3">
      <c r="A11" s="370" t="s">
        <v>212</v>
      </c>
      <c r="B11" s="387">
        <f xml:space="preserve">
IF($A$4&lt;=12,SUMIFS('ON Data'!F:F,'ON Data'!$D:$D,$A$4,'ON Data'!$E:$E,2),SUMIFS('ON Data'!F:F,'ON Data'!$E:$E,2))</f>
        <v>64112.25</v>
      </c>
      <c r="C11" s="388">
        <f xml:space="preserve">
IF($A$4&lt;=12,SUMIFS('ON Data'!G:G,'ON Data'!$D:$D,$A$4,'ON Data'!$E:$E,2),SUMIFS('ON Data'!G:G,'ON Data'!$E:$E,2))</f>
        <v>0</v>
      </c>
      <c r="D11" s="389">
        <f xml:space="preserve">
IF($A$4&lt;=12,SUMIFS('ON Data'!H:H,'ON Data'!$D:$D,$A$4,'ON Data'!$E:$E,2),SUMIFS('ON Data'!H:H,'ON Data'!$E:$E,2))</f>
        <v>10388</v>
      </c>
      <c r="E11" s="389">
        <f xml:space="preserve">
IF($A$4&lt;=12,SUMIFS('ON Data'!I:I,'ON Data'!$D:$D,$A$4,'ON Data'!$E:$E,2),SUMIFS('ON Data'!I:I,'ON Data'!$E:$E,2))</f>
        <v>0</v>
      </c>
      <c r="F11" s="389">
        <f xml:space="preserve">
IF($A$4&lt;=12,SUMIFS('ON Data'!K:K,'ON Data'!$D:$D,$A$4,'ON Data'!$E:$E,2),SUMIFS('ON Data'!K:K,'ON Data'!$E:$E,2))</f>
        <v>48515</v>
      </c>
      <c r="G11" s="389">
        <f xml:space="preserve">
IF($A$4&lt;=12,SUMIFS('ON Data'!L:L,'ON Data'!$D:$D,$A$4,'ON Data'!$E:$E,2),SUMIFS('ON Data'!L:L,'ON Data'!$E:$E,2))</f>
        <v>732</v>
      </c>
      <c r="H11" s="389">
        <f xml:space="preserve">
IF($A$4&lt;=12,SUMIFS('ON Data'!M:M,'ON Data'!$D:$D,$A$4,'ON Data'!$E:$E,2),SUMIFS('ON Data'!M:M,'ON Data'!$E:$E,2))</f>
        <v>0</v>
      </c>
      <c r="I11" s="389">
        <f xml:space="preserve">
IF($A$4&lt;=12,SUMIFS('ON Data'!N:N,'ON Data'!$D:$D,$A$4,'ON Data'!$E:$E,2),SUMIFS('ON Data'!N:N,'ON Data'!$E:$E,2))</f>
        <v>0</v>
      </c>
      <c r="J11" s="389">
        <f xml:space="preserve">
IF($A$4&lt;=12,SUMIFS('ON Data'!O:O,'ON Data'!$D:$D,$A$4,'ON Data'!$E:$E,2),SUMIFS('ON Data'!O:O,'ON Data'!$E:$E,2))</f>
        <v>0</v>
      </c>
      <c r="K11" s="389">
        <f xml:space="preserve">
IF($A$4&lt;=12,SUMIFS('ON Data'!P:P,'ON Data'!$D:$D,$A$4,'ON Data'!$E:$E,2),SUMIFS('ON Data'!P:P,'ON Data'!$E:$E,2))</f>
        <v>0</v>
      </c>
      <c r="L11" s="389">
        <f xml:space="preserve">
IF($A$4&lt;=12,SUMIFS('ON Data'!Q:Q,'ON Data'!$D:$D,$A$4,'ON Data'!$E:$E,2),SUMIFS('ON Data'!Q:Q,'ON Data'!$E:$E,2))</f>
        <v>0</v>
      </c>
      <c r="M11" s="389">
        <f xml:space="preserve">
IF($A$4&lt;=12,SUMIFS('ON Data'!R:R,'ON Data'!$D:$D,$A$4,'ON Data'!$E:$E,2),SUMIFS('ON Data'!R:R,'ON Data'!$E:$E,2))</f>
        <v>0</v>
      </c>
      <c r="N11" s="389">
        <f xml:space="preserve">
IF($A$4&lt;=12,SUMIFS('ON Data'!S:S,'ON Data'!$D:$D,$A$4,'ON Data'!$E:$E,2),SUMIFS('ON Data'!S:S,'ON Data'!$E:$E,2))</f>
        <v>0</v>
      </c>
      <c r="O11" s="389">
        <f xml:space="preserve">
IF($A$4&lt;=12,SUMIFS('ON Data'!T:T,'ON Data'!$D:$D,$A$4,'ON Data'!$E:$E,2),SUMIFS('ON Data'!T:T,'ON Data'!$E:$E,2))</f>
        <v>0</v>
      </c>
      <c r="P11" s="389">
        <f xml:space="preserve">
IF($A$4&lt;=12,SUMIFS('ON Data'!U:U,'ON Data'!$D:$D,$A$4,'ON Data'!$E:$E,2),SUMIFS('ON Data'!U:U,'ON Data'!$E:$E,2))</f>
        <v>0</v>
      </c>
      <c r="Q11" s="389">
        <f xml:space="preserve">
IF($A$4&lt;=12,SUMIFS('ON Data'!V:V,'ON Data'!$D:$D,$A$4,'ON Data'!$E:$E,2),SUMIFS('ON Data'!V:V,'ON Data'!$E:$E,2))</f>
        <v>0</v>
      </c>
      <c r="R11" s="389">
        <f xml:space="preserve">
IF($A$4&lt;=12,SUMIFS('ON Data'!W:W,'ON Data'!$D:$D,$A$4,'ON Data'!$E:$E,2),SUMIFS('ON Data'!W:W,'ON Data'!$E:$E,2))</f>
        <v>0</v>
      </c>
      <c r="S11" s="389">
        <f xml:space="preserve">
IF($A$4&lt;=12,SUMIFS('ON Data'!X:X,'ON Data'!$D:$D,$A$4,'ON Data'!$E:$E,2),SUMIFS('ON Data'!X:X,'ON Data'!$E:$E,2))</f>
        <v>0</v>
      </c>
      <c r="T11" s="389">
        <f xml:space="preserve">
IF($A$4&lt;=12,SUMIFS('ON Data'!Y:Y,'ON Data'!$D:$D,$A$4,'ON Data'!$E:$E,2),SUMIFS('ON Data'!Y:Y,'ON Data'!$E:$E,2))</f>
        <v>0</v>
      </c>
      <c r="U11" s="389">
        <f xml:space="preserve">
IF($A$4&lt;=12,SUMIFS('ON Data'!Z:Z,'ON Data'!$D:$D,$A$4,'ON Data'!$E:$E,2),SUMIFS('ON Data'!Z:Z,'ON Data'!$E:$E,2))</f>
        <v>0</v>
      </c>
      <c r="V11" s="389">
        <f xml:space="preserve">
IF($A$4&lt;=12,SUMIFS('ON Data'!AA:AA,'ON Data'!$D:$D,$A$4,'ON Data'!$E:$E,2),SUMIFS('ON Data'!AA:AA,'ON Data'!$E:$E,2))</f>
        <v>0</v>
      </c>
      <c r="W11" s="389">
        <f xml:space="preserve">
IF($A$4&lt;=12,SUMIFS('ON Data'!AB:AB,'ON Data'!$D:$D,$A$4,'ON Data'!$E:$E,2),SUMIFS('ON Data'!AB:AB,'ON Data'!$E:$E,2))</f>
        <v>0</v>
      </c>
      <c r="X11" s="389">
        <f xml:space="preserve">
IF($A$4&lt;=12,SUMIFS('ON Data'!AC:AC,'ON Data'!$D:$D,$A$4,'ON Data'!$E:$E,2),SUMIFS('ON Data'!AC:AC,'ON Data'!$E:$E,2))</f>
        <v>0</v>
      </c>
      <c r="Y11" s="389">
        <f xml:space="preserve">
IF($A$4&lt;=12,SUMIFS('ON Data'!AD:AD,'ON Data'!$D:$D,$A$4,'ON Data'!$E:$E,2),SUMIFS('ON Data'!AD:AD,'ON Data'!$E:$E,2))</f>
        <v>0</v>
      </c>
      <c r="Z11" s="389">
        <f xml:space="preserve">
IF($A$4&lt;=12,SUMIFS('ON Data'!AE:AE,'ON Data'!$D:$D,$A$4,'ON Data'!$E:$E,2),SUMIFS('ON Data'!AE:AE,'ON Data'!$E:$E,2))</f>
        <v>0</v>
      </c>
      <c r="AA11" s="389">
        <f xml:space="preserve">
IF($A$4&lt;=12,SUMIFS('ON Data'!AF:AF,'ON Data'!$D:$D,$A$4,'ON Data'!$E:$E,2),SUMIFS('ON Data'!AF:AF,'ON Data'!$E:$E,2))</f>
        <v>0</v>
      </c>
      <c r="AB11" s="389">
        <f xml:space="preserve">
IF($A$4&lt;=12,SUMIFS('ON Data'!AG:AG,'ON Data'!$D:$D,$A$4,'ON Data'!$E:$E,2),SUMIFS('ON Data'!AG:AG,'ON Data'!$E:$E,2))</f>
        <v>0</v>
      </c>
      <c r="AC11" s="389">
        <f xml:space="preserve">
IF($A$4&lt;=12,SUMIFS('ON Data'!AH:AH,'ON Data'!$D:$D,$A$4,'ON Data'!$E:$E,2),SUMIFS('ON Data'!AH:AH,'ON Data'!$E:$E,2))</f>
        <v>0</v>
      </c>
      <c r="AD11" s="389">
        <f xml:space="preserve">
IF($A$4&lt;=12,SUMIFS('ON Data'!AI:AI,'ON Data'!$D:$D,$A$4,'ON Data'!$E:$E,2),SUMIFS('ON Data'!AI:AI,'ON Data'!$E:$E,2))</f>
        <v>3417.25</v>
      </c>
      <c r="AE11" s="389">
        <f xml:space="preserve">
IF($A$4&lt;=12,SUMIFS('ON Data'!AJ:AJ,'ON Data'!$D:$D,$A$4,'ON Data'!$E:$E,2),SUMIFS('ON Data'!AJ:AJ,'ON Data'!$E:$E,2))</f>
        <v>0</v>
      </c>
      <c r="AF11" s="389">
        <f xml:space="preserve">
IF($A$4&lt;=12,SUMIFS('ON Data'!AK:AK,'ON Data'!$D:$D,$A$4,'ON Data'!$E:$E,2),SUMIFS('ON Data'!AK:AK,'ON Data'!$E:$E,2))</f>
        <v>0</v>
      </c>
      <c r="AG11" s="389">
        <f xml:space="preserve">
IF($A$4&lt;=12,SUMIFS('ON Data'!AL:AL,'ON Data'!$D:$D,$A$4,'ON Data'!$E:$E,2),SUMIFS('ON Data'!AL:AL,'ON Data'!$E:$E,2))</f>
        <v>0</v>
      </c>
      <c r="AH11" s="679">
        <f xml:space="preserve">
IF($A$4&lt;=12,SUMIFS('ON Data'!AN:AN,'ON Data'!$D:$D,$A$4,'ON Data'!$E:$E,2),SUMIFS('ON Data'!AN:AN,'ON Data'!$E:$E,2))</f>
        <v>1060</v>
      </c>
      <c r="AI11" s="689"/>
    </row>
    <row r="12" spans="1:35" x14ac:dyDescent="0.3">
      <c r="A12" s="370" t="s">
        <v>213</v>
      </c>
      <c r="B12" s="387">
        <f xml:space="preserve">
IF($A$4&lt;=12,SUMIFS('ON Data'!F:F,'ON Data'!$D:$D,$A$4,'ON Data'!$E:$E,3),SUMIFS('ON Data'!F:F,'ON Data'!$E:$E,3))</f>
        <v>4588.5</v>
      </c>
      <c r="C12" s="388">
        <f xml:space="preserve">
IF($A$4&lt;=12,SUMIFS('ON Data'!G:G,'ON Data'!$D:$D,$A$4,'ON Data'!$E:$E,3),SUMIFS('ON Data'!G:G,'ON Data'!$E:$E,3))</f>
        <v>0</v>
      </c>
      <c r="D12" s="389">
        <f xml:space="preserve">
IF($A$4&lt;=12,SUMIFS('ON Data'!H:H,'ON Data'!$D:$D,$A$4,'ON Data'!$E:$E,3),SUMIFS('ON Data'!H:H,'ON Data'!$E:$E,3))</f>
        <v>112</v>
      </c>
      <c r="E12" s="389">
        <f xml:space="preserve">
IF($A$4&lt;=12,SUMIFS('ON Data'!I:I,'ON Data'!$D:$D,$A$4,'ON Data'!$E:$E,3),SUMIFS('ON Data'!I:I,'ON Data'!$E:$E,3))</f>
        <v>0</v>
      </c>
      <c r="F12" s="389">
        <f xml:space="preserve">
IF($A$4&lt;=12,SUMIFS('ON Data'!K:K,'ON Data'!$D:$D,$A$4,'ON Data'!$E:$E,3),SUMIFS('ON Data'!K:K,'ON Data'!$E:$E,3))</f>
        <v>4246.5</v>
      </c>
      <c r="G12" s="389">
        <f xml:space="preserve">
IF($A$4&lt;=12,SUMIFS('ON Data'!L:L,'ON Data'!$D:$D,$A$4,'ON Data'!$E:$E,3),SUMIFS('ON Data'!L:L,'ON Data'!$E:$E,3))</f>
        <v>230</v>
      </c>
      <c r="H12" s="389">
        <f xml:space="preserve">
IF($A$4&lt;=12,SUMIFS('ON Data'!M:M,'ON Data'!$D:$D,$A$4,'ON Data'!$E:$E,3),SUMIFS('ON Data'!M:M,'ON Data'!$E:$E,3))</f>
        <v>0</v>
      </c>
      <c r="I12" s="389">
        <f xml:space="preserve">
IF($A$4&lt;=12,SUMIFS('ON Data'!N:N,'ON Data'!$D:$D,$A$4,'ON Data'!$E:$E,3),SUMIFS('ON Data'!N:N,'ON Data'!$E:$E,3))</f>
        <v>0</v>
      </c>
      <c r="J12" s="389">
        <f xml:space="preserve">
IF($A$4&lt;=12,SUMIFS('ON Data'!O:O,'ON Data'!$D:$D,$A$4,'ON Data'!$E:$E,3),SUMIFS('ON Data'!O:O,'ON Data'!$E:$E,3))</f>
        <v>0</v>
      </c>
      <c r="K12" s="389">
        <f xml:space="preserve">
IF($A$4&lt;=12,SUMIFS('ON Data'!P:P,'ON Data'!$D:$D,$A$4,'ON Data'!$E:$E,3),SUMIFS('ON Data'!P:P,'ON Data'!$E:$E,3))</f>
        <v>0</v>
      </c>
      <c r="L12" s="389">
        <f xml:space="preserve">
IF($A$4&lt;=12,SUMIFS('ON Data'!Q:Q,'ON Data'!$D:$D,$A$4,'ON Data'!$E:$E,3),SUMIFS('ON Data'!Q:Q,'ON Data'!$E:$E,3))</f>
        <v>0</v>
      </c>
      <c r="M12" s="389">
        <f xml:space="preserve">
IF($A$4&lt;=12,SUMIFS('ON Data'!R:R,'ON Data'!$D:$D,$A$4,'ON Data'!$E:$E,3),SUMIFS('ON Data'!R:R,'ON Data'!$E:$E,3))</f>
        <v>0</v>
      </c>
      <c r="N12" s="389">
        <f xml:space="preserve">
IF($A$4&lt;=12,SUMIFS('ON Data'!S:S,'ON Data'!$D:$D,$A$4,'ON Data'!$E:$E,3),SUMIFS('ON Data'!S:S,'ON Data'!$E:$E,3))</f>
        <v>0</v>
      </c>
      <c r="O12" s="389">
        <f xml:space="preserve">
IF($A$4&lt;=12,SUMIFS('ON Data'!T:T,'ON Data'!$D:$D,$A$4,'ON Data'!$E:$E,3),SUMIFS('ON Data'!T:T,'ON Data'!$E:$E,3))</f>
        <v>0</v>
      </c>
      <c r="P12" s="389">
        <f xml:space="preserve">
IF($A$4&lt;=12,SUMIFS('ON Data'!U:U,'ON Data'!$D:$D,$A$4,'ON Data'!$E:$E,3),SUMIFS('ON Data'!U:U,'ON Data'!$E:$E,3))</f>
        <v>0</v>
      </c>
      <c r="Q12" s="389">
        <f xml:space="preserve">
IF($A$4&lt;=12,SUMIFS('ON Data'!V:V,'ON Data'!$D:$D,$A$4,'ON Data'!$E:$E,3),SUMIFS('ON Data'!V:V,'ON Data'!$E:$E,3))</f>
        <v>0</v>
      </c>
      <c r="R12" s="389">
        <f xml:space="preserve">
IF($A$4&lt;=12,SUMIFS('ON Data'!W:W,'ON Data'!$D:$D,$A$4,'ON Data'!$E:$E,3),SUMIFS('ON Data'!W:W,'ON Data'!$E:$E,3))</f>
        <v>0</v>
      </c>
      <c r="S12" s="389">
        <f xml:space="preserve">
IF($A$4&lt;=12,SUMIFS('ON Data'!X:X,'ON Data'!$D:$D,$A$4,'ON Data'!$E:$E,3),SUMIFS('ON Data'!X:X,'ON Data'!$E:$E,3))</f>
        <v>0</v>
      </c>
      <c r="T12" s="389">
        <f xml:space="preserve">
IF($A$4&lt;=12,SUMIFS('ON Data'!Y:Y,'ON Data'!$D:$D,$A$4,'ON Data'!$E:$E,3),SUMIFS('ON Data'!Y:Y,'ON Data'!$E:$E,3))</f>
        <v>0</v>
      </c>
      <c r="U12" s="389">
        <f xml:space="preserve">
IF($A$4&lt;=12,SUMIFS('ON Data'!Z:Z,'ON Data'!$D:$D,$A$4,'ON Data'!$E:$E,3),SUMIFS('ON Data'!Z:Z,'ON Data'!$E:$E,3))</f>
        <v>0</v>
      </c>
      <c r="V12" s="389">
        <f xml:space="preserve">
IF($A$4&lt;=12,SUMIFS('ON Data'!AA:AA,'ON Data'!$D:$D,$A$4,'ON Data'!$E:$E,3),SUMIFS('ON Data'!AA:AA,'ON Data'!$E:$E,3))</f>
        <v>0</v>
      </c>
      <c r="W12" s="389">
        <f xml:space="preserve">
IF($A$4&lt;=12,SUMIFS('ON Data'!AB:AB,'ON Data'!$D:$D,$A$4,'ON Data'!$E:$E,3),SUMIFS('ON Data'!AB:AB,'ON Data'!$E:$E,3))</f>
        <v>0</v>
      </c>
      <c r="X12" s="389">
        <f xml:space="preserve">
IF($A$4&lt;=12,SUMIFS('ON Data'!AC:AC,'ON Data'!$D:$D,$A$4,'ON Data'!$E:$E,3),SUMIFS('ON Data'!AC:AC,'ON Data'!$E:$E,3))</f>
        <v>0</v>
      </c>
      <c r="Y12" s="389">
        <f xml:space="preserve">
IF($A$4&lt;=12,SUMIFS('ON Data'!AD:AD,'ON Data'!$D:$D,$A$4,'ON Data'!$E:$E,3),SUMIFS('ON Data'!AD:AD,'ON Data'!$E:$E,3))</f>
        <v>0</v>
      </c>
      <c r="Z12" s="389">
        <f xml:space="preserve">
IF($A$4&lt;=12,SUMIFS('ON Data'!AE:AE,'ON Data'!$D:$D,$A$4,'ON Data'!$E:$E,3),SUMIFS('ON Data'!AE:AE,'ON Data'!$E:$E,3))</f>
        <v>0</v>
      </c>
      <c r="AA12" s="389">
        <f xml:space="preserve">
IF($A$4&lt;=12,SUMIFS('ON Data'!AF:AF,'ON Data'!$D:$D,$A$4,'ON Data'!$E:$E,3),SUMIFS('ON Data'!AF:AF,'ON Data'!$E:$E,3))</f>
        <v>0</v>
      </c>
      <c r="AB12" s="389">
        <f xml:space="preserve">
IF($A$4&lt;=12,SUMIFS('ON Data'!AG:AG,'ON Data'!$D:$D,$A$4,'ON Data'!$E:$E,3),SUMIFS('ON Data'!AG:AG,'ON Data'!$E:$E,3))</f>
        <v>0</v>
      </c>
      <c r="AC12" s="389">
        <f xml:space="preserve">
IF($A$4&lt;=12,SUMIFS('ON Data'!AH:AH,'ON Data'!$D:$D,$A$4,'ON Data'!$E:$E,3),SUMIFS('ON Data'!AH:AH,'ON Data'!$E:$E,3))</f>
        <v>0</v>
      </c>
      <c r="AD12" s="389">
        <f xml:space="preserve">
IF($A$4&lt;=12,SUMIFS('ON Data'!AI:AI,'ON Data'!$D:$D,$A$4,'ON Data'!$E:$E,3),SUMIFS('ON Data'!AI:AI,'ON Data'!$E:$E,3))</f>
        <v>0</v>
      </c>
      <c r="AE12" s="389">
        <f xml:space="preserve">
IF($A$4&lt;=12,SUMIFS('ON Data'!AJ:AJ,'ON Data'!$D:$D,$A$4,'ON Data'!$E:$E,3),SUMIFS('ON Data'!AJ:AJ,'ON Data'!$E:$E,3))</f>
        <v>0</v>
      </c>
      <c r="AF12" s="389">
        <f xml:space="preserve">
IF($A$4&lt;=12,SUMIFS('ON Data'!AK:AK,'ON Data'!$D:$D,$A$4,'ON Data'!$E:$E,3),SUMIFS('ON Data'!AK:AK,'ON Data'!$E:$E,3))</f>
        <v>0</v>
      </c>
      <c r="AG12" s="389">
        <f xml:space="preserve">
IF($A$4&lt;=12,SUMIFS('ON Data'!AL:AL,'ON Data'!$D:$D,$A$4,'ON Data'!$E:$E,3),SUMIFS('ON Data'!AL:AL,'ON Data'!$E:$E,3))</f>
        <v>0</v>
      </c>
      <c r="AH12" s="679">
        <f xml:space="preserve">
IF($A$4&lt;=12,SUMIFS('ON Data'!AN:AN,'ON Data'!$D:$D,$A$4,'ON Data'!$E:$E,3),SUMIFS('ON Data'!AN:AN,'ON Data'!$E:$E,3))</f>
        <v>0</v>
      </c>
      <c r="AI12" s="689"/>
    </row>
    <row r="13" spans="1:35" x14ac:dyDescent="0.3">
      <c r="A13" s="370" t="s">
        <v>220</v>
      </c>
      <c r="B13" s="387">
        <f xml:space="preserve">
IF($A$4&lt;=12,SUMIFS('ON Data'!F:F,'ON Data'!$D:$D,$A$4,'ON Data'!$E:$E,4),SUMIFS('ON Data'!F:F,'ON Data'!$E:$E,4))</f>
        <v>4808.5300000000007</v>
      </c>
      <c r="C13" s="388">
        <f xml:space="preserve">
IF($A$4&lt;=12,SUMIFS('ON Data'!G:G,'ON Data'!$D:$D,$A$4,'ON Data'!$E:$E,4),SUMIFS('ON Data'!G:G,'ON Data'!$E:$E,4))</f>
        <v>0</v>
      </c>
      <c r="D13" s="389">
        <f xml:space="preserve">
IF($A$4&lt;=12,SUMIFS('ON Data'!H:H,'ON Data'!$D:$D,$A$4,'ON Data'!$E:$E,4),SUMIFS('ON Data'!H:H,'ON Data'!$E:$E,4))</f>
        <v>1840.13</v>
      </c>
      <c r="E13" s="389">
        <f xml:space="preserve">
IF($A$4&lt;=12,SUMIFS('ON Data'!I:I,'ON Data'!$D:$D,$A$4,'ON Data'!$E:$E,4),SUMIFS('ON Data'!I:I,'ON Data'!$E:$E,4))</f>
        <v>0</v>
      </c>
      <c r="F13" s="389">
        <f xml:space="preserve">
IF($A$4&lt;=12,SUMIFS('ON Data'!K:K,'ON Data'!$D:$D,$A$4,'ON Data'!$E:$E,4),SUMIFS('ON Data'!K:K,'ON Data'!$E:$E,4))</f>
        <v>2656.9</v>
      </c>
      <c r="G13" s="389">
        <f xml:space="preserve">
IF($A$4&lt;=12,SUMIFS('ON Data'!L:L,'ON Data'!$D:$D,$A$4,'ON Data'!$E:$E,4),SUMIFS('ON Data'!L:L,'ON Data'!$E:$E,4))</f>
        <v>0</v>
      </c>
      <c r="H13" s="389">
        <f xml:space="preserve">
IF($A$4&lt;=12,SUMIFS('ON Data'!M:M,'ON Data'!$D:$D,$A$4,'ON Data'!$E:$E,4),SUMIFS('ON Data'!M:M,'ON Data'!$E:$E,4))</f>
        <v>0</v>
      </c>
      <c r="I13" s="389">
        <f xml:space="preserve">
IF($A$4&lt;=12,SUMIFS('ON Data'!N:N,'ON Data'!$D:$D,$A$4,'ON Data'!$E:$E,4),SUMIFS('ON Data'!N:N,'ON Data'!$E:$E,4))</f>
        <v>0</v>
      </c>
      <c r="J13" s="389">
        <f xml:space="preserve">
IF($A$4&lt;=12,SUMIFS('ON Data'!O:O,'ON Data'!$D:$D,$A$4,'ON Data'!$E:$E,4),SUMIFS('ON Data'!O:O,'ON Data'!$E:$E,4))</f>
        <v>0</v>
      </c>
      <c r="K13" s="389">
        <f xml:space="preserve">
IF($A$4&lt;=12,SUMIFS('ON Data'!P:P,'ON Data'!$D:$D,$A$4,'ON Data'!$E:$E,4),SUMIFS('ON Data'!P:P,'ON Data'!$E:$E,4))</f>
        <v>0</v>
      </c>
      <c r="L13" s="389">
        <f xml:space="preserve">
IF($A$4&lt;=12,SUMIFS('ON Data'!Q:Q,'ON Data'!$D:$D,$A$4,'ON Data'!$E:$E,4),SUMIFS('ON Data'!Q:Q,'ON Data'!$E:$E,4))</f>
        <v>0</v>
      </c>
      <c r="M13" s="389">
        <f xml:space="preserve">
IF($A$4&lt;=12,SUMIFS('ON Data'!R:R,'ON Data'!$D:$D,$A$4,'ON Data'!$E:$E,4),SUMIFS('ON Data'!R:R,'ON Data'!$E:$E,4))</f>
        <v>0</v>
      </c>
      <c r="N13" s="389">
        <f xml:space="preserve">
IF($A$4&lt;=12,SUMIFS('ON Data'!S:S,'ON Data'!$D:$D,$A$4,'ON Data'!$E:$E,4),SUMIFS('ON Data'!S:S,'ON Data'!$E:$E,4))</f>
        <v>0</v>
      </c>
      <c r="O13" s="389">
        <f xml:space="preserve">
IF($A$4&lt;=12,SUMIFS('ON Data'!T:T,'ON Data'!$D:$D,$A$4,'ON Data'!$E:$E,4),SUMIFS('ON Data'!T:T,'ON Data'!$E:$E,4))</f>
        <v>0</v>
      </c>
      <c r="P13" s="389">
        <f xml:space="preserve">
IF($A$4&lt;=12,SUMIFS('ON Data'!U:U,'ON Data'!$D:$D,$A$4,'ON Data'!$E:$E,4),SUMIFS('ON Data'!U:U,'ON Data'!$E:$E,4))</f>
        <v>0</v>
      </c>
      <c r="Q13" s="389">
        <f xml:space="preserve">
IF($A$4&lt;=12,SUMIFS('ON Data'!V:V,'ON Data'!$D:$D,$A$4,'ON Data'!$E:$E,4),SUMIFS('ON Data'!V:V,'ON Data'!$E:$E,4))</f>
        <v>0</v>
      </c>
      <c r="R13" s="389">
        <f xml:space="preserve">
IF($A$4&lt;=12,SUMIFS('ON Data'!W:W,'ON Data'!$D:$D,$A$4,'ON Data'!$E:$E,4),SUMIFS('ON Data'!W:W,'ON Data'!$E:$E,4))</f>
        <v>0</v>
      </c>
      <c r="S13" s="389">
        <f xml:space="preserve">
IF($A$4&lt;=12,SUMIFS('ON Data'!X:X,'ON Data'!$D:$D,$A$4,'ON Data'!$E:$E,4),SUMIFS('ON Data'!X:X,'ON Data'!$E:$E,4))</f>
        <v>0</v>
      </c>
      <c r="T13" s="389">
        <f xml:space="preserve">
IF($A$4&lt;=12,SUMIFS('ON Data'!Y:Y,'ON Data'!$D:$D,$A$4,'ON Data'!$E:$E,4),SUMIFS('ON Data'!Y:Y,'ON Data'!$E:$E,4))</f>
        <v>0</v>
      </c>
      <c r="U13" s="389">
        <f xml:space="preserve">
IF($A$4&lt;=12,SUMIFS('ON Data'!Z:Z,'ON Data'!$D:$D,$A$4,'ON Data'!$E:$E,4),SUMIFS('ON Data'!Z:Z,'ON Data'!$E:$E,4))</f>
        <v>0</v>
      </c>
      <c r="V13" s="389">
        <f xml:space="preserve">
IF($A$4&lt;=12,SUMIFS('ON Data'!AA:AA,'ON Data'!$D:$D,$A$4,'ON Data'!$E:$E,4),SUMIFS('ON Data'!AA:AA,'ON Data'!$E:$E,4))</f>
        <v>0</v>
      </c>
      <c r="W13" s="389">
        <f xml:space="preserve">
IF($A$4&lt;=12,SUMIFS('ON Data'!AB:AB,'ON Data'!$D:$D,$A$4,'ON Data'!$E:$E,4),SUMIFS('ON Data'!AB:AB,'ON Data'!$E:$E,4))</f>
        <v>0</v>
      </c>
      <c r="X13" s="389">
        <f xml:space="preserve">
IF($A$4&lt;=12,SUMIFS('ON Data'!AC:AC,'ON Data'!$D:$D,$A$4,'ON Data'!$E:$E,4),SUMIFS('ON Data'!AC:AC,'ON Data'!$E:$E,4))</f>
        <v>0</v>
      </c>
      <c r="Y13" s="389">
        <f xml:space="preserve">
IF($A$4&lt;=12,SUMIFS('ON Data'!AD:AD,'ON Data'!$D:$D,$A$4,'ON Data'!$E:$E,4),SUMIFS('ON Data'!AD:AD,'ON Data'!$E:$E,4))</f>
        <v>0</v>
      </c>
      <c r="Z13" s="389">
        <f xml:space="preserve">
IF($A$4&lt;=12,SUMIFS('ON Data'!AE:AE,'ON Data'!$D:$D,$A$4,'ON Data'!$E:$E,4),SUMIFS('ON Data'!AE:AE,'ON Data'!$E:$E,4))</f>
        <v>0</v>
      </c>
      <c r="AA13" s="389">
        <f xml:space="preserve">
IF($A$4&lt;=12,SUMIFS('ON Data'!AF:AF,'ON Data'!$D:$D,$A$4,'ON Data'!$E:$E,4),SUMIFS('ON Data'!AF:AF,'ON Data'!$E:$E,4))</f>
        <v>0</v>
      </c>
      <c r="AB13" s="389">
        <f xml:space="preserve">
IF($A$4&lt;=12,SUMIFS('ON Data'!AG:AG,'ON Data'!$D:$D,$A$4,'ON Data'!$E:$E,4),SUMIFS('ON Data'!AG:AG,'ON Data'!$E:$E,4))</f>
        <v>0</v>
      </c>
      <c r="AC13" s="389">
        <f xml:space="preserve">
IF($A$4&lt;=12,SUMIFS('ON Data'!AH:AH,'ON Data'!$D:$D,$A$4,'ON Data'!$E:$E,4),SUMIFS('ON Data'!AH:AH,'ON Data'!$E:$E,4))</f>
        <v>0</v>
      </c>
      <c r="AD13" s="389">
        <f xml:space="preserve">
IF($A$4&lt;=12,SUMIFS('ON Data'!AI:AI,'ON Data'!$D:$D,$A$4,'ON Data'!$E:$E,4),SUMIFS('ON Data'!AI:AI,'ON Data'!$E:$E,4))</f>
        <v>311.5</v>
      </c>
      <c r="AE13" s="389">
        <f xml:space="preserve">
IF($A$4&lt;=12,SUMIFS('ON Data'!AJ:AJ,'ON Data'!$D:$D,$A$4,'ON Data'!$E:$E,4),SUMIFS('ON Data'!AJ:AJ,'ON Data'!$E:$E,4))</f>
        <v>0</v>
      </c>
      <c r="AF13" s="389">
        <f xml:space="preserve">
IF($A$4&lt;=12,SUMIFS('ON Data'!AK:AK,'ON Data'!$D:$D,$A$4,'ON Data'!$E:$E,4),SUMIFS('ON Data'!AK:AK,'ON Data'!$E:$E,4))</f>
        <v>0</v>
      </c>
      <c r="AG13" s="389">
        <f xml:space="preserve">
IF($A$4&lt;=12,SUMIFS('ON Data'!AL:AL,'ON Data'!$D:$D,$A$4,'ON Data'!$E:$E,4),SUMIFS('ON Data'!AL:AL,'ON Data'!$E:$E,4))</f>
        <v>0</v>
      </c>
      <c r="AH13" s="679">
        <f xml:space="preserve">
IF($A$4&lt;=12,SUMIFS('ON Data'!AN:AN,'ON Data'!$D:$D,$A$4,'ON Data'!$E:$E,4),SUMIFS('ON Data'!AN:AN,'ON Data'!$E:$E,4))</f>
        <v>0</v>
      </c>
      <c r="AI13" s="689"/>
    </row>
    <row r="14" spans="1:35" ht="15" thickBot="1" x14ac:dyDescent="0.35">
      <c r="A14" s="371" t="s">
        <v>214</v>
      </c>
      <c r="B14" s="390">
        <f xml:space="preserve">
IF($A$4&lt;=12,SUMIFS('ON Data'!F:F,'ON Data'!$D:$D,$A$4,'ON Data'!$E:$E,5),SUMIFS('ON Data'!F:F,'ON Data'!$E:$E,5))</f>
        <v>469.5</v>
      </c>
      <c r="C14" s="391">
        <f xml:space="preserve">
IF($A$4&lt;=12,SUMIFS('ON Data'!G:G,'ON Data'!$D:$D,$A$4,'ON Data'!$E:$E,5),SUMIFS('ON Data'!G:G,'ON Data'!$E:$E,5))</f>
        <v>469.5</v>
      </c>
      <c r="D14" s="392">
        <f xml:space="preserve">
IF($A$4&lt;=12,SUMIFS('ON Data'!H:H,'ON Data'!$D:$D,$A$4,'ON Data'!$E:$E,5),SUMIFS('ON Data'!H:H,'ON Data'!$E:$E,5))</f>
        <v>0</v>
      </c>
      <c r="E14" s="392">
        <f xml:space="preserve">
IF($A$4&lt;=12,SUMIFS('ON Data'!I:I,'ON Data'!$D:$D,$A$4,'ON Data'!$E:$E,5),SUMIFS('ON Data'!I:I,'ON Data'!$E:$E,5))</f>
        <v>0</v>
      </c>
      <c r="F14" s="392">
        <f xml:space="preserve">
IF($A$4&lt;=12,SUMIFS('ON Data'!K:K,'ON Data'!$D:$D,$A$4,'ON Data'!$E:$E,5),SUMIFS('ON Data'!K:K,'ON Data'!$E:$E,5))</f>
        <v>0</v>
      </c>
      <c r="G14" s="392">
        <f xml:space="preserve">
IF($A$4&lt;=12,SUMIFS('ON Data'!L:L,'ON Data'!$D:$D,$A$4,'ON Data'!$E:$E,5),SUMIFS('ON Data'!L:L,'ON Data'!$E:$E,5))</f>
        <v>0</v>
      </c>
      <c r="H14" s="392">
        <f xml:space="preserve">
IF($A$4&lt;=12,SUMIFS('ON Data'!M:M,'ON Data'!$D:$D,$A$4,'ON Data'!$E:$E,5),SUMIFS('ON Data'!M:M,'ON Data'!$E:$E,5))</f>
        <v>0</v>
      </c>
      <c r="I14" s="392">
        <f xml:space="preserve">
IF($A$4&lt;=12,SUMIFS('ON Data'!N:N,'ON Data'!$D:$D,$A$4,'ON Data'!$E:$E,5),SUMIFS('ON Data'!N:N,'ON Data'!$E:$E,5))</f>
        <v>0</v>
      </c>
      <c r="J14" s="392">
        <f xml:space="preserve">
IF($A$4&lt;=12,SUMIFS('ON Data'!O:O,'ON Data'!$D:$D,$A$4,'ON Data'!$E:$E,5),SUMIFS('ON Data'!O:O,'ON Data'!$E:$E,5))</f>
        <v>0</v>
      </c>
      <c r="K14" s="392">
        <f xml:space="preserve">
IF($A$4&lt;=12,SUMIFS('ON Data'!P:P,'ON Data'!$D:$D,$A$4,'ON Data'!$E:$E,5),SUMIFS('ON Data'!P:P,'ON Data'!$E:$E,5))</f>
        <v>0</v>
      </c>
      <c r="L14" s="392">
        <f xml:space="preserve">
IF($A$4&lt;=12,SUMIFS('ON Data'!Q:Q,'ON Data'!$D:$D,$A$4,'ON Data'!$E:$E,5),SUMIFS('ON Data'!Q:Q,'ON Data'!$E:$E,5))</f>
        <v>0</v>
      </c>
      <c r="M14" s="392">
        <f xml:space="preserve">
IF($A$4&lt;=12,SUMIFS('ON Data'!R:R,'ON Data'!$D:$D,$A$4,'ON Data'!$E:$E,5),SUMIFS('ON Data'!R:R,'ON Data'!$E:$E,5))</f>
        <v>0</v>
      </c>
      <c r="N14" s="392">
        <f xml:space="preserve">
IF($A$4&lt;=12,SUMIFS('ON Data'!S:S,'ON Data'!$D:$D,$A$4,'ON Data'!$E:$E,5),SUMIFS('ON Data'!S:S,'ON Data'!$E:$E,5))</f>
        <v>0</v>
      </c>
      <c r="O14" s="392">
        <f xml:space="preserve">
IF($A$4&lt;=12,SUMIFS('ON Data'!T:T,'ON Data'!$D:$D,$A$4,'ON Data'!$E:$E,5),SUMIFS('ON Data'!T:T,'ON Data'!$E:$E,5))</f>
        <v>0</v>
      </c>
      <c r="P14" s="392">
        <f xml:space="preserve">
IF($A$4&lt;=12,SUMIFS('ON Data'!U:U,'ON Data'!$D:$D,$A$4,'ON Data'!$E:$E,5),SUMIFS('ON Data'!U:U,'ON Data'!$E:$E,5))</f>
        <v>0</v>
      </c>
      <c r="Q14" s="392">
        <f xml:space="preserve">
IF($A$4&lt;=12,SUMIFS('ON Data'!V:V,'ON Data'!$D:$D,$A$4,'ON Data'!$E:$E,5),SUMIFS('ON Data'!V:V,'ON Data'!$E:$E,5))</f>
        <v>0</v>
      </c>
      <c r="R14" s="392">
        <f xml:space="preserve">
IF($A$4&lt;=12,SUMIFS('ON Data'!W:W,'ON Data'!$D:$D,$A$4,'ON Data'!$E:$E,5),SUMIFS('ON Data'!W:W,'ON Data'!$E:$E,5))</f>
        <v>0</v>
      </c>
      <c r="S14" s="392">
        <f xml:space="preserve">
IF($A$4&lt;=12,SUMIFS('ON Data'!X:X,'ON Data'!$D:$D,$A$4,'ON Data'!$E:$E,5),SUMIFS('ON Data'!X:X,'ON Data'!$E:$E,5))</f>
        <v>0</v>
      </c>
      <c r="T14" s="392">
        <f xml:space="preserve">
IF($A$4&lt;=12,SUMIFS('ON Data'!Y:Y,'ON Data'!$D:$D,$A$4,'ON Data'!$E:$E,5),SUMIFS('ON Data'!Y:Y,'ON Data'!$E:$E,5))</f>
        <v>0</v>
      </c>
      <c r="U14" s="392">
        <f xml:space="preserve">
IF($A$4&lt;=12,SUMIFS('ON Data'!Z:Z,'ON Data'!$D:$D,$A$4,'ON Data'!$E:$E,5),SUMIFS('ON Data'!Z:Z,'ON Data'!$E:$E,5))</f>
        <v>0</v>
      </c>
      <c r="V14" s="392">
        <f xml:space="preserve">
IF($A$4&lt;=12,SUMIFS('ON Data'!AA:AA,'ON Data'!$D:$D,$A$4,'ON Data'!$E:$E,5),SUMIFS('ON Data'!AA:AA,'ON Data'!$E:$E,5))</f>
        <v>0</v>
      </c>
      <c r="W14" s="392">
        <f xml:space="preserve">
IF($A$4&lt;=12,SUMIFS('ON Data'!AB:AB,'ON Data'!$D:$D,$A$4,'ON Data'!$E:$E,5),SUMIFS('ON Data'!AB:AB,'ON Data'!$E:$E,5))</f>
        <v>0</v>
      </c>
      <c r="X14" s="392">
        <f xml:space="preserve">
IF($A$4&lt;=12,SUMIFS('ON Data'!AC:AC,'ON Data'!$D:$D,$A$4,'ON Data'!$E:$E,5),SUMIFS('ON Data'!AC:AC,'ON Data'!$E:$E,5))</f>
        <v>0</v>
      </c>
      <c r="Y14" s="392">
        <f xml:space="preserve">
IF($A$4&lt;=12,SUMIFS('ON Data'!AD:AD,'ON Data'!$D:$D,$A$4,'ON Data'!$E:$E,5),SUMIFS('ON Data'!AD:AD,'ON Data'!$E:$E,5))</f>
        <v>0</v>
      </c>
      <c r="Z14" s="392">
        <f xml:space="preserve">
IF($A$4&lt;=12,SUMIFS('ON Data'!AE:AE,'ON Data'!$D:$D,$A$4,'ON Data'!$E:$E,5),SUMIFS('ON Data'!AE:AE,'ON Data'!$E:$E,5))</f>
        <v>0</v>
      </c>
      <c r="AA14" s="392">
        <f xml:space="preserve">
IF($A$4&lt;=12,SUMIFS('ON Data'!AF:AF,'ON Data'!$D:$D,$A$4,'ON Data'!$E:$E,5),SUMIFS('ON Data'!AF:AF,'ON Data'!$E:$E,5))</f>
        <v>0</v>
      </c>
      <c r="AB14" s="392">
        <f xml:space="preserve">
IF($A$4&lt;=12,SUMIFS('ON Data'!AG:AG,'ON Data'!$D:$D,$A$4,'ON Data'!$E:$E,5),SUMIFS('ON Data'!AG:AG,'ON Data'!$E:$E,5))</f>
        <v>0</v>
      </c>
      <c r="AC14" s="392">
        <f xml:space="preserve">
IF($A$4&lt;=12,SUMIFS('ON Data'!AH:AH,'ON Data'!$D:$D,$A$4,'ON Data'!$E:$E,5),SUMIFS('ON Data'!AH:AH,'ON Data'!$E:$E,5))</f>
        <v>0</v>
      </c>
      <c r="AD14" s="392">
        <f xml:space="preserve">
IF($A$4&lt;=12,SUMIFS('ON Data'!AI:AI,'ON Data'!$D:$D,$A$4,'ON Data'!$E:$E,5),SUMIFS('ON Data'!AI:AI,'ON Data'!$E:$E,5))</f>
        <v>0</v>
      </c>
      <c r="AE14" s="392">
        <f xml:space="preserve">
IF($A$4&lt;=12,SUMIFS('ON Data'!AJ:AJ,'ON Data'!$D:$D,$A$4,'ON Data'!$E:$E,5),SUMIFS('ON Data'!AJ:AJ,'ON Data'!$E:$E,5))</f>
        <v>0</v>
      </c>
      <c r="AF14" s="392">
        <f xml:space="preserve">
IF($A$4&lt;=12,SUMIFS('ON Data'!AK:AK,'ON Data'!$D:$D,$A$4,'ON Data'!$E:$E,5),SUMIFS('ON Data'!AK:AK,'ON Data'!$E:$E,5))</f>
        <v>0</v>
      </c>
      <c r="AG14" s="392">
        <f xml:space="preserve">
IF($A$4&lt;=12,SUMIFS('ON Data'!AL:AL,'ON Data'!$D:$D,$A$4,'ON Data'!$E:$E,5),SUMIFS('ON Data'!AL:AL,'ON Data'!$E:$E,5))</f>
        <v>0</v>
      </c>
      <c r="AH14" s="680">
        <f xml:space="preserve">
IF($A$4&lt;=12,SUMIFS('ON Data'!AN:AN,'ON Data'!$D:$D,$A$4,'ON Data'!$E:$E,5),SUMIFS('ON Data'!AN:AN,'ON Data'!$E:$E,5))</f>
        <v>0</v>
      </c>
      <c r="AI14" s="689"/>
    </row>
    <row r="15" spans="1:35" x14ac:dyDescent="0.3">
      <c r="A15" s="271" t="s">
        <v>224</v>
      </c>
      <c r="B15" s="393"/>
      <c r="C15" s="394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681"/>
      <c r="AI15" s="689"/>
    </row>
    <row r="16" spans="1:35" x14ac:dyDescent="0.3">
      <c r="A16" s="372" t="s">
        <v>215</v>
      </c>
      <c r="B16" s="387">
        <f xml:space="preserve">
IF($A$4&lt;=12,SUMIFS('ON Data'!F:F,'ON Data'!$D:$D,$A$4,'ON Data'!$E:$E,7),SUMIFS('ON Data'!F:F,'ON Data'!$E:$E,7))</f>
        <v>0</v>
      </c>
      <c r="C16" s="388">
        <f xml:space="preserve">
IF($A$4&lt;=12,SUMIFS('ON Data'!G:G,'ON Data'!$D:$D,$A$4,'ON Data'!$E:$E,7),SUMIFS('ON Data'!G:G,'ON Data'!$E:$E,7))</f>
        <v>0</v>
      </c>
      <c r="D16" s="389">
        <f xml:space="preserve">
IF($A$4&lt;=12,SUMIFS('ON Data'!H:H,'ON Data'!$D:$D,$A$4,'ON Data'!$E:$E,7),SUMIFS('ON Data'!H:H,'ON Data'!$E:$E,7))</f>
        <v>0</v>
      </c>
      <c r="E16" s="389">
        <f xml:space="preserve">
IF($A$4&lt;=12,SUMIFS('ON Data'!I:I,'ON Data'!$D:$D,$A$4,'ON Data'!$E:$E,7),SUMIFS('ON Data'!I:I,'ON Data'!$E:$E,7))</f>
        <v>0</v>
      </c>
      <c r="F16" s="389">
        <f xml:space="preserve">
IF($A$4&lt;=12,SUMIFS('ON Data'!K:K,'ON Data'!$D:$D,$A$4,'ON Data'!$E:$E,7),SUMIFS('ON Data'!K:K,'ON Data'!$E:$E,7))</f>
        <v>0</v>
      </c>
      <c r="G16" s="389">
        <f xml:space="preserve">
IF($A$4&lt;=12,SUMIFS('ON Data'!L:L,'ON Data'!$D:$D,$A$4,'ON Data'!$E:$E,7),SUMIFS('ON Data'!L:L,'ON Data'!$E:$E,7))</f>
        <v>0</v>
      </c>
      <c r="H16" s="389">
        <f xml:space="preserve">
IF($A$4&lt;=12,SUMIFS('ON Data'!M:M,'ON Data'!$D:$D,$A$4,'ON Data'!$E:$E,7),SUMIFS('ON Data'!M:M,'ON Data'!$E:$E,7))</f>
        <v>0</v>
      </c>
      <c r="I16" s="389">
        <f xml:space="preserve">
IF($A$4&lt;=12,SUMIFS('ON Data'!N:N,'ON Data'!$D:$D,$A$4,'ON Data'!$E:$E,7),SUMIFS('ON Data'!N:N,'ON Data'!$E:$E,7))</f>
        <v>0</v>
      </c>
      <c r="J16" s="389">
        <f xml:space="preserve">
IF($A$4&lt;=12,SUMIFS('ON Data'!O:O,'ON Data'!$D:$D,$A$4,'ON Data'!$E:$E,7),SUMIFS('ON Data'!O:O,'ON Data'!$E:$E,7))</f>
        <v>0</v>
      </c>
      <c r="K16" s="389">
        <f xml:space="preserve">
IF($A$4&lt;=12,SUMIFS('ON Data'!P:P,'ON Data'!$D:$D,$A$4,'ON Data'!$E:$E,7),SUMIFS('ON Data'!P:P,'ON Data'!$E:$E,7))</f>
        <v>0</v>
      </c>
      <c r="L16" s="389">
        <f xml:space="preserve">
IF($A$4&lt;=12,SUMIFS('ON Data'!Q:Q,'ON Data'!$D:$D,$A$4,'ON Data'!$E:$E,7),SUMIFS('ON Data'!Q:Q,'ON Data'!$E:$E,7))</f>
        <v>0</v>
      </c>
      <c r="M16" s="389">
        <f xml:space="preserve">
IF($A$4&lt;=12,SUMIFS('ON Data'!R:R,'ON Data'!$D:$D,$A$4,'ON Data'!$E:$E,7),SUMIFS('ON Data'!R:R,'ON Data'!$E:$E,7))</f>
        <v>0</v>
      </c>
      <c r="N16" s="389">
        <f xml:space="preserve">
IF($A$4&lt;=12,SUMIFS('ON Data'!S:S,'ON Data'!$D:$D,$A$4,'ON Data'!$E:$E,7),SUMIFS('ON Data'!S:S,'ON Data'!$E:$E,7))</f>
        <v>0</v>
      </c>
      <c r="O16" s="389">
        <f xml:space="preserve">
IF($A$4&lt;=12,SUMIFS('ON Data'!T:T,'ON Data'!$D:$D,$A$4,'ON Data'!$E:$E,7),SUMIFS('ON Data'!T:T,'ON Data'!$E:$E,7))</f>
        <v>0</v>
      </c>
      <c r="P16" s="389">
        <f xml:space="preserve">
IF($A$4&lt;=12,SUMIFS('ON Data'!U:U,'ON Data'!$D:$D,$A$4,'ON Data'!$E:$E,7),SUMIFS('ON Data'!U:U,'ON Data'!$E:$E,7))</f>
        <v>0</v>
      </c>
      <c r="Q16" s="389">
        <f xml:space="preserve">
IF($A$4&lt;=12,SUMIFS('ON Data'!V:V,'ON Data'!$D:$D,$A$4,'ON Data'!$E:$E,7),SUMIFS('ON Data'!V:V,'ON Data'!$E:$E,7))</f>
        <v>0</v>
      </c>
      <c r="R16" s="389">
        <f xml:space="preserve">
IF($A$4&lt;=12,SUMIFS('ON Data'!W:W,'ON Data'!$D:$D,$A$4,'ON Data'!$E:$E,7),SUMIFS('ON Data'!W:W,'ON Data'!$E:$E,7))</f>
        <v>0</v>
      </c>
      <c r="S16" s="389">
        <f xml:space="preserve">
IF($A$4&lt;=12,SUMIFS('ON Data'!X:X,'ON Data'!$D:$D,$A$4,'ON Data'!$E:$E,7),SUMIFS('ON Data'!X:X,'ON Data'!$E:$E,7))</f>
        <v>0</v>
      </c>
      <c r="T16" s="389">
        <f xml:space="preserve">
IF($A$4&lt;=12,SUMIFS('ON Data'!Y:Y,'ON Data'!$D:$D,$A$4,'ON Data'!$E:$E,7),SUMIFS('ON Data'!Y:Y,'ON Data'!$E:$E,7))</f>
        <v>0</v>
      </c>
      <c r="U16" s="389">
        <f xml:space="preserve">
IF($A$4&lt;=12,SUMIFS('ON Data'!Z:Z,'ON Data'!$D:$D,$A$4,'ON Data'!$E:$E,7),SUMIFS('ON Data'!Z:Z,'ON Data'!$E:$E,7))</f>
        <v>0</v>
      </c>
      <c r="V16" s="389">
        <f xml:space="preserve">
IF($A$4&lt;=12,SUMIFS('ON Data'!AA:AA,'ON Data'!$D:$D,$A$4,'ON Data'!$E:$E,7),SUMIFS('ON Data'!AA:AA,'ON Data'!$E:$E,7))</f>
        <v>0</v>
      </c>
      <c r="W16" s="389">
        <f xml:space="preserve">
IF($A$4&lt;=12,SUMIFS('ON Data'!AB:AB,'ON Data'!$D:$D,$A$4,'ON Data'!$E:$E,7),SUMIFS('ON Data'!AB:AB,'ON Data'!$E:$E,7))</f>
        <v>0</v>
      </c>
      <c r="X16" s="389">
        <f xml:space="preserve">
IF($A$4&lt;=12,SUMIFS('ON Data'!AC:AC,'ON Data'!$D:$D,$A$4,'ON Data'!$E:$E,7),SUMIFS('ON Data'!AC:AC,'ON Data'!$E:$E,7))</f>
        <v>0</v>
      </c>
      <c r="Y16" s="389">
        <f xml:space="preserve">
IF($A$4&lt;=12,SUMIFS('ON Data'!AD:AD,'ON Data'!$D:$D,$A$4,'ON Data'!$E:$E,7),SUMIFS('ON Data'!AD:AD,'ON Data'!$E:$E,7))</f>
        <v>0</v>
      </c>
      <c r="Z16" s="389">
        <f xml:space="preserve">
IF($A$4&lt;=12,SUMIFS('ON Data'!AE:AE,'ON Data'!$D:$D,$A$4,'ON Data'!$E:$E,7),SUMIFS('ON Data'!AE:AE,'ON Data'!$E:$E,7))</f>
        <v>0</v>
      </c>
      <c r="AA16" s="389">
        <f xml:space="preserve">
IF($A$4&lt;=12,SUMIFS('ON Data'!AF:AF,'ON Data'!$D:$D,$A$4,'ON Data'!$E:$E,7),SUMIFS('ON Data'!AF:AF,'ON Data'!$E:$E,7))</f>
        <v>0</v>
      </c>
      <c r="AB16" s="389">
        <f xml:space="preserve">
IF($A$4&lt;=12,SUMIFS('ON Data'!AG:AG,'ON Data'!$D:$D,$A$4,'ON Data'!$E:$E,7),SUMIFS('ON Data'!AG:AG,'ON Data'!$E:$E,7))</f>
        <v>0</v>
      </c>
      <c r="AC16" s="389">
        <f xml:space="preserve">
IF($A$4&lt;=12,SUMIFS('ON Data'!AH:AH,'ON Data'!$D:$D,$A$4,'ON Data'!$E:$E,7),SUMIFS('ON Data'!AH:AH,'ON Data'!$E:$E,7))</f>
        <v>0</v>
      </c>
      <c r="AD16" s="389">
        <f xml:space="preserve">
IF($A$4&lt;=12,SUMIFS('ON Data'!AI:AI,'ON Data'!$D:$D,$A$4,'ON Data'!$E:$E,7),SUMIFS('ON Data'!AI:AI,'ON Data'!$E:$E,7))</f>
        <v>0</v>
      </c>
      <c r="AE16" s="389">
        <f xml:space="preserve">
IF($A$4&lt;=12,SUMIFS('ON Data'!AJ:AJ,'ON Data'!$D:$D,$A$4,'ON Data'!$E:$E,7),SUMIFS('ON Data'!AJ:AJ,'ON Data'!$E:$E,7))</f>
        <v>0</v>
      </c>
      <c r="AF16" s="389">
        <f xml:space="preserve">
IF($A$4&lt;=12,SUMIFS('ON Data'!AK:AK,'ON Data'!$D:$D,$A$4,'ON Data'!$E:$E,7),SUMIFS('ON Data'!AK:AK,'ON Data'!$E:$E,7))</f>
        <v>0</v>
      </c>
      <c r="AG16" s="389">
        <f xml:space="preserve">
IF($A$4&lt;=12,SUMIFS('ON Data'!AL:AL,'ON Data'!$D:$D,$A$4,'ON Data'!$E:$E,7),SUMIFS('ON Data'!AL:AL,'ON Data'!$E:$E,7))</f>
        <v>0</v>
      </c>
      <c r="AH16" s="679">
        <f xml:space="preserve">
IF($A$4&lt;=12,SUMIFS('ON Data'!AN:AN,'ON Data'!$D:$D,$A$4,'ON Data'!$E:$E,7),SUMIFS('ON Data'!AN:AN,'ON Data'!$E:$E,7))</f>
        <v>0</v>
      </c>
      <c r="AI16" s="689"/>
    </row>
    <row r="17" spans="1:35" x14ac:dyDescent="0.3">
      <c r="A17" s="372" t="s">
        <v>216</v>
      </c>
      <c r="B17" s="387">
        <f xml:space="preserve">
IF($A$4&lt;=12,SUMIFS('ON Data'!F:F,'ON Data'!$D:$D,$A$4,'ON Data'!$E:$E,8),SUMIFS('ON Data'!F:F,'ON Data'!$E:$E,8))</f>
        <v>0</v>
      </c>
      <c r="C17" s="388">
        <f xml:space="preserve">
IF($A$4&lt;=12,SUMIFS('ON Data'!G:G,'ON Data'!$D:$D,$A$4,'ON Data'!$E:$E,8),SUMIFS('ON Data'!G:G,'ON Data'!$E:$E,8))</f>
        <v>0</v>
      </c>
      <c r="D17" s="389">
        <f xml:space="preserve">
IF($A$4&lt;=12,SUMIFS('ON Data'!H:H,'ON Data'!$D:$D,$A$4,'ON Data'!$E:$E,8),SUMIFS('ON Data'!H:H,'ON Data'!$E:$E,8))</f>
        <v>0</v>
      </c>
      <c r="E17" s="389">
        <f xml:space="preserve">
IF($A$4&lt;=12,SUMIFS('ON Data'!I:I,'ON Data'!$D:$D,$A$4,'ON Data'!$E:$E,8),SUMIFS('ON Data'!I:I,'ON Data'!$E:$E,8))</f>
        <v>0</v>
      </c>
      <c r="F17" s="389">
        <f xml:space="preserve">
IF($A$4&lt;=12,SUMIFS('ON Data'!K:K,'ON Data'!$D:$D,$A$4,'ON Data'!$E:$E,8),SUMIFS('ON Data'!K:K,'ON Data'!$E:$E,8))</f>
        <v>0</v>
      </c>
      <c r="G17" s="389">
        <f xml:space="preserve">
IF($A$4&lt;=12,SUMIFS('ON Data'!L:L,'ON Data'!$D:$D,$A$4,'ON Data'!$E:$E,8),SUMIFS('ON Data'!L:L,'ON Data'!$E:$E,8))</f>
        <v>0</v>
      </c>
      <c r="H17" s="389">
        <f xml:space="preserve">
IF($A$4&lt;=12,SUMIFS('ON Data'!M:M,'ON Data'!$D:$D,$A$4,'ON Data'!$E:$E,8),SUMIFS('ON Data'!M:M,'ON Data'!$E:$E,8))</f>
        <v>0</v>
      </c>
      <c r="I17" s="389">
        <f xml:space="preserve">
IF($A$4&lt;=12,SUMIFS('ON Data'!N:N,'ON Data'!$D:$D,$A$4,'ON Data'!$E:$E,8),SUMIFS('ON Data'!N:N,'ON Data'!$E:$E,8))</f>
        <v>0</v>
      </c>
      <c r="J17" s="389">
        <f xml:space="preserve">
IF($A$4&lt;=12,SUMIFS('ON Data'!O:O,'ON Data'!$D:$D,$A$4,'ON Data'!$E:$E,8),SUMIFS('ON Data'!O:O,'ON Data'!$E:$E,8))</f>
        <v>0</v>
      </c>
      <c r="K17" s="389">
        <f xml:space="preserve">
IF($A$4&lt;=12,SUMIFS('ON Data'!P:P,'ON Data'!$D:$D,$A$4,'ON Data'!$E:$E,8),SUMIFS('ON Data'!P:P,'ON Data'!$E:$E,8))</f>
        <v>0</v>
      </c>
      <c r="L17" s="389">
        <f xml:space="preserve">
IF($A$4&lt;=12,SUMIFS('ON Data'!Q:Q,'ON Data'!$D:$D,$A$4,'ON Data'!$E:$E,8),SUMIFS('ON Data'!Q:Q,'ON Data'!$E:$E,8))</f>
        <v>0</v>
      </c>
      <c r="M17" s="389">
        <f xml:space="preserve">
IF($A$4&lt;=12,SUMIFS('ON Data'!R:R,'ON Data'!$D:$D,$A$4,'ON Data'!$E:$E,8),SUMIFS('ON Data'!R:R,'ON Data'!$E:$E,8))</f>
        <v>0</v>
      </c>
      <c r="N17" s="389">
        <f xml:space="preserve">
IF($A$4&lt;=12,SUMIFS('ON Data'!S:S,'ON Data'!$D:$D,$A$4,'ON Data'!$E:$E,8),SUMIFS('ON Data'!S:S,'ON Data'!$E:$E,8))</f>
        <v>0</v>
      </c>
      <c r="O17" s="389">
        <f xml:space="preserve">
IF($A$4&lt;=12,SUMIFS('ON Data'!T:T,'ON Data'!$D:$D,$A$4,'ON Data'!$E:$E,8),SUMIFS('ON Data'!T:T,'ON Data'!$E:$E,8))</f>
        <v>0</v>
      </c>
      <c r="P17" s="389">
        <f xml:space="preserve">
IF($A$4&lt;=12,SUMIFS('ON Data'!U:U,'ON Data'!$D:$D,$A$4,'ON Data'!$E:$E,8),SUMIFS('ON Data'!U:U,'ON Data'!$E:$E,8))</f>
        <v>0</v>
      </c>
      <c r="Q17" s="389">
        <f xml:space="preserve">
IF($A$4&lt;=12,SUMIFS('ON Data'!V:V,'ON Data'!$D:$D,$A$4,'ON Data'!$E:$E,8),SUMIFS('ON Data'!V:V,'ON Data'!$E:$E,8))</f>
        <v>0</v>
      </c>
      <c r="R17" s="389">
        <f xml:space="preserve">
IF($A$4&lt;=12,SUMIFS('ON Data'!W:W,'ON Data'!$D:$D,$A$4,'ON Data'!$E:$E,8),SUMIFS('ON Data'!W:W,'ON Data'!$E:$E,8))</f>
        <v>0</v>
      </c>
      <c r="S17" s="389">
        <f xml:space="preserve">
IF($A$4&lt;=12,SUMIFS('ON Data'!X:X,'ON Data'!$D:$D,$A$4,'ON Data'!$E:$E,8),SUMIFS('ON Data'!X:X,'ON Data'!$E:$E,8))</f>
        <v>0</v>
      </c>
      <c r="T17" s="389">
        <f xml:space="preserve">
IF($A$4&lt;=12,SUMIFS('ON Data'!Y:Y,'ON Data'!$D:$D,$A$4,'ON Data'!$E:$E,8),SUMIFS('ON Data'!Y:Y,'ON Data'!$E:$E,8))</f>
        <v>0</v>
      </c>
      <c r="U17" s="389">
        <f xml:space="preserve">
IF($A$4&lt;=12,SUMIFS('ON Data'!Z:Z,'ON Data'!$D:$D,$A$4,'ON Data'!$E:$E,8),SUMIFS('ON Data'!Z:Z,'ON Data'!$E:$E,8))</f>
        <v>0</v>
      </c>
      <c r="V17" s="389">
        <f xml:space="preserve">
IF($A$4&lt;=12,SUMIFS('ON Data'!AA:AA,'ON Data'!$D:$D,$A$4,'ON Data'!$E:$E,8),SUMIFS('ON Data'!AA:AA,'ON Data'!$E:$E,8))</f>
        <v>0</v>
      </c>
      <c r="W17" s="389">
        <f xml:space="preserve">
IF($A$4&lt;=12,SUMIFS('ON Data'!AB:AB,'ON Data'!$D:$D,$A$4,'ON Data'!$E:$E,8),SUMIFS('ON Data'!AB:AB,'ON Data'!$E:$E,8))</f>
        <v>0</v>
      </c>
      <c r="X17" s="389">
        <f xml:space="preserve">
IF($A$4&lt;=12,SUMIFS('ON Data'!AC:AC,'ON Data'!$D:$D,$A$4,'ON Data'!$E:$E,8),SUMIFS('ON Data'!AC:AC,'ON Data'!$E:$E,8))</f>
        <v>0</v>
      </c>
      <c r="Y17" s="389">
        <f xml:space="preserve">
IF($A$4&lt;=12,SUMIFS('ON Data'!AD:AD,'ON Data'!$D:$D,$A$4,'ON Data'!$E:$E,8),SUMIFS('ON Data'!AD:AD,'ON Data'!$E:$E,8))</f>
        <v>0</v>
      </c>
      <c r="Z17" s="389">
        <f xml:space="preserve">
IF($A$4&lt;=12,SUMIFS('ON Data'!AE:AE,'ON Data'!$D:$D,$A$4,'ON Data'!$E:$E,8),SUMIFS('ON Data'!AE:AE,'ON Data'!$E:$E,8))</f>
        <v>0</v>
      </c>
      <c r="AA17" s="389">
        <f xml:space="preserve">
IF($A$4&lt;=12,SUMIFS('ON Data'!AF:AF,'ON Data'!$D:$D,$A$4,'ON Data'!$E:$E,8),SUMIFS('ON Data'!AF:AF,'ON Data'!$E:$E,8))</f>
        <v>0</v>
      </c>
      <c r="AB17" s="389">
        <f xml:space="preserve">
IF($A$4&lt;=12,SUMIFS('ON Data'!AG:AG,'ON Data'!$D:$D,$A$4,'ON Data'!$E:$E,8),SUMIFS('ON Data'!AG:AG,'ON Data'!$E:$E,8))</f>
        <v>0</v>
      </c>
      <c r="AC17" s="389">
        <f xml:space="preserve">
IF($A$4&lt;=12,SUMIFS('ON Data'!AH:AH,'ON Data'!$D:$D,$A$4,'ON Data'!$E:$E,8),SUMIFS('ON Data'!AH:AH,'ON Data'!$E:$E,8))</f>
        <v>0</v>
      </c>
      <c r="AD17" s="389">
        <f xml:space="preserve">
IF($A$4&lt;=12,SUMIFS('ON Data'!AI:AI,'ON Data'!$D:$D,$A$4,'ON Data'!$E:$E,8),SUMIFS('ON Data'!AI:AI,'ON Data'!$E:$E,8))</f>
        <v>0</v>
      </c>
      <c r="AE17" s="389">
        <f xml:space="preserve">
IF($A$4&lt;=12,SUMIFS('ON Data'!AJ:AJ,'ON Data'!$D:$D,$A$4,'ON Data'!$E:$E,8),SUMIFS('ON Data'!AJ:AJ,'ON Data'!$E:$E,8))</f>
        <v>0</v>
      </c>
      <c r="AF17" s="389">
        <f xml:space="preserve">
IF($A$4&lt;=12,SUMIFS('ON Data'!AK:AK,'ON Data'!$D:$D,$A$4,'ON Data'!$E:$E,8),SUMIFS('ON Data'!AK:AK,'ON Data'!$E:$E,8))</f>
        <v>0</v>
      </c>
      <c r="AG17" s="389">
        <f xml:space="preserve">
IF($A$4&lt;=12,SUMIFS('ON Data'!AL:AL,'ON Data'!$D:$D,$A$4,'ON Data'!$E:$E,8),SUMIFS('ON Data'!AL:AL,'ON Data'!$E:$E,8))</f>
        <v>0</v>
      </c>
      <c r="AH17" s="679">
        <f xml:space="preserve">
IF($A$4&lt;=12,SUMIFS('ON Data'!AN:AN,'ON Data'!$D:$D,$A$4,'ON Data'!$E:$E,8),SUMIFS('ON Data'!AN:AN,'ON Data'!$E:$E,8))</f>
        <v>0</v>
      </c>
      <c r="AI17" s="689"/>
    </row>
    <row r="18" spans="1:35" x14ac:dyDescent="0.3">
      <c r="A18" s="372" t="s">
        <v>217</v>
      </c>
      <c r="B18" s="387">
        <f xml:space="preserve">
B19-B16-B17</f>
        <v>1004852</v>
      </c>
      <c r="C18" s="388">
        <f t="shared" ref="C18:G18" si="0" xml:space="preserve">
C19-C16-C17</f>
        <v>0</v>
      </c>
      <c r="D18" s="389">
        <f t="shared" si="0"/>
        <v>188469</v>
      </c>
      <c r="E18" s="389">
        <f t="shared" si="0"/>
        <v>0</v>
      </c>
      <c r="F18" s="389">
        <f t="shared" si="0"/>
        <v>766808</v>
      </c>
      <c r="G18" s="389">
        <f t="shared" si="0"/>
        <v>10825</v>
      </c>
      <c r="H18" s="389">
        <f t="shared" ref="H18:AH18" si="1" xml:space="preserve">
H19-H16-H17</f>
        <v>0</v>
      </c>
      <c r="I18" s="389">
        <f t="shared" si="1"/>
        <v>0</v>
      </c>
      <c r="J18" s="389">
        <f t="shared" si="1"/>
        <v>0</v>
      </c>
      <c r="K18" s="389">
        <f t="shared" si="1"/>
        <v>0</v>
      </c>
      <c r="L18" s="389">
        <f t="shared" si="1"/>
        <v>0</v>
      </c>
      <c r="M18" s="389">
        <f t="shared" si="1"/>
        <v>0</v>
      </c>
      <c r="N18" s="389">
        <f t="shared" si="1"/>
        <v>0</v>
      </c>
      <c r="O18" s="389">
        <f t="shared" si="1"/>
        <v>0</v>
      </c>
      <c r="P18" s="389">
        <f t="shared" si="1"/>
        <v>0</v>
      </c>
      <c r="Q18" s="389">
        <f t="shared" si="1"/>
        <v>0</v>
      </c>
      <c r="R18" s="389">
        <f t="shared" si="1"/>
        <v>0</v>
      </c>
      <c r="S18" s="389">
        <f t="shared" si="1"/>
        <v>0</v>
      </c>
      <c r="T18" s="389">
        <f t="shared" si="1"/>
        <v>0</v>
      </c>
      <c r="U18" s="389">
        <f t="shared" si="1"/>
        <v>0</v>
      </c>
      <c r="V18" s="389">
        <f t="shared" si="1"/>
        <v>0</v>
      </c>
      <c r="W18" s="389">
        <f t="shared" si="1"/>
        <v>0</v>
      </c>
      <c r="X18" s="389">
        <f t="shared" si="1"/>
        <v>0</v>
      </c>
      <c r="Y18" s="389">
        <f t="shared" si="1"/>
        <v>0</v>
      </c>
      <c r="Z18" s="389">
        <f t="shared" si="1"/>
        <v>0</v>
      </c>
      <c r="AA18" s="389">
        <f t="shared" si="1"/>
        <v>0</v>
      </c>
      <c r="AB18" s="389">
        <f t="shared" si="1"/>
        <v>0</v>
      </c>
      <c r="AC18" s="389">
        <f t="shared" si="1"/>
        <v>0</v>
      </c>
      <c r="AD18" s="389">
        <f t="shared" si="1"/>
        <v>30104</v>
      </c>
      <c r="AE18" s="389">
        <f t="shared" si="1"/>
        <v>0</v>
      </c>
      <c r="AF18" s="389">
        <f t="shared" si="1"/>
        <v>0</v>
      </c>
      <c r="AG18" s="389">
        <f t="shared" si="1"/>
        <v>0</v>
      </c>
      <c r="AH18" s="679">
        <f t="shared" si="1"/>
        <v>8646</v>
      </c>
      <c r="AI18" s="689"/>
    </row>
    <row r="19" spans="1:35" ht="15" thickBot="1" x14ac:dyDescent="0.35">
      <c r="A19" s="373" t="s">
        <v>218</v>
      </c>
      <c r="B19" s="396">
        <f xml:space="preserve">
IF($A$4&lt;=12,SUMIFS('ON Data'!F:F,'ON Data'!$D:$D,$A$4,'ON Data'!$E:$E,9),SUMIFS('ON Data'!F:F,'ON Data'!$E:$E,9))</f>
        <v>1004852</v>
      </c>
      <c r="C19" s="397">
        <f xml:space="preserve">
IF($A$4&lt;=12,SUMIFS('ON Data'!G:G,'ON Data'!$D:$D,$A$4,'ON Data'!$E:$E,9),SUMIFS('ON Data'!G:G,'ON Data'!$E:$E,9))</f>
        <v>0</v>
      </c>
      <c r="D19" s="398">
        <f xml:space="preserve">
IF($A$4&lt;=12,SUMIFS('ON Data'!H:H,'ON Data'!$D:$D,$A$4,'ON Data'!$E:$E,9),SUMIFS('ON Data'!H:H,'ON Data'!$E:$E,9))</f>
        <v>188469</v>
      </c>
      <c r="E19" s="398">
        <f xml:space="preserve">
IF($A$4&lt;=12,SUMIFS('ON Data'!I:I,'ON Data'!$D:$D,$A$4,'ON Data'!$E:$E,9),SUMIFS('ON Data'!I:I,'ON Data'!$E:$E,9))</f>
        <v>0</v>
      </c>
      <c r="F19" s="398">
        <f xml:space="preserve">
IF($A$4&lt;=12,SUMIFS('ON Data'!K:K,'ON Data'!$D:$D,$A$4,'ON Data'!$E:$E,9),SUMIFS('ON Data'!K:K,'ON Data'!$E:$E,9))</f>
        <v>766808</v>
      </c>
      <c r="G19" s="398">
        <f xml:space="preserve">
IF($A$4&lt;=12,SUMIFS('ON Data'!L:L,'ON Data'!$D:$D,$A$4,'ON Data'!$E:$E,9),SUMIFS('ON Data'!L:L,'ON Data'!$E:$E,9))</f>
        <v>10825</v>
      </c>
      <c r="H19" s="398">
        <f xml:space="preserve">
IF($A$4&lt;=12,SUMIFS('ON Data'!M:M,'ON Data'!$D:$D,$A$4,'ON Data'!$E:$E,9),SUMIFS('ON Data'!M:M,'ON Data'!$E:$E,9))</f>
        <v>0</v>
      </c>
      <c r="I19" s="398">
        <f xml:space="preserve">
IF($A$4&lt;=12,SUMIFS('ON Data'!N:N,'ON Data'!$D:$D,$A$4,'ON Data'!$E:$E,9),SUMIFS('ON Data'!N:N,'ON Data'!$E:$E,9))</f>
        <v>0</v>
      </c>
      <c r="J19" s="398">
        <f xml:space="preserve">
IF($A$4&lt;=12,SUMIFS('ON Data'!O:O,'ON Data'!$D:$D,$A$4,'ON Data'!$E:$E,9),SUMIFS('ON Data'!O:O,'ON Data'!$E:$E,9))</f>
        <v>0</v>
      </c>
      <c r="K19" s="398">
        <f xml:space="preserve">
IF($A$4&lt;=12,SUMIFS('ON Data'!P:P,'ON Data'!$D:$D,$A$4,'ON Data'!$E:$E,9),SUMIFS('ON Data'!P:P,'ON Data'!$E:$E,9))</f>
        <v>0</v>
      </c>
      <c r="L19" s="398">
        <f xml:space="preserve">
IF($A$4&lt;=12,SUMIFS('ON Data'!Q:Q,'ON Data'!$D:$D,$A$4,'ON Data'!$E:$E,9),SUMIFS('ON Data'!Q:Q,'ON Data'!$E:$E,9))</f>
        <v>0</v>
      </c>
      <c r="M19" s="398">
        <f xml:space="preserve">
IF($A$4&lt;=12,SUMIFS('ON Data'!R:R,'ON Data'!$D:$D,$A$4,'ON Data'!$E:$E,9),SUMIFS('ON Data'!R:R,'ON Data'!$E:$E,9))</f>
        <v>0</v>
      </c>
      <c r="N19" s="398">
        <f xml:space="preserve">
IF($A$4&lt;=12,SUMIFS('ON Data'!S:S,'ON Data'!$D:$D,$A$4,'ON Data'!$E:$E,9),SUMIFS('ON Data'!S:S,'ON Data'!$E:$E,9))</f>
        <v>0</v>
      </c>
      <c r="O19" s="398">
        <f xml:space="preserve">
IF($A$4&lt;=12,SUMIFS('ON Data'!T:T,'ON Data'!$D:$D,$A$4,'ON Data'!$E:$E,9),SUMIFS('ON Data'!T:T,'ON Data'!$E:$E,9))</f>
        <v>0</v>
      </c>
      <c r="P19" s="398">
        <f xml:space="preserve">
IF($A$4&lt;=12,SUMIFS('ON Data'!U:U,'ON Data'!$D:$D,$A$4,'ON Data'!$E:$E,9),SUMIFS('ON Data'!U:U,'ON Data'!$E:$E,9))</f>
        <v>0</v>
      </c>
      <c r="Q19" s="398">
        <f xml:space="preserve">
IF($A$4&lt;=12,SUMIFS('ON Data'!V:V,'ON Data'!$D:$D,$A$4,'ON Data'!$E:$E,9),SUMIFS('ON Data'!V:V,'ON Data'!$E:$E,9))</f>
        <v>0</v>
      </c>
      <c r="R19" s="398">
        <f xml:space="preserve">
IF($A$4&lt;=12,SUMIFS('ON Data'!W:W,'ON Data'!$D:$D,$A$4,'ON Data'!$E:$E,9),SUMIFS('ON Data'!W:W,'ON Data'!$E:$E,9))</f>
        <v>0</v>
      </c>
      <c r="S19" s="398">
        <f xml:space="preserve">
IF($A$4&lt;=12,SUMIFS('ON Data'!X:X,'ON Data'!$D:$D,$A$4,'ON Data'!$E:$E,9),SUMIFS('ON Data'!X:X,'ON Data'!$E:$E,9))</f>
        <v>0</v>
      </c>
      <c r="T19" s="398">
        <f xml:space="preserve">
IF($A$4&lt;=12,SUMIFS('ON Data'!Y:Y,'ON Data'!$D:$D,$A$4,'ON Data'!$E:$E,9),SUMIFS('ON Data'!Y:Y,'ON Data'!$E:$E,9))</f>
        <v>0</v>
      </c>
      <c r="U19" s="398">
        <f xml:space="preserve">
IF($A$4&lt;=12,SUMIFS('ON Data'!Z:Z,'ON Data'!$D:$D,$A$4,'ON Data'!$E:$E,9),SUMIFS('ON Data'!Z:Z,'ON Data'!$E:$E,9))</f>
        <v>0</v>
      </c>
      <c r="V19" s="398">
        <f xml:space="preserve">
IF($A$4&lt;=12,SUMIFS('ON Data'!AA:AA,'ON Data'!$D:$D,$A$4,'ON Data'!$E:$E,9),SUMIFS('ON Data'!AA:AA,'ON Data'!$E:$E,9))</f>
        <v>0</v>
      </c>
      <c r="W19" s="398">
        <f xml:space="preserve">
IF($A$4&lt;=12,SUMIFS('ON Data'!AB:AB,'ON Data'!$D:$D,$A$4,'ON Data'!$E:$E,9),SUMIFS('ON Data'!AB:AB,'ON Data'!$E:$E,9))</f>
        <v>0</v>
      </c>
      <c r="X19" s="398">
        <f xml:space="preserve">
IF($A$4&lt;=12,SUMIFS('ON Data'!AC:AC,'ON Data'!$D:$D,$A$4,'ON Data'!$E:$E,9),SUMIFS('ON Data'!AC:AC,'ON Data'!$E:$E,9))</f>
        <v>0</v>
      </c>
      <c r="Y19" s="398">
        <f xml:space="preserve">
IF($A$4&lt;=12,SUMIFS('ON Data'!AD:AD,'ON Data'!$D:$D,$A$4,'ON Data'!$E:$E,9),SUMIFS('ON Data'!AD:AD,'ON Data'!$E:$E,9))</f>
        <v>0</v>
      </c>
      <c r="Z19" s="398">
        <f xml:space="preserve">
IF($A$4&lt;=12,SUMIFS('ON Data'!AE:AE,'ON Data'!$D:$D,$A$4,'ON Data'!$E:$E,9),SUMIFS('ON Data'!AE:AE,'ON Data'!$E:$E,9))</f>
        <v>0</v>
      </c>
      <c r="AA19" s="398">
        <f xml:space="preserve">
IF($A$4&lt;=12,SUMIFS('ON Data'!AF:AF,'ON Data'!$D:$D,$A$4,'ON Data'!$E:$E,9),SUMIFS('ON Data'!AF:AF,'ON Data'!$E:$E,9))</f>
        <v>0</v>
      </c>
      <c r="AB19" s="398">
        <f xml:space="preserve">
IF($A$4&lt;=12,SUMIFS('ON Data'!AG:AG,'ON Data'!$D:$D,$A$4,'ON Data'!$E:$E,9),SUMIFS('ON Data'!AG:AG,'ON Data'!$E:$E,9))</f>
        <v>0</v>
      </c>
      <c r="AC19" s="398">
        <f xml:space="preserve">
IF($A$4&lt;=12,SUMIFS('ON Data'!AH:AH,'ON Data'!$D:$D,$A$4,'ON Data'!$E:$E,9),SUMIFS('ON Data'!AH:AH,'ON Data'!$E:$E,9))</f>
        <v>0</v>
      </c>
      <c r="AD19" s="398">
        <f xml:space="preserve">
IF($A$4&lt;=12,SUMIFS('ON Data'!AI:AI,'ON Data'!$D:$D,$A$4,'ON Data'!$E:$E,9),SUMIFS('ON Data'!AI:AI,'ON Data'!$E:$E,9))</f>
        <v>30104</v>
      </c>
      <c r="AE19" s="398">
        <f xml:space="preserve">
IF($A$4&lt;=12,SUMIFS('ON Data'!AJ:AJ,'ON Data'!$D:$D,$A$4,'ON Data'!$E:$E,9),SUMIFS('ON Data'!AJ:AJ,'ON Data'!$E:$E,9))</f>
        <v>0</v>
      </c>
      <c r="AF19" s="398">
        <f xml:space="preserve">
IF($A$4&lt;=12,SUMIFS('ON Data'!AK:AK,'ON Data'!$D:$D,$A$4,'ON Data'!$E:$E,9),SUMIFS('ON Data'!AK:AK,'ON Data'!$E:$E,9))</f>
        <v>0</v>
      </c>
      <c r="AG19" s="398">
        <f xml:space="preserve">
IF($A$4&lt;=12,SUMIFS('ON Data'!AL:AL,'ON Data'!$D:$D,$A$4,'ON Data'!$E:$E,9),SUMIFS('ON Data'!AL:AL,'ON Data'!$E:$E,9))</f>
        <v>0</v>
      </c>
      <c r="AH19" s="682">
        <f xml:space="preserve">
IF($A$4&lt;=12,SUMIFS('ON Data'!AN:AN,'ON Data'!$D:$D,$A$4,'ON Data'!$E:$E,9),SUMIFS('ON Data'!AN:AN,'ON Data'!$E:$E,9))</f>
        <v>8646</v>
      </c>
      <c r="AI19" s="689"/>
    </row>
    <row r="20" spans="1:35" ht="15" collapsed="1" thickBot="1" x14ac:dyDescent="0.35">
      <c r="A20" s="374" t="s">
        <v>81</v>
      </c>
      <c r="B20" s="399">
        <f xml:space="preserve">
IF($A$4&lt;=12,SUMIFS('ON Data'!F:F,'ON Data'!$D:$D,$A$4,'ON Data'!$E:$E,6),SUMIFS('ON Data'!F:F,'ON Data'!$E:$E,6))</f>
        <v>19494639</v>
      </c>
      <c r="C20" s="400">
        <f xml:space="preserve">
IF($A$4&lt;=12,SUMIFS('ON Data'!G:G,'ON Data'!$D:$D,$A$4,'ON Data'!$E:$E,6),SUMIFS('ON Data'!G:G,'ON Data'!$E:$E,6))</f>
        <v>188250</v>
      </c>
      <c r="D20" s="401">
        <f xml:space="preserve">
IF($A$4&lt;=12,SUMIFS('ON Data'!H:H,'ON Data'!$D:$D,$A$4,'ON Data'!$E:$E,6),SUMIFS('ON Data'!H:H,'ON Data'!$E:$E,6))</f>
        <v>5466651</v>
      </c>
      <c r="E20" s="401">
        <f xml:space="preserve">
IF($A$4&lt;=12,SUMIFS('ON Data'!I:I,'ON Data'!$D:$D,$A$4,'ON Data'!$E:$E,6),SUMIFS('ON Data'!I:I,'ON Data'!$E:$E,6))</f>
        <v>0</v>
      </c>
      <c r="F20" s="401">
        <f xml:space="preserve">
IF($A$4&lt;=12,SUMIFS('ON Data'!K:K,'ON Data'!$D:$D,$A$4,'ON Data'!$E:$E,6),SUMIFS('ON Data'!K:K,'ON Data'!$E:$E,6))</f>
        <v>13075060</v>
      </c>
      <c r="G20" s="401">
        <f xml:space="preserve">
IF($A$4&lt;=12,SUMIFS('ON Data'!L:L,'ON Data'!$D:$D,$A$4,'ON Data'!$E:$E,6),SUMIFS('ON Data'!L:L,'ON Data'!$E:$E,6))</f>
        <v>176664</v>
      </c>
      <c r="H20" s="401">
        <f xml:space="preserve">
IF($A$4&lt;=12,SUMIFS('ON Data'!M:M,'ON Data'!$D:$D,$A$4,'ON Data'!$E:$E,6),SUMIFS('ON Data'!M:M,'ON Data'!$E:$E,6))</f>
        <v>0</v>
      </c>
      <c r="I20" s="401">
        <f xml:space="preserve">
IF($A$4&lt;=12,SUMIFS('ON Data'!N:N,'ON Data'!$D:$D,$A$4,'ON Data'!$E:$E,6),SUMIFS('ON Data'!N:N,'ON Data'!$E:$E,6))</f>
        <v>0</v>
      </c>
      <c r="J20" s="401">
        <f xml:space="preserve">
IF($A$4&lt;=12,SUMIFS('ON Data'!O:O,'ON Data'!$D:$D,$A$4,'ON Data'!$E:$E,6),SUMIFS('ON Data'!O:O,'ON Data'!$E:$E,6))</f>
        <v>0</v>
      </c>
      <c r="K20" s="401">
        <f xml:space="preserve">
IF($A$4&lt;=12,SUMIFS('ON Data'!P:P,'ON Data'!$D:$D,$A$4,'ON Data'!$E:$E,6),SUMIFS('ON Data'!P:P,'ON Data'!$E:$E,6))</f>
        <v>0</v>
      </c>
      <c r="L20" s="401">
        <f xml:space="preserve">
IF($A$4&lt;=12,SUMIFS('ON Data'!Q:Q,'ON Data'!$D:$D,$A$4,'ON Data'!$E:$E,6),SUMIFS('ON Data'!Q:Q,'ON Data'!$E:$E,6))</f>
        <v>0</v>
      </c>
      <c r="M20" s="401">
        <f xml:space="preserve">
IF($A$4&lt;=12,SUMIFS('ON Data'!R:R,'ON Data'!$D:$D,$A$4,'ON Data'!$E:$E,6),SUMIFS('ON Data'!R:R,'ON Data'!$E:$E,6))</f>
        <v>0</v>
      </c>
      <c r="N20" s="401">
        <f xml:space="preserve">
IF($A$4&lt;=12,SUMIFS('ON Data'!S:S,'ON Data'!$D:$D,$A$4,'ON Data'!$E:$E,6),SUMIFS('ON Data'!S:S,'ON Data'!$E:$E,6))</f>
        <v>0</v>
      </c>
      <c r="O20" s="401">
        <f xml:space="preserve">
IF($A$4&lt;=12,SUMIFS('ON Data'!T:T,'ON Data'!$D:$D,$A$4,'ON Data'!$E:$E,6),SUMIFS('ON Data'!T:T,'ON Data'!$E:$E,6))</f>
        <v>0</v>
      </c>
      <c r="P20" s="401">
        <f xml:space="preserve">
IF($A$4&lt;=12,SUMIFS('ON Data'!U:U,'ON Data'!$D:$D,$A$4,'ON Data'!$E:$E,6),SUMIFS('ON Data'!U:U,'ON Data'!$E:$E,6))</f>
        <v>0</v>
      </c>
      <c r="Q20" s="401">
        <f xml:space="preserve">
IF($A$4&lt;=12,SUMIFS('ON Data'!V:V,'ON Data'!$D:$D,$A$4,'ON Data'!$E:$E,6),SUMIFS('ON Data'!V:V,'ON Data'!$E:$E,6))</f>
        <v>0</v>
      </c>
      <c r="R20" s="401">
        <f xml:space="preserve">
IF($A$4&lt;=12,SUMIFS('ON Data'!W:W,'ON Data'!$D:$D,$A$4,'ON Data'!$E:$E,6),SUMIFS('ON Data'!W:W,'ON Data'!$E:$E,6))</f>
        <v>0</v>
      </c>
      <c r="S20" s="401">
        <f xml:space="preserve">
IF($A$4&lt;=12,SUMIFS('ON Data'!X:X,'ON Data'!$D:$D,$A$4,'ON Data'!$E:$E,6),SUMIFS('ON Data'!X:X,'ON Data'!$E:$E,6))</f>
        <v>0</v>
      </c>
      <c r="T20" s="401">
        <f xml:space="preserve">
IF($A$4&lt;=12,SUMIFS('ON Data'!Y:Y,'ON Data'!$D:$D,$A$4,'ON Data'!$E:$E,6),SUMIFS('ON Data'!Y:Y,'ON Data'!$E:$E,6))</f>
        <v>0</v>
      </c>
      <c r="U20" s="401">
        <f xml:space="preserve">
IF($A$4&lt;=12,SUMIFS('ON Data'!Z:Z,'ON Data'!$D:$D,$A$4,'ON Data'!$E:$E,6),SUMIFS('ON Data'!Z:Z,'ON Data'!$E:$E,6))</f>
        <v>0</v>
      </c>
      <c r="V20" s="401">
        <f xml:space="preserve">
IF($A$4&lt;=12,SUMIFS('ON Data'!AA:AA,'ON Data'!$D:$D,$A$4,'ON Data'!$E:$E,6),SUMIFS('ON Data'!AA:AA,'ON Data'!$E:$E,6))</f>
        <v>0</v>
      </c>
      <c r="W20" s="401">
        <f xml:space="preserve">
IF($A$4&lt;=12,SUMIFS('ON Data'!AB:AB,'ON Data'!$D:$D,$A$4,'ON Data'!$E:$E,6),SUMIFS('ON Data'!AB:AB,'ON Data'!$E:$E,6))</f>
        <v>0</v>
      </c>
      <c r="X20" s="401">
        <f xml:space="preserve">
IF($A$4&lt;=12,SUMIFS('ON Data'!AC:AC,'ON Data'!$D:$D,$A$4,'ON Data'!$E:$E,6),SUMIFS('ON Data'!AC:AC,'ON Data'!$E:$E,6))</f>
        <v>0</v>
      </c>
      <c r="Y20" s="401">
        <f xml:space="preserve">
IF($A$4&lt;=12,SUMIFS('ON Data'!AD:AD,'ON Data'!$D:$D,$A$4,'ON Data'!$E:$E,6),SUMIFS('ON Data'!AD:AD,'ON Data'!$E:$E,6))</f>
        <v>0</v>
      </c>
      <c r="Z20" s="401">
        <f xml:space="preserve">
IF($A$4&lt;=12,SUMIFS('ON Data'!AE:AE,'ON Data'!$D:$D,$A$4,'ON Data'!$E:$E,6),SUMIFS('ON Data'!AE:AE,'ON Data'!$E:$E,6))</f>
        <v>0</v>
      </c>
      <c r="AA20" s="401">
        <f xml:space="preserve">
IF($A$4&lt;=12,SUMIFS('ON Data'!AF:AF,'ON Data'!$D:$D,$A$4,'ON Data'!$E:$E,6),SUMIFS('ON Data'!AF:AF,'ON Data'!$E:$E,6))</f>
        <v>0</v>
      </c>
      <c r="AB20" s="401">
        <f xml:space="preserve">
IF($A$4&lt;=12,SUMIFS('ON Data'!AG:AG,'ON Data'!$D:$D,$A$4,'ON Data'!$E:$E,6),SUMIFS('ON Data'!AG:AG,'ON Data'!$E:$E,6))</f>
        <v>0</v>
      </c>
      <c r="AC20" s="401">
        <f xml:space="preserve">
IF($A$4&lt;=12,SUMIFS('ON Data'!AH:AH,'ON Data'!$D:$D,$A$4,'ON Data'!$E:$E,6),SUMIFS('ON Data'!AH:AH,'ON Data'!$E:$E,6))</f>
        <v>0</v>
      </c>
      <c r="AD20" s="401">
        <f xml:space="preserve">
IF($A$4&lt;=12,SUMIFS('ON Data'!AI:AI,'ON Data'!$D:$D,$A$4,'ON Data'!$E:$E,6),SUMIFS('ON Data'!AI:AI,'ON Data'!$E:$E,6))</f>
        <v>419523</v>
      </c>
      <c r="AE20" s="401">
        <f xml:space="preserve">
IF($A$4&lt;=12,SUMIFS('ON Data'!AJ:AJ,'ON Data'!$D:$D,$A$4,'ON Data'!$E:$E,6),SUMIFS('ON Data'!AJ:AJ,'ON Data'!$E:$E,6))</f>
        <v>0</v>
      </c>
      <c r="AF20" s="401">
        <f xml:space="preserve">
IF($A$4&lt;=12,SUMIFS('ON Data'!AK:AK,'ON Data'!$D:$D,$A$4,'ON Data'!$E:$E,6),SUMIFS('ON Data'!AK:AK,'ON Data'!$E:$E,6))</f>
        <v>0</v>
      </c>
      <c r="AG20" s="401">
        <f xml:space="preserve">
IF($A$4&lt;=12,SUMIFS('ON Data'!AL:AL,'ON Data'!$D:$D,$A$4,'ON Data'!$E:$E,6),SUMIFS('ON Data'!AL:AL,'ON Data'!$E:$E,6))</f>
        <v>0</v>
      </c>
      <c r="AH20" s="683">
        <f xml:space="preserve">
IF($A$4&lt;=12,SUMIFS('ON Data'!AN:AN,'ON Data'!$D:$D,$A$4,'ON Data'!$E:$E,6),SUMIFS('ON Data'!AN:AN,'ON Data'!$E:$E,6))</f>
        <v>168491</v>
      </c>
      <c r="AI20" s="689"/>
    </row>
    <row r="21" spans="1:35" ht="15" hidden="1" outlineLevel="1" thickBot="1" x14ac:dyDescent="0.35">
      <c r="A21" s="367" t="s">
        <v>118</v>
      </c>
      <c r="B21" s="387">
        <f xml:space="preserve">
IF($A$4&lt;=12,SUMIFS('ON Data'!F:F,'ON Data'!$D:$D,$A$4,'ON Data'!$E:$E,12),SUMIFS('ON Data'!F:F,'ON Data'!$E:$E,12))</f>
        <v>0</v>
      </c>
      <c r="C21" s="388">
        <f xml:space="preserve">
IF($A$4&lt;=12,SUMIFS('ON Data'!G:G,'ON Data'!$D:$D,$A$4,'ON Data'!$E:$E,12),SUMIFS('ON Data'!G:G,'ON Data'!$E:$E,12))</f>
        <v>0</v>
      </c>
      <c r="D21" s="389">
        <f xml:space="preserve">
IF($A$4&lt;=12,SUMIFS('ON Data'!H:H,'ON Data'!$D:$D,$A$4,'ON Data'!$E:$E,12),SUMIFS('ON Data'!H:H,'ON Data'!$E:$E,12))</f>
        <v>0</v>
      </c>
      <c r="E21" s="389">
        <f xml:space="preserve">
IF($A$4&lt;=12,SUMIFS('ON Data'!I:I,'ON Data'!$D:$D,$A$4,'ON Data'!$E:$E,12),SUMIFS('ON Data'!I:I,'ON Data'!$E:$E,12))</f>
        <v>0</v>
      </c>
      <c r="F21" s="389">
        <f xml:space="preserve">
IF($A$4&lt;=12,SUMIFS('ON Data'!K:K,'ON Data'!$D:$D,$A$4,'ON Data'!$E:$E,12),SUMIFS('ON Data'!K:K,'ON Data'!$E:$E,12))</f>
        <v>0</v>
      </c>
      <c r="G21" s="389">
        <f xml:space="preserve">
IF($A$4&lt;=12,SUMIFS('ON Data'!L:L,'ON Data'!$D:$D,$A$4,'ON Data'!$E:$E,12),SUMIFS('ON Data'!L:L,'ON Data'!$E:$E,12))</f>
        <v>0</v>
      </c>
      <c r="H21" s="389">
        <f xml:space="preserve">
IF($A$4&lt;=12,SUMIFS('ON Data'!M:M,'ON Data'!$D:$D,$A$4,'ON Data'!$E:$E,12),SUMIFS('ON Data'!M:M,'ON Data'!$E:$E,12))</f>
        <v>0</v>
      </c>
      <c r="I21" s="389">
        <f xml:space="preserve">
IF($A$4&lt;=12,SUMIFS('ON Data'!N:N,'ON Data'!$D:$D,$A$4,'ON Data'!$E:$E,12),SUMIFS('ON Data'!N:N,'ON Data'!$E:$E,12))</f>
        <v>0</v>
      </c>
      <c r="J21" s="389">
        <f xml:space="preserve">
IF($A$4&lt;=12,SUMIFS('ON Data'!O:O,'ON Data'!$D:$D,$A$4,'ON Data'!$E:$E,12),SUMIFS('ON Data'!O:O,'ON Data'!$E:$E,12))</f>
        <v>0</v>
      </c>
      <c r="K21" s="389">
        <f xml:space="preserve">
IF($A$4&lt;=12,SUMIFS('ON Data'!P:P,'ON Data'!$D:$D,$A$4,'ON Data'!$E:$E,12),SUMIFS('ON Data'!P:P,'ON Data'!$E:$E,12))</f>
        <v>0</v>
      </c>
      <c r="L21" s="389">
        <f xml:space="preserve">
IF($A$4&lt;=12,SUMIFS('ON Data'!Q:Q,'ON Data'!$D:$D,$A$4,'ON Data'!$E:$E,12),SUMIFS('ON Data'!Q:Q,'ON Data'!$E:$E,12))</f>
        <v>0</v>
      </c>
      <c r="M21" s="389">
        <f xml:space="preserve">
IF($A$4&lt;=12,SUMIFS('ON Data'!R:R,'ON Data'!$D:$D,$A$4,'ON Data'!$E:$E,12),SUMIFS('ON Data'!R:R,'ON Data'!$E:$E,12))</f>
        <v>0</v>
      </c>
      <c r="N21" s="389">
        <f xml:space="preserve">
IF($A$4&lt;=12,SUMIFS('ON Data'!S:S,'ON Data'!$D:$D,$A$4,'ON Data'!$E:$E,12),SUMIFS('ON Data'!S:S,'ON Data'!$E:$E,12))</f>
        <v>0</v>
      </c>
      <c r="O21" s="389">
        <f xml:space="preserve">
IF($A$4&lt;=12,SUMIFS('ON Data'!T:T,'ON Data'!$D:$D,$A$4,'ON Data'!$E:$E,12),SUMIFS('ON Data'!T:T,'ON Data'!$E:$E,12))</f>
        <v>0</v>
      </c>
      <c r="P21" s="389">
        <f xml:space="preserve">
IF($A$4&lt;=12,SUMIFS('ON Data'!U:U,'ON Data'!$D:$D,$A$4,'ON Data'!$E:$E,12),SUMIFS('ON Data'!U:U,'ON Data'!$E:$E,12))</f>
        <v>0</v>
      </c>
      <c r="Q21" s="389">
        <f xml:space="preserve">
IF($A$4&lt;=12,SUMIFS('ON Data'!V:V,'ON Data'!$D:$D,$A$4,'ON Data'!$E:$E,12),SUMIFS('ON Data'!V:V,'ON Data'!$E:$E,12))</f>
        <v>0</v>
      </c>
      <c r="R21" s="389">
        <f xml:space="preserve">
IF($A$4&lt;=12,SUMIFS('ON Data'!W:W,'ON Data'!$D:$D,$A$4,'ON Data'!$E:$E,12),SUMIFS('ON Data'!W:W,'ON Data'!$E:$E,12))</f>
        <v>0</v>
      </c>
      <c r="S21" s="389">
        <f xml:space="preserve">
IF($A$4&lt;=12,SUMIFS('ON Data'!X:X,'ON Data'!$D:$D,$A$4,'ON Data'!$E:$E,12),SUMIFS('ON Data'!X:X,'ON Data'!$E:$E,12))</f>
        <v>0</v>
      </c>
      <c r="T21" s="389">
        <f xml:space="preserve">
IF($A$4&lt;=12,SUMIFS('ON Data'!Y:Y,'ON Data'!$D:$D,$A$4,'ON Data'!$E:$E,12),SUMIFS('ON Data'!Y:Y,'ON Data'!$E:$E,12))</f>
        <v>0</v>
      </c>
      <c r="U21" s="389">
        <f xml:space="preserve">
IF($A$4&lt;=12,SUMIFS('ON Data'!Z:Z,'ON Data'!$D:$D,$A$4,'ON Data'!$E:$E,12),SUMIFS('ON Data'!Z:Z,'ON Data'!$E:$E,12))</f>
        <v>0</v>
      </c>
      <c r="V21" s="389">
        <f xml:space="preserve">
IF($A$4&lt;=12,SUMIFS('ON Data'!AA:AA,'ON Data'!$D:$D,$A$4,'ON Data'!$E:$E,12),SUMIFS('ON Data'!AA:AA,'ON Data'!$E:$E,12))</f>
        <v>0</v>
      </c>
      <c r="W21" s="389">
        <f xml:space="preserve">
IF($A$4&lt;=12,SUMIFS('ON Data'!AB:AB,'ON Data'!$D:$D,$A$4,'ON Data'!$E:$E,12),SUMIFS('ON Data'!AB:AB,'ON Data'!$E:$E,12))</f>
        <v>0</v>
      </c>
      <c r="X21" s="389">
        <f xml:space="preserve">
IF($A$4&lt;=12,SUMIFS('ON Data'!AC:AC,'ON Data'!$D:$D,$A$4,'ON Data'!$E:$E,12),SUMIFS('ON Data'!AC:AC,'ON Data'!$E:$E,12))</f>
        <v>0</v>
      </c>
      <c r="Y21" s="389">
        <f xml:space="preserve">
IF($A$4&lt;=12,SUMIFS('ON Data'!AD:AD,'ON Data'!$D:$D,$A$4,'ON Data'!$E:$E,12),SUMIFS('ON Data'!AD:AD,'ON Data'!$E:$E,12))</f>
        <v>0</v>
      </c>
      <c r="Z21" s="389">
        <f xml:space="preserve">
IF($A$4&lt;=12,SUMIFS('ON Data'!AE:AE,'ON Data'!$D:$D,$A$4,'ON Data'!$E:$E,12),SUMIFS('ON Data'!AE:AE,'ON Data'!$E:$E,12))</f>
        <v>0</v>
      </c>
      <c r="AA21" s="389">
        <f xml:space="preserve">
IF($A$4&lt;=12,SUMIFS('ON Data'!AF:AF,'ON Data'!$D:$D,$A$4,'ON Data'!$E:$E,12),SUMIFS('ON Data'!AF:AF,'ON Data'!$E:$E,12))</f>
        <v>0</v>
      </c>
      <c r="AB21" s="389">
        <f xml:space="preserve">
IF($A$4&lt;=12,SUMIFS('ON Data'!AG:AG,'ON Data'!$D:$D,$A$4,'ON Data'!$E:$E,12),SUMIFS('ON Data'!AG:AG,'ON Data'!$E:$E,12))</f>
        <v>0</v>
      </c>
      <c r="AC21" s="389">
        <f xml:space="preserve">
IF($A$4&lt;=12,SUMIFS('ON Data'!AH:AH,'ON Data'!$D:$D,$A$4,'ON Data'!$E:$E,12),SUMIFS('ON Data'!AH:AH,'ON Data'!$E:$E,12))</f>
        <v>0</v>
      </c>
      <c r="AD21" s="389">
        <f xml:space="preserve">
IF($A$4&lt;=12,SUMIFS('ON Data'!AI:AI,'ON Data'!$D:$D,$A$4,'ON Data'!$E:$E,12),SUMIFS('ON Data'!AI:AI,'ON Data'!$E:$E,12))</f>
        <v>0</v>
      </c>
      <c r="AE21" s="389">
        <f xml:space="preserve">
IF($A$4&lt;=12,SUMIFS('ON Data'!AJ:AJ,'ON Data'!$D:$D,$A$4,'ON Data'!$E:$E,12),SUMIFS('ON Data'!AJ:AJ,'ON Data'!$E:$E,12))</f>
        <v>0</v>
      </c>
      <c r="AF21" s="389">
        <f xml:space="preserve">
IF($A$4&lt;=12,SUMIFS('ON Data'!AK:AK,'ON Data'!$D:$D,$A$4,'ON Data'!$E:$E,12),SUMIFS('ON Data'!AK:AK,'ON Data'!$E:$E,12))</f>
        <v>0</v>
      </c>
      <c r="AG21" s="389">
        <f xml:space="preserve">
IF($A$4&lt;=12,SUMIFS('ON Data'!AL:AL,'ON Data'!$D:$D,$A$4,'ON Data'!$E:$E,12),SUMIFS('ON Data'!AL:AL,'ON Data'!$E:$E,12))</f>
        <v>0</v>
      </c>
      <c r="AH21" s="679">
        <f xml:space="preserve">
IF($A$4&lt;=12,SUMIFS('ON Data'!AN:AN,'ON Data'!$D:$D,$A$4,'ON Data'!$E:$E,12),SUMIFS('ON Data'!AN:AN,'ON Data'!$E:$E,12))</f>
        <v>0</v>
      </c>
      <c r="AI21" s="689"/>
    </row>
    <row r="22" spans="1:35" ht="15" hidden="1" outlineLevel="1" thickBot="1" x14ac:dyDescent="0.35">
      <c r="A22" s="367" t="s">
        <v>83</v>
      </c>
      <c r="B22" s="444" t="str">
        <f xml:space="preserve">
IF(OR(B21="",B21=0),"",B20/B21)</f>
        <v/>
      </c>
      <c r="C22" s="445" t="str">
        <f t="shared" ref="C22:G22" si="2" xml:space="preserve">
IF(OR(C21="",C21=0),"",C20/C21)</f>
        <v/>
      </c>
      <c r="D22" s="446" t="str">
        <f t="shared" si="2"/>
        <v/>
      </c>
      <c r="E22" s="446" t="str">
        <f t="shared" si="2"/>
        <v/>
      </c>
      <c r="F22" s="446" t="str">
        <f t="shared" si="2"/>
        <v/>
      </c>
      <c r="G22" s="446" t="str">
        <f t="shared" si="2"/>
        <v/>
      </c>
      <c r="H22" s="446" t="str">
        <f t="shared" ref="H22:AH22" si="3" xml:space="preserve">
IF(OR(H21="",H21=0),"",H20/H21)</f>
        <v/>
      </c>
      <c r="I22" s="446" t="str">
        <f t="shared" si="3"/>
        <v/>
      </c>
      <c r="J22" s="446" t="str">
        <f t="shared" si="3"/>
        <v/>
      </c>
      <c r="K22" s="446" t="str">
        <f t="shared" si="3"/>
        <v/>
      </c>
      <c r="L22" s="446" t="str">
        <f t="shared" si="3"/>
        <v/>
      </c>
      <c r="M22" s="446" t="str">
        <f t="shared" si="3"/>
        <v/>
      </c>
      <c r="N22" s="446" t="str">
        <f t="shared" si="3"/>
        <v/>
      </c>
      <c r="O22" s="446" t="str">
        <f t="shared" si="3"/>
        <v/>
      </c>
      <c r="P22" s="446" t="str">
        <f t="shared" si="3"/>
        <v/>
      </c>
      <c r="Q22" s="446" t="str">
        <f t="shared" si="3"/>
        <v/>
      </c>
      <c r="R22" s="446" t="str">
        <f t="shared" si="3"/>
        <v/>
      </c>
      <c r="S22" s="446" t="str">
        <f t="shared" si="3"/>
        <v/>
      </c>
      <c r="T22" s="446" t="str">
        <f t="shared" si="3"/>
        <v/>
      </c>
      <c r="U22" s="446" t="str">
        <f t="shared" si="3"/>
        <v/>
      </c>
      <c r="V22" s="446" t="str">
        <f t="shared" si="3"/>
        <v/>
      </c>
      <c r="W22" s="446" t="str">
        <f t="shared" si="3"/>
        <v/>
      </c>
      <c r="X22" s="446" t="str">
        <f t="shared" si="3"/>
        <v/>
      </c>
      <c r="Y22" s="446" t="str">
        <f t="shared" si="3"/>
        <v/>
      </c>
      <c r="Z22" s="446" t="str">
        <f t="shared" si="3"/>
        <v/>
      </c>
      <c r="AA22" s="446" t="str">
        <f t="shared" si="3"/>
        <v/>
      </c>
      <c r="AB22" s="446" t="str">
        <f t="shared" si="3"/>
        <v/>
      </c>
      <c r="AC22" s="446" t="str">
        <f t="shared" si="3"/>
        <v/>
      </c>
      <c r="AD22" s="446" t="str">
        <f t="shared" si="3"/>
        <v/>
      </c>
      <c r="AE22" s="446" t="str">
        <f t="shared" si="3"/>
        <v/>
      </c>
      <c r="AF22" s="446" t="str">
        <f t="shared" si="3"/>
        <v/>
      </c>
      <c r="AG22" s="446" t="str">
        <f t="shared" si="3"/>
        <v/>
      </c>
      <c r="AH22" s="684" t="str">
        <f t="shared" si="3"/>
        <v/>
      </c>
      <c r="AI22" s="689"/>
    </row>
    <row r="23" spans="1:35" ht="15" hidden="1" outlineLevel="1" thickBot="1" x14ac:dyDescent="0.35">
      <c r="A23" s="375" t="s">
        <v>56</v>
      </c>
      <c r="B23" s="390">
        <f xml:space="preserve">
IF(B21="","",B20-B21)</f>
        <v>19494639</v>
      </c>
      <c r="C23" s="391">
        <f t="shared" ref="C23:G23" si="4" xml:space="preserve">
IF(C21="","",C20-C21)</f>
        <v>188250</v>
      </c>
      <c r="D23" s="392">
        <f t="shared" si="4"/>
        <v>5466651</v>
      </c>
      <c r="E23" s="392">
        <f t="shared" si="4"/>
        <v>0</v>
      </c>
      <c r="F23" s="392">
        <f t="shared" si="4"/>
        <v>13075060</v>
      </c>
      <c r="G23" s="392">
        <f t="shared" si="4"/>
        <v>176664</v>
      </c>
      <c r="H23" s="392">
        <f t="shared" ref="H23:AH23" si="5" xml:space="preserve">
IF(H21="","",H20-H21)</f>
        <v>0</v>
      </c>
      <c r="I23" s="392">
        <f t="shared" si="5"/>
        <v>0</v>
      </c>
      <c r="J23" s="392">
        <f t="shared" si="5"/>
        <v>0</v>
      </c>
      <c r="K23" s="392">
        <f t="shared" si="5"/>
        <v>0</v>
      </c>
      <c r="L23" s="392">
        <f t="shared" si="5"/>
        <v>0</v>
      </c>
      <c r="M23" s="392">
        <f t="shared" si="5"/>
        <v>0</v>
      </c>
      <c r="N23" s="392">
        <f t="shared" si="5"/>
        <v>0</v>
      </c>
      <c r="O23" s="392">
        <f t="shared" si="5"/>
        <v>0</v>
      </c>
      <c r="P23" s="392">
        <f t="shared" si="5"/>
        <v>0</v>
      </c>
      <c r="Q23" s="392">
        <f t="shared" si="5"/>
        <v>0</v>
      </c>
      <c r="R23" s="392">
        <f t="shared" si="5"/>
        <v>0</v>
      </c>
      <c r="S23" s="392">
        <f t="shared" si="5"/>
        <v>0</v>
      </c>
      <c r="T23" s="392">
        <f t="shared" si="5"/>
        <v>0</v>
      </c>
      <c r="U23" s="392">
        <f t="shared" si="5"/>
        <v>0</v>
      </c>
      <c r="V23" s="392">
        <f t="shared" si="5"/>
        <v>0</v>
      </c>
      <c r="W23" s="392">
        <f t="shared" si="5"/>
        <v>0</v>
      </c>
      <c r="X23" s="392">
        <f t="shared" si="5"/>
        <v>0</v>
      </c>
      <c r="Y23" s="392">
        <f t="shared" si="5"/>
        <v>0</v>
      </c>
      <c r="Z23" s="392">
        <f t="shared" si="5"/>
        <v>0</v>
      </c>
      <c r="AA23" s="392">
        <f t="shared" si="5"/>
        <v>0</v>
      </c>
      <c r="AB23" s="392">
        <f t="shared" si="5"/>
        <v>0</v>
      </c>
      <c r="AC23" s="392">
        <f t="shared" si="5"/>
        <v>0</v>
      </c>
      <c r="AD23" s="392">
        <f t="shared" si="5"/>
        <v>419523</v>
      </c>
      <c r="AE23" s="392">
        <f t="shared" si="5"/>
        <v>0</v>
      </c>
      <c r="AF23" s="392">
        <f t="shared" si="5"/>
        <v>0</v>
      </c>
      <c r="AG23" s="392">
        <f t="shared" si="5"/>
        <v>0</v>
      </c>
      <c r="AH23" s="680">
        <f t="shared" si="5"/>
        <v>168491</v>
      </c>
      <c r="AI23" s="689"/>
    </row>
    <row r="24" spans="1:35" x14ac:dyDescent="0.3">
      <c r="A24" s="369" t="s">
        <v>219</v>
      </c>
      <c r="B24" s="416" t="s">
        <v>3</v>
      </c>
      <c r="C24" s="690" t="s">
        <v>230</v>
      </c>
      <c r="D24" s="664"/>
      <c r="E24" s="665"/>
      <c r="F24" s="665" t="s">
        <v>231</v>
      </c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65"/>
      <c r="AH24" s="685" t="s">
        <v>232</v>
      </c>
      <c r="AI24" s="689"/>
    </row>
    <row r="25" spans="1:35" x14ac:dyDescent="0.3">
      <c r="A25" s="370" t="s">
        <v>81</v>
      </c>
      <c r="B25" s="387">
        <f xml:space="preserve">
SUM(C25:AH25)</f>
        <v>41600</v>
      </c>
      <c r="C25" s="691">
        <f xml:space="preserve">
IF($A$4&lt;=12,SUMIFS('ON Data'!H:H,'ON Data'!$D:$D,$A$4,'ON Data'!$E:$E,10),SUMIFS('ON Data'!H:H,'ON Data'!$E:$E,10))</f>
        <v>26000</v>
      </c>
      <c r="D25" s="666"/>
      <c r="E25" s="667"/>
      <c r="F25" s="667">
        <f xml:space="preserve">
IF($A$4&lt;=12,SUMIFS('ON Data'!K:K,'ON Data'!$D:$D,$A$4,'ON Data'!$E:$E,10),SUMIFS('ON Data'!K:K,'ON Data'!$E:$E,10))</f>
        <v>15600</v>
      </c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67"/>
      <c r="AH25" s="686">
        <f xml:space="preserve">
IF($A$4&lt;=12,SUMIFS('ON Data'!AN:AN,'ON Data'!$D:$D,$A$4,'ON Data'!$E:$E,10),SUMIFS('ON Data'!AN:AN,'ON Data'!$E:$E,10))</f>
        <v>0</v>
      </c>
      <c r="AI25" s="689"/>
    </row>
    <row r="26" spans="1:35" x14ac:dyDescent="0.3">
      <c r="A26" s="376" t="s">
        <v>229</v>
      </c>
      <c r="B26" s="396">
        <f xml:space="preserve">
SUM(C26:AH26)</f>
        <v>41202.438246848069</v>
      </c>
      <c r="C26" s="691">
        <f xml:space="preserve">
IF($A$4&lt;=12,SUMIFS('ON Data'!H:H,'ON Data'!$D:$D,$A$4,'ON Data'!$E:$E,11),SUMIFS('ON Data'!H:H,'ON Data'!$E:$E,11))</f>
        <v>20785.771580181401</v>
      </c>
      <c r="D26" s="666"/>
      <c r="E26" s="667"/>
      <c r="F26" s="668">
        <f xml:space="preserve">
IF($A$4&lt;=12,SUMIFS('ON Data'!K:K,'ON Data'!$D:$D,$A$4,'ON Data'!$E:$E,11),SUMIFS('ON Data'!K:K,'ON Data'!$E:$E,11))</f>
        <v>20416.666666666668</v>
      </c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86">
        <f xml:space="preserve">
IF($A$4&lt;=12,SUMIFS('ON Data'!AN:AN,'ON Data'!$D:$D,$A$4,'ON Data'!$E:$E,11),SUMIFS('ON Data'!AN:AN,'ON Data'!$E:$E,11))</f>
        <v>0</v>
      </c>
      <c r="AI26" s="689"/>
    </row>
    <row r="27" spans="1:35" x14ac:dyDescent="0.3">
      <c r="A27" s="376" t="s">
        <v>83</v>
      </c>
      <c r="B27" s="417">
        <f xml:space="preserve">
IF(B26=0,0,B25/B26)</f>
        <v>1.0096489860811173</v>
      </c>
      <c r="C27" s="692">
        <f xml:space="preserve">
IF(C26=0,0,C25/C26)</f>
        <v>1.2508556586270874</v>
      </c>
      <c r="D27" s="669"/>
      <c r="E27" s="670"/>
      <c r="F27" s="670">
        <f xml:space="preserve">
IF(F26=0,0,F25/F26)</f>
        <v>0.76408163265306117</v>
      </c>
      <c r="G27" s="670"/>
      <c r="H27" s="670"/>
      <c r="I27" s="670"/>
      <c r="J27" s="670"/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  <c r="W27" s="670"/>
      <c r="X27" s="670"/>
      <c r="Y27" s="670"/>
      <c r="Z27" s="670"/>
      <c r="AA27" s="670"/>
      <c r="AB27" s="670"/>
      <c r="AC27" s="670"/>
      <c r="AD27" s="670"/>
      <c r="AE27" s="670"/>
      <c r="AF27" s="670"/>
      <c r="AG27" s="670"/>
      <c r="AH27" s="687">
        <f xml:space="preserve">
IF(AH26=0,0,AH25/AH26)</f>
        <v>0</v>
      </c>
      <c r="AI27" s="689"/>
    </row>
    <row r="28" spans="1:35" ht="15" thickBot="1" x14ac:dyDescent="0.35">
      <c r="A28" s="376" t="s">
        <v>228</v>
      </c>
      <c r="B28" s="396">
        <f xml:space="preserve">
SUM(C28:AH28)</f>
        <v>-397.56175315193104</v>
      </c>
      <c r="C28" s="693">
        <f xml:space="preserve">
C26-C25</f>
        <v>-5214.2284198185989</v>
      </c>
      <c r="D28" s="671"/>
      <c r="E28" s="672"/>
      <c r="F28" s="672">
        <f xml:space="preserve">
F26-F25</f>
        <v>4816.6666666666679</v>
      </c>
      <c r="G28" s="672"/>
      <c r="H28" s="672"/>
      <c r="I28" s="672"/>
      <c r="J28" s="672"/>
      <c r="K28" s="672"/>
      <c r="L28" s="672"/>
      <c r="M28" s="672"/>
      <c r="N28" s="672"/>
      <c r="O28" s="672"/>
      <c r="P28" s="672"/>
      <c r="Q28" s="672"/>
      <c r="R28" s="672"/>
      <c r="S28" s="672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72"/>
      <c r="AH28" s="688">
        <f xml:space="preserve">
AH26-AH25</f>
        <v>0</v>
      </c>
      <c r="AI28" s="689"/>
    </row>
    <row r="29" spans="1:35" x14ac:dyDescent="0.3">
      <c r="A29" s="377"/>
      <c r="B29" s="377"/>
      <c r="C29" s="378"/>
      <c r="D29" s="377"/>
      <c r="E29" s="377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7"/>
      <c r="AG29" s="377"/>
      <c r="AH29" s="377"/>
    </row>
    <row r="30" spans="1:35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59"/>
    </row>
    <row r="31" spans="1:35" x14ac:dyDescent="0.3">
      <c r="A31" s="211" t="s">
        <v>226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59"/>
    </row>
    <row r="32" spans="1:35" ht="14.4" customHeight="1" x14ac:dyDescent="0.3">
      <c r="A32" s="413" t="s">
        <v>223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</row>
    <row r="33" spans="1:1" x14ac:dyDescent="0.3">
      <c r="A33" s="415" t="s">
        <v>233</v>
      </c>
    </row>
    <row r="34" spans="1:1" x14ac:dyDescent="0.3">
      <c r="A34" s="415" t="s">
        <v>234</v>
      </c>
    </row>
    <row r="35" spans="1:1" x14ac:dyDescent="0.3">
      <c r="A35" s="415" t="s">
        <v>235</v>
      </c>
    </row>
    <row r="36" spans="1:1" x14ac:dyDescent="0.3">
      <c r="A36" s="415" t="s">
        <v>236</v>
      </c>
    </row>
  </sheetData>
  <mergeCells count="12">
    <mergeCell ref="A1:AH1"/>
    <mergeCell ref="B3:B4"/>
    <mergeCell ref="C24:E24"/>
    <mergeCell ref="C25:E25"/>
    <mergeCell ref="C26:E26"/>
    <mergeCell ref="F24:AG24"/>
    <mergeCell ref="F25:AG25"/>
    <mergeCell ref="F26:AG26"/>
    <mergeCell ref="C28:E28"/>
    <mergeCell ref="C27:E27"/>
    <mergeCell ref="F27:AG27"/>
    <mergeCell ref="F28:AG28"/>
  </mergeCells>
  <conditionalFormatting sqref="C27 AH27 F27">
    <cfRule type="cellIs" dxfId="21" priority="4" operator="greaterThan">
      <formula>1</formula>
    </cfRule>
  </conditionalFormatting>
  <conditionalFormatting sqref="C28 AH28 F28">
    <cfRule type="cellIs" dxfId="20" priority="3" operator="lessThan">
      <formula>0</formula>
    </cfRule>
  </conditionalFormatting>
  <conditionalFormatting sqref="B22:AH22">
    <cfRule type="cellIs" dxfId="19" priority="2" operator="greaterThan">
      <formula>1</formula>
    </cfRule>
  </conditionalFormatting>
  <conditionalFormatting sqref="B23:AH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7"/>
  <sheetViews>
    <sheetView showGridLines="0" showRowColHeaders="0" workbookViewId="0"/>
  </sheetViews>
  <sheetFormatPr defaultRowHeight="14.4" x14ac:dyDescent="0.3"/>
  <cols>
    <col min="1" max="16384" width="8.88671875" style="356"/>
  </cols>
  <sheetData>
    <row r="1" spans="1:41" x14ac:dyDescent="0.3">
      <c r="A1" s="356" t="s">
        <v>1778</v>
      </c>
    </row>
    <row r="2" spans="1:41" x14ac:dyDescent="0.3">
      <c r="A2" s="360" t="s">
        <v>306</v>
      </c>
    </row>
    <row r="3" spans="1:41" x14ac:dyDescent="0.3">
      <c r="A3" s="356" t="s">
        <v>193</v>
      </c>
      <c r="B3" s="381">
        <v>2015</v>
      </c>
      <c r="D3" s="357">
        <f>MAX(D5:D1048576)</f>
        <v>7</v>
      </c>
      <c r="F3" s="357">
        <f>SUMIF($E5:$E1048576,"&lt;10",F5:F1048576)</f>
        <v>20573937.530000001</v>
      </c>
      <c r="G3" s="357">
        <f t="shared" ref="G3:AO3" si="0">SUMIF($E5:$E1048576,"&lt;10",G5:G1048576)</f>
        <v>188719.5</v>
      </c>
      <c r="H3" s="357">
        <f t="shared" si="0"/>
        <v>5667526.6299999999</v>
      </c>
      <c r="I3" s="357">
        <f t="shared" si="0"/>
        <v>0</v>
      </c>
      <c r="J3" s="357">
        <f t="shared" si="0"/>
        <v>0</v>
      </c>
      <c r="K3" s="357">
        <f t="shared" si="0"/>
        <v>13897643.15</v>
      </c>
      <c r="L3" s="357">
        <f t="shared" si="0"/>
        <v>188460.5</v>
      </c>
      <c r="M3" s="357">
        <f t="shared" si="0"/>
        <v>0</v>
      </c>
      <c r="N3" s="357">
        <f t="shared" si="0"/>
        <v>0</v>
      </c>
      <c r="O3" s="357">
        <f t="shared" si="0"/>
        <v>0</v>
      </c>
      <c r="P3" s="357">
        <f t="shared" si="0"/>
        <v>0</v>
      </c>
      <c r="Q3" s="357">
        <f t="shared" si="0"/>
        <v>0</v>
      </c>
      <c r="R3" s="357">
        <f t="shared" si="0"/>
        <v>0</v>
      </c>
      <c r="S3" s="357">
        <f t="shared" si="0"/>
        <v>0</v>
      </c>
      <c r="T3" s="357">
        <f t="shared" si="0"/>
        <v>0</v>
      </c>
      <c r="U3" s="357">
        <f t="shared" si="0"/>
        <v>0</v>
      </c>
      <c r="V3" s="357">
        <f t="shared" si="0"/>
        <v>0</v>
      </c>
      <c r="W3" s="357">
        <f t="shared" si="0"/>
        <v>0</v>
      </c>
      <c r="X3" s="357">
        <f t="shared" si="0"/>
        <v>0</v>
      </c>
      <c r="Y3" s="357">
        <f t="shared" si="0"/>
        <v>0</v>
      </c>
      <c r="Z3" s="357">
        <f t="shared" si="0"/>
        <v>0</v>
      </c>
      <c r="AA3" s="357">
        <f t="shared" si="0"/>
        <v>0</v>
      </c>
      <c r="AB3" s="357">
        <f t="shared" si="0"/>
        <v>0</v>
      </c>
      <c r="AC3" s="357">
        <f t="shared" si="0"/>
        <v>0</v>
      </c>
      <c r="AD3" s="357">
        <f t="shared" si="0"/>
        <v>0</v>
      </c>
      <c r="AE3" s="357">
        <f t="shared" si="0"/>
        <v>0</v>
      </c>
      <c r="AF3" s="357">
        <f t="shared" si="0"/>
        <v>0</v>
      </c>
      <c r="AG3" s="357">
        <f t="shared" si="0"/>
        <v>0</v>
      </c>
      <c r="AH3" s="357">
        <f t="shared" si="0"/>
        <v>0</v>
      </c>
      <c r="AI3" s="357">
        <f t="shared" si="0"/>
        <v>453383.75</v>
      </c>
      <c r="AJ3" s="357">
        <f t="shared" si="0"/>
        <v>0</v>
      </c>
      <c r="AK3" s="357">
        <f t="shared" si="0"/>
        <v>0</v>
      </c>
      <c r="AL3" s="357">
        <f t="shared" si="0"/>
        <v>0</v>
      </c>
      <c r="AM3" s="357">
        <f t="shared" si="0"/>
        <v>0</v>
      </c>
      <c r="AN3" s="357">
        <f t="shared" si="0"/>
        <v>178204</v>
      </c>
      <c r="AO3" s="357">
        <f t="shared" si="0"/>
        <v>0</v>
      </c>
    </row>
    <row r="4" spans="1:41" x14ac:dyDescent="0.3">
      <c r="A4" s="356" t="s">
        <v>194</v>
      </c>
      <c r="B4" s="381">
        <v>1</v>
      </c>
      <c r="C4" s="358" t="s">
        <v>5</v>
      </c>
      <c r="D4" s="359" t="s">
        <v>55</v>
      </c>
      <c r="E4" s="359" t="s">
        <v>188</v>
      </c>
      <c r="F4" s="359" t="s">
        <v>3</v>
      </c>
      <c r="G4" s="359" t="s">
        <v>189</v>
      </c>
      <c r="H4" s="359" t="s">
        <v>190</v>
      </c>
      <c r="I4" s="359" t="s">
        <v>191</v>
      </c>
      <c r="J4" s="359" t="s">
        <v>192</v>
      </c>
      <c r="K4" s="359">
        <v>305</v>
      </c>
      <c r="L4" s="359">
        <v>306</v>
      </c>
      <c r="M4" s="359">
        <v>407</v>
      </c>
      <c r="N4" s="359">
        <v>408</v>
      </c>
      <c r="O4" s="359">
        <v>409</v>
      </c>
      <c r="P4" s="359">
        <v>410</v>
      </c>
      <c r="Q4" s="359">
        <v>415</v>
      </c>
      <c r="R4" s="359">
        <v>416</v>
      </c>
      <c r="S4" s="359">
        <v>418</v>
      </c>
      <c r="T4" s="359">
        <v>419</v>
      </c>
      <c r="U4" s="359">
        <v>420</v>
      </c>
      <c r="V4" s="359">
        <v>421</v>
      </c>
      <c r="W4" s="359">
        <v>522</v>
      </c>
      <c r="X4" s="359">
        <v>523</v>
      </c>
      <c r="Y4" s="359">
        <v>524</v>
      </c>
      <c r="Z4" s="359">
        <v>525</v>
      </c>
      <c r="AA4" s="359">
        <v>526</v>
      </c>
      <c r="AB4" s="359">
        <v>527</v>
      </c>
      <c r="AC4" s="359">
        <v>528</v>
      </c>
      <c r="AD4" s="359">
        <v>629</v>
      </c>
      <c r="AE4" s="359">
        <v>630</v>
      </c>
      <c r="AF4" s="359">
        <v>636</v>
      </c>
      <c r="AG4" s="359">
        <v>637</v>
      </c>
      <c r="AH4" s="359">
        <v>640</v>
      </c>
      <c r="AI4" s="359">
        <v>642</v>
      </c>
      <c r="AJ4" s="359">
        <v>743</v>
      </c>
      <c r="AK4" s="359">
        <v>745</v>
      </c>
      <c r="AL4" s="359">
        <v>746</v>
      </c>
      <c r="AM4" s="359">
        <v>747</v>
      </c>
      <c r="AN4" s="359">
        <v>930</v>
      </c>
      <c r="AO4" s="359">
        <v>940</v>
      </c>
    </row>
    <row r="5" spans="1:41" x14ac:dyDescent="0.3">
      <c r="A5" s="356" t="s">
        <v>195</v>
      </c>
      <c r="B5" s="381">
        <v>2</v>
      </c>
      <c r="C5" s="356">
        <v>9</v>
      </c>
      <c r="D5" s="356">
        <v>1</v>
      </c>
      <c r="E5" s="356">
        <v>1</v>
      </c>
      <c r="F5" s="356">
        <v>66</v>
      </c>
      <c r="G5" s="356">
        <v>0</v>
      </c>
      <c r="H5" s="356">
        <v>9.5</v>
      </c>
      <c r="I5" s="356">
        <v>0</v>
      </c>
      <c r="J5" s="356">
        <v>0</v>
      </c>
      <c r="K5" s="356">
        <v>50</v>
      </c>
      <c r="L5" s="356">
        <v>1.5</v>
      </c>
      <c r="M5" s="356">
        <v>0</v>
      </c>
      <c r="N5" s="356">
        <v>0</v>
      </c>
      <c r="O5" s="356">
        <v>0</v>
      </c>
      <c r="P5" s="356">
        <v>0</v>
      </c>
      <c r="Q5" s="356">
        <v>0</v>
      </c>
      <c r="R5" s="356">
        <v>0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0</v>
      </c>
      <c r="AC5" s="356">
        <v>0</v>
      </c>
      <c r="AD5" s="356">
        <v>0</v>
      </c>
      <c r="AE5" s="356">
        <v>0</v>
      </c>
      <c r="AF5" s="356">
        <v>0</v>
      </c>
      <c r="AG5" s="356">
        <v>0</v>
      </c>
      <c r="AH5" s="356">
        <v>0</v>
      </c>
      <c r="AI5" s="356">
        <v>4</v>
      </c>
      <c r="AJ5" s="356">
        <v>0</v>
      </c>
      <c r="AK5" s="356">
        <v>0</v>
      </c>
      <c r="AL5" s="356">
        <v>0</v>
      </c>
      <c r="AM5" s="356">
        <v>0</v>
      </c>
      <c r="AN5" s="356">
        <v>1</v>
      </c>
      <c r="AO5" s="356">
        <v>0</v>
      </c>
    </row>
    <row r="6" spans="1:41" x14ac:dyDescent="0.3">
      <c r="A6" s="356" t="s">
        <v>196</v>
      </c>
      <c r="B6" s="381">
        <v>3</v>
      </c>
      <c r="C6" s="356">
        <v>9</v>
      </c>
      <c r="D6" s="356">
        <v>1</v>
      </c>
      <c r="E6" s="356">
        <v>2</v>
      </c>
      <c r="F6" s="356">
        <v>10348.5</v>
      </c>
      <c r="G6" s="356">
        <v>0</v>
      </c>
      <c r="H6" s="356">
        <v>1560</v>
      </c>
      <c r="I6" s="356">
        <v>0</v>
      </c>
      <c r="J6" s="356">
        <v>0</v>
      </c>
      <c r="K6" s="356">
        <v>8016.5</v>
      </c>
      <c r="L6" s="356">
        <v>84</v>
      </c>
      <c r="M6" s="356">
        <v>0</v>
      </c>
      <c r="N6" s="356">
        <v>0</v>
      </c>
      <c r="O6" s="356">
        <v>0</v>
      </c>
      <c r="P6" s="356">
        <v>0</v>
      </c>
      <c r="Q6" s="356">
        <v>0</v>
      </c>
      <c r="R6" s="356">
        <v>0</v>
      </c>
      <c r="S6" s="356">
        <v>0</v>
      </c>
      <c r="T6" s="356">
        <v>0</v>
      </c>
      <c r="U6" s="356">
        <v>0</v>
      </c>
      <c r="V6" s="356">
        <v>0</v>
      </c>
      <c r="W6" s="356">
        <v>0</v>
      </c>
      <c r="X6" s="356">
        <v>0</v>
      </c>
      <c r="Y6" s="356">
        <v>0</v>
      </c>
      <c r="Z6" s="356">
        <v>0</v>
      </c>
      <c r="AA6" s="356">
        <v>0</v>
      </c>
      <c r="AB6" s="356">
        <v>0</v>
      </c>
      <c r="AC6" s="356">
        <v>0</v>
      </c>
      <c r="AD6" s="356">
        <v>0</v>
      </c>
      <c r="AE6" s="356">
        <v>0</v>
      </c>
      <c r="AF6" s="356">
        <v>0</v>
      </c>
      <c r="AG6" s="356">
        <v>0</v>
      </c>
      <c r="AH6" s="356">
        <v>0</v>
      </c>
      <c r="AI6" s="356">
        <v>520</v>
      </c>
      <c r="AJ6" s="356">
        <v>0</v>
      </c>
      <c r="AK6" s="356">
        <v>0</v>
      </c>
      <c r="AL6" s="356">
        <v>0</v>
      </c>
      <c r="AM6" s="356">
        <v>0</v>
      </c>
      <c r="AN6" s="356">
        <v>168</v>
      </c>
      <c r="AO6" s="356">
        <v>0</v>
      </c>
    </row>
    <row r="7" spans="1:41" x14ac:dyDescent="0.3">
      <c r="A7" s="356" t="s">
        <v>197</v>
      </c>
      <c r="B7" s="381">
        <v>4</v>
      </c>
      <c r="C7" s="356">
        <v>9</v>
      </c>
      <c r="D7" s="356">
        <v>1</v>
      </c>
      <c r="E7" s="356">
        <v>3</v>
      </c>
      <c r="F7" s="356">
        <v>233</v>
      </c>
      <c r="G7" s="356">
        <v>0</v>
      </c>
      <c r="H7" s="356">
        <v>20</v>
      </c>
      <c r="I7" s="356">
        <v>0</v>
      </c>
      <c r="J7" s="356">
        <v>0</v>
      </c>
      <c r="K7" s="356">
        <v>193</v>
      </c>
      <c r="L7" s="356">
        <v>20</v>
      </c>
      <c r="M7" s="356">
        <v>0</v>
      </c>
      <c r="N7" s="356">
        <v>0</v>
      </c>
      <c r="O7" s="356">
        <v>0</v>
      </c>
      <c r="P7" s="356">
        <v>0</v>
      </c>
      <c r="Q7" s="356">
        <v>0</v>
      </c>
      <c r="R7" s="356">
        <v>0</v>
      </c>
      <c r="S7" s="356">
        <v>0</v>
      </c>
      <c r="T7" s="356">
        <v>0</v>
      </c>
      <c r="U7" s="356">
        <v>0</v>
      </c>
      <c r="V7" s="356">
        <v>0</v>
      </c>
      <c r="W7" s="356">
        <v>0</v>
      </c>
      <c r="X7" s="356">
        <v>0</v>
      </c>
      <c r="Y7" s="356">
        <v>0</v>
      </c>
      <c r="Z7" s="356">
        <v>0</v>
      </c>
      <c r="AA7" s="356">
        <v>0</v>
      </c>
      <c r="AB7" s="356">
        <v>0</v>
      </c>
      <c r="AC7" s="356">
        <v>0</v>
      </c>
      <c r="AD7" s="356">
        <v>0</v>
      </c>
      <c r="AE7" s="356">
        <v>0</v>
      </c>
      <c r="AF7" s="356">
        <v>0</v>
      </c>
      <c r="AG7" s="356">
        <v>0</v>
      </c>
      <c r="AH7" s="356">
        <v>0</v>
      </c>
      <c r="AI7" s="356">
        <v>0</v>
      </c>
      <c r="AJ7" s="356">
        <v>0</v>
      </c>
      <c r="AK7" s="356">
        <v>0</v>
      </c>
      <c r="AL7" s="356">
        <v>0</v>
      </c>
      <c r="AM7" s="356">
        <v>0</v>
      </c>
      <c r="AN7" s="356">
        <v>0</v>
      </c>
      <c r="AO7" s="356">
        <v>0</v>
      </c>
    </row>
    <row r="8" spans="1:41" x14ac:dyDescent="0.3">
      <c r="A8" s="356" t="s">
        <v>198</v>
      </c>
      <c r="B8" s="381">
        <v>5</v>
      </c>
      <c r="C8" s="356">
        <v>9</v>
      </c>
      <c r="D8" s="356">
        <v>1</v>
      </c>
      <c r="E8" s="356">
        <v>4</v>
      </c>
      <c r="F8" s="356">
        <v>314.5</v>
      </c>
      <c r="G8" s="356">
        <v>0</v>
      </c>
      <c r="H8" s="356">
        <v>268</v>
      </c>
      <c r="I8" s="356">
        <v>0</v>
      </c>
      <c r="J8" s="356">
        <v>0</v>
      </c>
      <c r="K8" s="356">
        <v>16</v>
      </c>
      <c r="L8" s="356">
        <v>0</v>
      </c>
      <c r="M8" s="356">
        <v>0</v>
      </c>
      <c r="N8" s="356">
        <v>0</v>
      </c>
      <c r="O8" s="356">
        <v>0</v>
      </c>
      <c r="P8" s="356">
        <v>0</v>
      </c>
      <c r="Q8" s="356">
        <v>0</v>
      </c>
      <c r="R8" s="356">
        <v>0</v>
      </c>
      <c r="S8" s="356">
        <v>0</v>
      </c>
      <c r="T8" s="356">
        <v>0</v>
      </c>
      <c r="U8" s="356">
        <v>0</v>
      </c>
      <c r="V8" s="356">
        <v>0</v>
      </c>
      <c r="W8" s="356">
        <v>0</v>
      </c>
      <c r="X8" s="356">
        <v>0</v>
      </c>
      <c r="Y8" s="356">
        <v>0</v>
      </c>
      <c r="Z8" s="356">
        <v>0</v>
      </c>
      <c r="AA8" s="356">
        <v>0</v>
      </c>
      <c r="AB8" s="356">
        <v>0</v>
      </c>
      <c r="AC8" s="356">
        <v>0</v>
      </c>
      <c r="AD8" s="356">
        <v>0</v>
      </c>
      <c r="AE8" s="356">
        <v>0</v>
      </c>
      <c r="AF8" s="356">
        <v>0</v>
      </c>
      <c r="AG8" s="356">
        <v>0</v>
      </c>
      <c r="AH8" s="356">
        <v>0</v>
      </c>
      <c r="AI8" s="356">
        <v>30.5</v>
      </c>
      <c r="AJ8" s="356">
        <v>0</v>
      </c>
      <c r="AK8" s="356">
        <v>0</v>
      </c>
      <c r="AL8" s="356">
        <v>0</v>
      </c>
      <c r="AM8" s="356">
        <v>0</v>
      </c>
      <c r="AN8" s="356">
        <v>0</v>
      </c>
      <c r="AO8" s="356">
        <v>0</v>
      </c>
    </row>
    <row r="9" spans="1:41" x14ac:dyDescent="0.3">
      <c r="A9" s="356" t="s">
        <v>199</v>
      </c>
      <c r="B9" s="381">
        <v>6</v>
      </c>
      <c r="C9" s="356">
        <v>9</v>
      </c>
      <c r="D9" s="356">
        <v>1</v>
      </c>
      <c r="E9" s="356">
        <v>5</v>
      </c>
      <c r="F9" s="356">
        <v>46</v>
      </c>
      <c r="G9" s="356">
        <v>46</v>
      </c>
      <c r="H9" s="356">
        <v>0</v>
      </c>
      <c r="I9" s="356">
        <v>0</v>
      </c>
      <c r="J9" s="356">
        <v>0</v>
      </c>
      <c r="K9" s="356">
        <v>0</v>
      </c>
      <c r="L9" s="356">
        <v>0</v>
      </c>
      <c r="M9" s="356">
        <v>0</v>
      </c>
      <c r="N9" s="356">
        <v>0</v>
      </c>
      <c r="O9" s="356">
        <v>0</v>
      </c>
      <c r="P9" s="356">
        <v>0</v>
      </c>
      <c r="Q9" s="356">
        <v>0</v>
      </c>
      <c r="R9" s="356">
        <v>0</v>
      </c>
      <c r="S9" s="356">
        <v>0</v>
      </c>
      <c r="T9" s="356">
        <v>0</v>
      </c>
      <c r="U9" s="356">
        <v>0</v>
      </c>
      <c r="V9" s="356">
        <v>0</v>
      </c>
      <c r="W9" s="356">
        <v>0</v>
      </c>
      <c r="X9" s="356">
        <v>0</v>
      </c>
      <c r="Y9" s="356">
        <v>0</v>
      </c>
      <c r="Z9" s="356">
        <v>0</v>
      </c>
      <c r="AA9" s="356">
        <v>0</v>
      </c>
      <c r="AB9" s="356">
        <v>0</v>
      </c>
      <c r="AC9" s="356">
        <v>0</v>
      </c>
      <c r="AD9" s="356">
        <v>0</v>
      </c>
      <c r="AE9" s="356">
        <v>0</v>
      </c>
      <c r="AF9" s="356">
        <v>0</v>
      </c>
      <c r="AG9" s="356">
        <v>0</v>
      </c>
      <c r="AH9" s="356">
        <v>0</v>
      </c>
      <c r="AI9" s="356">
        <v>0</v>
      </c>
      <c r="AJ9" s="356">
        <v>0</v>
      </c>
      <c r="AK9" s="356">
        <v>0</v>
      </c>
      <c r="AL9" s="356">
        <v>0</v>
      </c>
      <c r="AM9" s="356">
        <v>0</v>
      </c>
      <c r="AN9" s="356">
        <v>0</v>
      </c>
      <c r="AO9" s="356">
        <v>0</v>
      </c>
    </row>
    <row r="10" spans="1:41" x14ac:dyDescent="0.3">
      <c r="A10" s="356" t="s">
        <v>200</v>
      </c>
      <c r="B10" s="381">
        <v>7</v>
      </c>
      <c r="C10" s="356">
        <v>9</v>
      </c>
      <c r="D10" s="356">
        <v>1</v>
      </c>
      <c r="E10" s="356">
        <v>6</v>
      </c>
      <c r="F10" s="356">
        <v>2489841</v>
      </c>
      <c r="G10" s="356">
        <v>11615</v>
      </c>
      <c r="H10" s="356">
        <v>767915</v>
      </c>
      <c r="I10" s="356">
        <v>0</v>
      </c>
      <c r="J10" s="356">
        <v>0</v>
      </c>
      <c r="K10" s="356">
        <v>1611408</v>
      </c>
      <c r="L10" s="356">
        <v>18458</v>
      </c>
      <c r="M10" s="356">
        <v>0</v>
      </c>
      <c r="N10" s="356">
        <v>0</v>
      </c>
      <c r="O10" s="356">
        <v>0</v>
      </c>
      <c r="P10" s="356">
        <v>0</v>
      </c>
      <c r="Q10" s="356">
        <v>0</v>
      </c>
      <c r="R10" s="356">
        <v>0</v>
      </c>
      <c r="S10" s="356">
        <v>0</v>
      </c>
      <c r="T10" s="356">
        <v>0</v>
      </c>
      <c r="U10" s="356">
        <v>0</v>
      </c>
      <c r="V10" s="356">
        <v>0</v>
      </c>
      <c r="W10" s="356">
        <v>0</v>
      </c>
      <c r="X10" s="356">
        <v>0</v>
      </c>
      <c r="Y10" s="356">
        <v>0</v>
      </c>
      <c r="Z10" s="356">
        <v>0</v>
      </c>
      <c r="AA10" s="356">
        <v>0</v>
      </c>
      <c r="AB10" s="356">
        <v>0</v>
      </c>
      <c r="AC10" s="356">
        <v>0</v>
      </c>
      <c r="AD10" s="356">
        <v>0</v>
      </c>
      <c r="AE10" s="356">
        <v>0</v>
      </c>
      <c r="AF10" s="356">
        <v>0</v>
      </c>
      <c r="AG10" s="356">
        <v>0</v>
      </c>
      <c r="AH10" s="356">
        <v>0</v>
      </c>
      <c r="AI10" s="356">
        <v>57865</v>
      </c>
      <c r="AJ10" s="356">
        <v>0</v>
      </c>
      <c r="AK10" s="356">
        <v>0</v>
      </c>
      <c r="AL10" s="356">
        <v>0</v>
      </c>
      <c r="AM10" s="356">
        <v>0</v>
      </c>
      <c r="AN10" s="356">
        <v>22580</v>
      </c>
      <c r="AO10" s="356">
        <v>0</v>
      </c>
    </row>
    <row r="11" spans="1:41" x14ac:dyDescent="0.3">
      <c r="A11" s="356" t="s">
        <v>201</v>
      </c>
      <c r="B11" s="381">
        <v>8</v>
      </c>
      <c r="C11" s="356">
        <v>9</v>
      </c>
      <c r="D11" s="356">
        <v>1</v>
      </c>
      <c r="E11" s="356">
        <v>9</v>
      </c>
      <c r="F11" s="356">
        <v>7224</v>
      </c>
      <c r="G11" s="356">
        <v>0</v>
      </c>
      <c r="H11" s="356">
        <v>0</v>
      </c>
      <c r="I11" s="356">
        <v>0</v>
      </c>
      <c r="J11" s="356">
        <v>0</v>
      </c>
      <c r="K11" s="356">
        <v>6800</v>
      </c>
      <c r="L11" s="356">
        <v>424</v>
      </c>
      <c r="M11" s="356">
        <v>0</v>
      </c>
      <c r="N11" s="356">
        <v>0</v>
      </c>
      <c r="O11" s="356">
        <v>0</v>
      </c>
      <c r="P11" s="356">
        <v>0</v>
      </c>
      <c r="Q11" s="356">
        <v>0</v>
      </c>
      <c r="R11" s="356">
        <v>0</v>
      </c>
      <c r="S11" s="356">
        <v>0</v>
      </c>
      <c r="T11" s="356">
        <v>0</v>
      </c>
      <c r="U11" s="356">
        <v>0</v>
      </c>
      <c r="V11" s="356">
        <v>0</v>
      </c>
      <c r="W11" s="356">
        <v>0</v>
      </c>
      <c r="X11" s="356">
        <v>0</v>
      </c>
      <c r="Y11" s="356">
        <v>0</v>
      </c>
      <c r="Z11" s="356">
        <v>0</v>
      </c>
      <c r="AA11" s="356">
        <v>0</v>
      </c>
      <c r="AB11" s="356">
        <v>0</v>
      </c>
      <c r="AC11" s="356">
        <v>0</v>
      </c>
      <c r="AD11" s="356">
        <v>0</v>
      </c>
      <c r="AE11" s="356">
        <v>0</v>
      </c>
      <c r="AF11" s="356">
        <v>0</v>
      </c>
      <c r="AG11" s="356">
        <v>0</v>
      </c>
      <c r="AH11" s="356">
        <v>0</v>
      </c>
      <c r="AI11" s="356">
        <v>0</v>
      </c>
      <c r="AJ11" s="356">
        <v>0</v>
      </c>
      <c r="AK11" s="356">
        <v>0</v>
      </c>
      <c r="AL11" s="356">
        <v>0</v>
      </c>
      <c r="AM11" s="356">
        <v>0</v>
      </c>
      <c r="AN11" s="356">
        <v>0</v>
      </c>
      <c r="AO11" s="356">
        <v>0</v>
      </c>
    </row>
    <row r="12" spans="1:41" x14ac:dyDescent="0.3">
      <c r="A12" s="356" t="s">
        <v>202</v>
      </c>
      <c r="B12" s="381">
        <v>9</v>
      </c>
      <c r="C12" s="356">
        <v>9</v>
      </c>
      <c r="D12" s="356">
        <v>1</v>
      </c>
      <c r="E12" s="356">
        <v>10</v>
      </c>
      <c r="F12" s="356">
        <v>6000</v>
      </c>
      <c r="G12" s="356">
        <v>0</v>
      </c>
      <c r="H12" s="356">
        <v>6000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  <c r="O12" s="356">
        <v>0</v>
      </c>
      <c r="P12" s="356">
        <v>0</v>
      </c>
      <c r="Q12" s="356">
        <v>0</v>
      </c>
      <c r="R12" s="356">
        <v>0</v>
      </c>
      <c r="S12" s="356">
        <v>0</v>
      </c>
      <c r="T12" s="356">
        <v>0</v>
      </c>
      <c r="U12" s="356">
        <v>0</v>
      </c>
      <c r="V12" s="356">
        <v>0</v>
      </c>
      <c r="W12" s="356">
        <v>0</v>
      </c>
      <c r="X12" s="356">
        <v>0</v>
      </c>
      <c r="Y12" s="356">
        <v>0</v>
      </c>
      <c r="Z12" s="356">
        <v>0</v>
      </c>
      <c r="AA12" s="356">
        <v>0</v>
      </c>
      <c r="AB12" s="356">
        <v>0</v>
      </c>
      <c r="AC12" s="356">
        <v>0</v>
      </c>
      <c r="AD12" s="356">
        <v>0</v>
      </c>
      <c r="AE12" s="356">
        <v>0</v>
      </c>
      <c r="AF12" s="356">
        <v>0</v>
      </c>
      <c r="AG12" s="356">
        <v>0</v>
      </c>
      <c r="AH12" s="356">
        <v>0</v>
      </c>
      <c r="AI12" s="356">
        <v>0</v>
      </c>
      <c r="AJ12" s="356">
        <v>0</v>
      </c>
      <c r="AK12" s="356">
        <v>0</v>
      </c>
      <c r="AL12" s="356">
        <v>0</v>
      </c>
      <c r="AM12" s="356">
        <v>0</v>
      </c>
      <c r="AN12" s="356">
        <v>0</v>
      </c>
      <c r="AO12" s="356">
        <v>0</v>
      </c>
    </row>
    <row r="13" spans="1:41" x14ac:dyDescent="0.3">
      <c r="A13" s="356" t="s">
        <v>203</v>
      </c>
      <c r="B13" s="381">
        <v>10</v>
      </c>
      <c r="C13" s="356">
        <v>9</v>
      </c>
      <c r="D13" s="356">
        <v>1</v>
      </c>
      <c r="E13" s="356">
        <v>11</v>
      </c>
      <c r="F13" s="356">
        <v>5886.0626066925806</v>
      </c>
      <c r="G13" s="356">
        <v>0</v>
      </c>
      <c r="H13" s="356">
        <v>2969.3959400259141</v>
      </c>
      <c r="I13" s="356">
        <v>0</v>
      </c>
      <c r="J13" s="356">
        <v>0</v>
      </c>
      <c r="K13" s="356">
        <v>2916.6666666666665</v>
      </c>
      <c r="L13" s="356">
        <v>0</v>
      </c>
      <c r="M13" s="356">
        <v>0</v>
      </c>
      <c r="N13" s="356">
        <v>0</v>
      </c>
      <c r="O13" s="356">
        <v>0</v>
      </c>
      <c r="P13" s="356">
        <v>0</v>
      </c>
      <c r="Q13" s="356">
        <v>0</v>
      </c>
      <c r="R13" s="356">
        <v>0</v>
      </c>
      <c r="S13" s="356">
        <v>0</v>
      </c>
      <c r="T13" s="356">
        <v>0</v>
      </c>
      <c r="U13" s="356">
        <v>0</v>
      </c>
      <c r="V13" s="356">
        <v>0</v>
      </c>
      <c r="W13" s="356">
        <v>0</v>
      </c>
      <c r="X13" s="356">
        <v>0</v>
      </c>
      <c r="Y13" s="356">
        <v>0</v>
      </c>
      <c r="Z13" s="356">
        <v>0</v>
      </c>
      <c r="AA13" s="356">
        <v>0</v>
      </c>
      <c r="AB13" s="356">
        <v>0</v>
      </c>
      <c r="AC13" s="356">
        <v>0</v>
      </c>
      <c r="AD13" s="356">
        <v>0</v>
      </c>
      <c r="AE13" s="356">
        <v>0</v>
      </c>
      <c r="AF13" s="356">
        <v>0</v>
      </c>
      <c r="AG13" s="356">
        <v>0</v>
      </c>
      <c r="AH13" s="356">
        <v>0</v>
      </c>
      <c r="AI13" s="356">
        <v>0</v>
      </c>
      <c r="AJ13" s="356">
        <v>0</v>
      </c>
      <c r="AK13" s="356">
        <v>0</v>
      </c>
      <c r="AL13" s="356">
        <v>0</v>
      </c>
      <c r="AM13" s="356">
        <v>0</v>
      </c>
      <c r="AN13" s="356">
        <v>0</v>
      </c>
      <c r="AO13" s="356">
        <v>0</v>
      </c>
    </row>
    <row r="14" spans="1:41" x14ac:dyDescent="0.3">
      <c r="A14" s="356" t="s">
        <v>204</v>
      </c>
      <c r="B14" s="381">
        <v>11</v>
      </c>
      <c r="C14" s="356">
        <v>9</v>
      </c>
      <c r="D14" s="356">
        <v>2</v>
      </c>
      <c r="E14" s="356">
        <v>1</v>
      </c>
      <c r="F14" s="356">
        <v>67.25</v>
      </c>
      <c r="G14" s="356">
        <v>0</v>
      </c>
      <c r="H14" s="356">
        <v>9.5</v>
      </c>
      <c r="I14" s="356">
        <v>0</v>
      </c>
      <c r="J14" s="356">
        <v>0</v>
      </c>
      <c r="K14" s="356">
        <v>51.25</v>
      </c>
      <c r="L14" s="356">
        <v>1.5</v>
      </c>
      <c r="M14" s="356">
        <v>0</v>
      </c>
      <c r="N14" s="356">
        <v>0</v>
      </c>
      <c r="O14" s="356">
        <v>0</v>
      </c>
      <c r="P14" s="356">
        <v>0</v>
      </c>
      <c r="Q14" s="356">
        <v>0</v>
      </c>
      <c r="R14" s="356">
        <v>0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6">
        <v>0</v>
      </c>
      <c r="AA14" s="356">
        <v>0</v>
      </c>
      <c r="AB14" s="356">
        <v>0</v>
      </c>
      <c r="AC14" s="356">
        <v>0</v>
      </c>
      <c r="AD14" s="356">
        <v>0</v>
      </c>
      <c r="AE14" s="356">
        <v>0</v>
      </c>
      <c r="AF14" s="356">
        <v>0</v>
      </c>
      <c r="AG14" s="356">
        <v>0</v>
      </c>
      <c r="AH14" s="356">
        <v>0</v>
      </c>
      <c r="AI14" s="356">
        <v>4</v>
      </c>
      <c r="AJ14" s="356">
        <v>0</v>
      </c>
      <c r="AK14" s="356">
        <v>0</v>
      </c>
      <c r="AL14" s="356">
        <v>0</v>
      </c>
      <c r="AM14" s="356">
        <v>0</v>
      </c>
      <c r="AN14" s="356">
        <v>1</v>
      </c>
      <c r="AO14" s="356">
        <v>0</v>
      </c>
    </row>
    <row r="15" spans="1:41" x14ac:dyDescent="0.3">
      <c r="A15" s="356" t="s">
        <v>205</v>
      </c>
      <c r="B15" s="381">
        <v>12</v>
      </c>
      <c r="C15" s="356">
        <v>9</v>
      </c>
      <c r="D15" s="356">
        <v>2</v>
      </c>
      <c r="E15" s="356">
        <v>2</v>
      </c>
      <c r="F15" s="356">
        <v>8527.5</v>
      </c>
      <c r="G15" s="356">
        <v>0</v>
      </c>
      <c r="H15" s="356">
        <v>1480</v>
      </c>
      <c r="I15" s="356">
        <v>0</v>
      </c>
      <c r="J15" s="356">
        <v>0</v>
      </c>
      <c r="K15" s="356">
        <v>6523.5</v>
      </c>
      <c r="L15" s="356">
        <v>60</v>
      </c>
      <c r="M15" s="356">
        <v>0</v>
      </c>
      <c r="N15" s="356">
        <v>0</v>
      </c>
      <c r="O15" s="356">
        <v>0</v>
      </c>
      <c r="P15" s="356">
        <v>0</v>
      </c>
      <c r="Q15" s="356">
        <v>0</v>
      </c>
      <c r="R15" s="356">
        <v>0</v>
      </c>
      <c r="S15" s="356">
        <v>0</v>
      </c>
      <c r="T15" s="356">
        <v>0</v>
      </c>
      <c r="U15" s="356">
        <v>0</v>
      </c>
      <c r="V15" s="356">
        <v>0</v>
      </c>
      <c r="W15" s="356">
        <v>0</v>
      </c>
      <c r="X15" s="356">
        <v>0</v>
      </c>
      <c r="Y15" s="356">
        <v>0</v>
      </c>
      <c r="Z15" s="356">
        <v>0</v>
      </c>
      <c r="AA15" s="356">
        <v>0</v>
      </c>
      <c r="AB15" s="356">
        <v>0</v>
      </c>
      <c r="AC15" s="356">
        <v>0</v>
      </c>
      <c r="AD15" s="356">
        <v>0</v>
      </c>
      <c r="AE15" s="356">
        <v>0</v>
      </c>
      <c r="AF15" s="356">
        <v>0</v>
      </c>
      <c r="AG15" s="356">
        <v>0</v>
      </c>
      <c r="AH15" s="356">
        <v>0</v>
      </c>
      <c r="AI15" s="356">
        <v>320</v>
      </c>
      <c r="AJ15" s="356">
        <v>0</v>
      </c>
      <c r="AK15" s="356">
        <v>0</v>
      </c>
      <c r="AL15" s="356">
        <v>0</v>
      </c>
      <c r="AM15" s="356">
        <v>0</v>
      </c>
      <c r="AN15" s="356">
        <v>144</v>
      </c>
      <c r="AO15" s="356">
        <v>0</v>
      </c>
    </row>
    <row r="16" spans="1:41" x14ac:dyDescent="0.3">
      <c r="A16" s="356" t="s">
        <v>193</v>
      </c>
      <c r="B16" s="381">
        <v>2015</v>
      </c>
      <c r="C16" s="356">
        <v>9</v>
      </c>
      <c r="D16" s="356">
        <v>2</v>
      </c>
      <c r="E16" s="356">
        <v>3</v>
      </c>
      <c r="F16" s="356">
        <v>489.5</v>
      </c>
      <c r="G16" s="356">
        <v>0</v>
      </c>
      <c r="H16" s="356">
        <v>11.5</v>
      </c>
      <c r="I16" s="356">
        <v>0</v>
      </c>
      <c r="J16" s="356">
        <v>0</v>
      </c>
      <c r="K16" s="356">
        <v>448</v>
      </c>
      <c r="L16" s="356">
        <v>30</v>
      </c>
      <c r="M16" s="356">
        <v>0</v>
      </c>
      <c r="N16" s="356">
        <v>0</v>
      </c>
      <c r="O16" s="356">
        <v>0</v>
      </c>
      <c r="P16" s="356">
        <v>0</v>
      </c>
      <c r="Q16" s="356">
        <v>0</v>
      </c>
      <c r="R16" s="356">
        <v>0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6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6">
        <v>0</v>
      </c>
    </row>
    <row r="17" spans="3:41" x14ac:dyDescent="0.3">
      <c r="C17" s="356">
        <v>9</v>
      </c>
      <c r="D17" s="356">
        <v>2</v>
      </c>
      <c r="E17" s="356">
        <v>4</v>
      </c>
      <c r="F17" s="356">
        <v>550.63</v>
      </c>
      <c r="G17" s="356">
        <v>0</v>
      </c>
      <c r="H17" s="356">
        <v>266.38</v>
      </c>
      <c r="I17" s="356">
        <v>0</v>
      </c>
      <c r="J17" s="356">
        <v>0</v>
      </c>
      <c r="K17" s="356">
        <v>234.25</v>
      </c>
      <c r="L17" s="356">
        <v>0</v>
      </c>
      <c r="M17" s="356">
        <v>0</v>
      </c>
      <c r="N17" s="356">
        <v>0</v>
      </c>
      <c r="O17" s="356">
        <v>0</v>
      </c>
      <c r="P17" s="356">
        <v>0</v>
      </c>
      <c r="Q17" s="356">
        <v>0</v>
      </c>
      <c r="R17" s="356">
        <v>0</v>
      </c>
      <c r="S17" s="356">
        <v>0</v>
      </c>
      <c r="T17" s="356">
        <v>0</v>
      </c>
      <c r="U17" s="356">
        <v>0</v>
      </c>
      <c r="V17" s="356">
        <v>0</v>
      </c>
      <c r="W17" s="356">
        <v>0</v>
      </c>
      <c r="X17" s="356">
        <v>0</v>
      </c>
      <c r="Y17" s="356">
        <v>0</v>
      </c>
      <c r="Z17" s="356">
        <v>0</v>
      </c>
      <c r="AA17" s="356">
        <v>0</v>
      </c>
      <c r="AB17" s="356">
        <v>0</v>
      </c>
      <c r="AC17" s="356">
        <v>0</v>
      </c>
      <c r="AD17" s="356">
        <v>0</v>
      </c>
      <c r="AE17" s="356">
        <v>0</v>
      </c>
      <c r="AF17" s="356">
        <v>0</v>
      </c>
      <c r="AG17" s="356">
        <v>0</v>
      </c>
      <c r="AH17" s="356">
        <v>0</v>
      </c>
      <c r="AI17" s="356">
        <v>50</v>
      </c>
      <c r="AJ17" s="356">
        <v>0</v>
      </c>
      <c r="AK17" s="356">
        <v>0</v>
      </c>
      <c r="AL17" s="356">
        <v>0</v>
      </c>
      <c r="AM17" s="356">
        <v>0</v>
      </c>
      <c r="AN17" s="356">
        <v>0</v>
      </c>
      <c r="AO17" s="356">
        <v>0</v>
      </c>
    </row>
    <row r="18" spans="3:41" x14ac:dyDescent="0.3">
      <c r="C18" s="356">
        <v>9</v>
      </c>
      <c r="D18" s="356">
        <v>2</v>
      </c>
      <c r="E18" s="356">
        <v>5</v>
      </c>
      <c r="F18" s="356">
        <v>26.5</v>
      </c>
      <c r="G18" s="356">
        <v>26.5</v>
      </c>
      <c r="H18" s="356">
        <v>0</v>
      </c>
      <c r="I18" s="356">
        <v>0</v>
      </c>
      <c r="J18" s="356">
        <v>0</v>
      </c>
      <c r="K18" s="356">
        <v>0</v>
      </c>
      <c r="L18" s="356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</row>
    <row r="19" spans="3:41" x14ac:dyDescent="0.3">
      <c r="C19" s="356">
        <v>9</v>
      </c>
      <c r="D19" s="356">
        <v>2</v>
      </c>
      <c r="E19" s="356">
        <v>6</v>
      </c>
      <c r="F19" s="356">
        <v>2521225</v>
      </c>
      <c r="G19" s="356">
        <v>10490</v>
      </c>
      <c r="H19" s="356">
        <v>743495</v>
      </c>
      <c r="I19" s="356">
        <v>0</v>
      </c>
      <c r="J19" s="356">
        <v>0</v>
      </c>
      <c r="K19" s="356">
        <v>1682216</v>
      </c>
      <c r="L19" s="356">
        <v>19481</v>
      </c>
      <c r="M19" s="356">
        <v>0</v>
      </c>
      <c r="N19" s="356">
        <v>0</v>
      </c>
      <c r="O19" s="356">
        <v>0</v>
      </c>
      <c r="P19" s="356">
        <v>0</v>
      </c>
      <c r="Q19" s="356">
        <v>0</v>
      </c>
      <c r="R19" s="356">
        <v>0</v>
      </c>
      <c r="S19" s="356">
        <v>0</v>
      </c>
      <c r="T19" s="356">
        <v>0</v>
      </c>
      <c r="U19" s="356">
        <v>0</v>
      </c>
      <c r="V19" s="356">
        <v>0</v>
      </c>
      <c r="W19" s="356">
        <v>0</v>
      </c>
      <c r="X19" s="356">
        <v>0</v>
      </c>
      <c r="Y19" s="356">
        <v>0</v>
      </c>
      <c r="Z19" s="356">
        <v>0</v>
      </c>
      <c r="AA19" s="356">
        <v>0</v>
      </c>
      <c r="AB19" s="356">
        <v>0</v>
      </c>
      <c r="AC19" s="356">
        <v>0</v>
      </c>
      <c r="AD19" s="356">
        <v>0</v>
      </c>
      <c r="AE19" s="356">
        <v>0</v>
      </c>
      <c r="AF19" s="356">
        <v>0</v>
      </c>
      <c r="AG19" s="356">
        <v>0</v>
      </c>
      <c r="AH19" s="356">
        <v>0</v>
      </c>
      <c r="AI19" s="356">
        <v>43018</v>
      </c>
      <c r="AJ19" s="356">
        <v>0</v>
      </c>
      <c r="AK19" s="356">
        <v>0</v>
      </c>
      <c r="AL19" s="356">
        <v>0</v>
      </c>
      <c r="AM19" s="356">
        <v>0</v>
      </c>
      <c r="AN19" s="356">
        <v>22525</v>
      </c>
      <c r="AO19" s="356">
        <v>0</v>
      </c>
    </row>
    <row r="20" spans="3:41" x14ac:dyDescent="0.3">
      <c r="C20" s="356">
        <v>9</v>
      </c>
      <c r="D20" s="356">
        <v>2</v>
      </c>
      <c r="E20" s="356">
        <v>9</v>
      </c>
      <c r="F20" s="356">
        <v>33066</v>
      </c>
      <c r="G20" s="356">
        <v>0</v>
      </c>
      <c r="H20" s="356">
        <v>0</v>
      </c>
      <c r="I20" s="356">
        <v>0</v>
      </c>
      <c r="J20" s="356">
        <v>0</v>
      </c>
      <c r="K20" s="356">
        <v>27266</v>
      </c>
      <c r="L20" s="356">
        <v>500</v>
      </c>
      <c r="M20" s="356">
        <v>0</v>
      </c>
      <c r="N20" s="356">
        <v>0</v>
      </c>
      <c r="O20" s="356">
        <v>0</v>
      </c>
      <c r="P20" s="356">
        <v>0</v>
      </c>
      <c r="Q20" s="356">
        <v>0</v>
      </c>
      <c r="R20" s="356">
        <v>0</v>
      </c>
      <c r="S20" s="356">
        <v>0</v>
      </c>
      <c r="T20" s="356">
        <v>0</v>
      </c>
      <c r="U20" s="356">
        <v>0</v>
      </c>
      <c r="V20" s="356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6">
        <v>0</v>
      </c>
      <c r="AF20" s="356">
        <v>0</v>
      </c>
      <c r="AG20" s="356">
        <v>0</v>
      </c>
      <c r="AH20" s="356">
        <v>0</v>
      </c>
      <c r="AI20" s="356">
        <v>5300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6">
        <v>0</v>
      </c>
    </row>
    <row r="21" spans="3:41" x14ac:dyDescent="0.3">
      <c r="C21" s="356">
        <v>9</v>
      </c>
      <c r="D21" s="356">
        <v>2</v>
      </c>
      <c r="E21" s="356">
        <v>10</v>
      </c>
      <c r="F21" s="356">
        <v>3450</v>
      </c>
      <c r="G21" s="356">
        <v>0</v>
      </c>
      <c r="H21" s="356">
        <v>1450</v>
      </c>
      <c r="I21" s="356">
        <v>0</v>
      </c>
      <c r="J21" s="356">
        <v>0</v>
      </c>
      <c r="K21" s="356">
        <v>2000</v>
      </c>
      <c r="L21" s="356">
        <v>0</v>
      </c>
      <c r="M21" s="356">
        <v>0</v>
      </c>
      <c r="N21" s="356">
        <v>0</v>
      </c>
      <c r="O21" s="356">
        <v>0</v>
      </c>
      <c r="P21" s="356">
        <v>0</v>
      </c>
      <c r="Q21" s="356">
        <v>0</v>
      </c>
      <c r="R21" s="356">
        <v>0</v>
      </c>
      <c r="S21" s="356">
        <v>0</v>
      </c>
      <c r="T21" s="356">
        <v>0</v>
      </c>
      <c r="U21" s="356">
        <v>0</v>
      </c>
      <c r="V21" s="356">
        <v>0</v>
      </c>
      <c r="W21" s="356">
        <v>0</v>
      </c>
      <c r="X21" s="356">
        <v>0</v>
      </c>
      <c r="Y21" s="356">
        <v>0</v>
      </c>
      <c r="Z21" s="356">
        <v>0</v>
      </c>
      <c r="AA21" s="356">
        <v>0</v>
      </c>
      <c r="AB21" s="356">
        <v>0</v>
      </c>
      <c r="AC21" s="356">
        <v>0</v>
      </c>
      <c r="AD21" s="356">
        <v>0</v>
      </c>
      <c r="AE21" s="356">
        <v>0</v>
      </c>
      <c r="AF21" s="356">
        <v>0</v>
      </c>
      <c r="AG21" s="356">
        <v>0</v>
      </c>
      <c r="AH21" s="356">
        <v>0</v>
      </c>
      <c r="AI21" s="356">
        <v>0</v>
      </c>
      <c r="AJ21" s="356">
        <v>0</v>
      </c>
      <c r="AK21" s="356">
        <v>0</v>
      </c>
      <c r="AL21" s="356">
        <v>0</v>
      </c>
      <c r="AM21" s="356">
        <v>0</v>
      </c>
      <c r="AN21" s="356">
        <v>0</v>
      </c>
      <c r="AO21" s="356">
        <v>0</v>
      </c>
    </row>
    <row r="22" spans="3:41" x14ac:dyDescent="0.3">
      <c r="C22" s="356">
        <v>9</v>
      </c>
      <c r="D22" s="356">
        <v>2</v>
      </c>
      <c r="E22" s="356">
        <v>11</v>
      </c>
      <c r="F22" s="356">
        <v>5886.0626066925806</v>
      </c>
      <c r="G22" s="356">
        <v>0</v>
      </c>
      <c r="H22" s="356">
        <v>2969.3959400259141</v>
      </c>
      <c r="I22" s="356">
        <v>0</v>
      </c>
      <c r="J22" s="356">
        <v>0</v>
      </c>
      <c r="K22" s="356">
        <v>2916.6666666666665</v>
      </c>
      <c r="L22" s="356">
        <v>0</v>
      </c>
      <c r="M22" s="356">
        <v>0</v>
      </c>
      <c r="N22" s="356">
        <v>0</v>
      </c>
      <c r="O22" s="356">
        <v>0</v>
      </c>
      <c r="P22" s="356">
        <v>0</v>
      </c>
      <c r="Q22" s="356">
        <v>0</v>
      </c>
      <c r="R22" s="356">
        <v>0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0</v>
      </c>
    </row>
    <row r="23" spans="3:41" x14ac:dyDescent="0.3">
      <c r="C23" s="356">
        <v>9</v>
      </c>
      <c r="D23" s="356">
        <v>3</v>
      </c>
      <c r="E23" s="356">
        <v>1</v>
      </c>
      <c r="F23" s="356">
        <v>66.25</v>
      </c>
      <c r="G23" s="356">
        <v>0</v>
      </c>
      <c r="H23" s="356">
        <v>9.5</v>
      </c>
      <c r="I23" s="356">
        <v>0</v>
      </c>
      <c r="J23" s="356">
        <v>0</v>
      </c>
      <c r="K23" s="356">
        <v>50.25</v>
      </c>
      <c r="L23" s="356">
        <v>1.5</v>
      </c>
      <c r="M23" s="356">
        <v>0</v>
      </c>
      <c r="N23" s="356">
        <v>0</v>
      </c>
      <c r="O23" s="356">
        <v>0</v>
      </c>
      <c r="P23" s="356">
        <v>0</v>
      </c>
      <c r="Q23" s="356">
        <v>0</v>
      </c>
      <c r="R23" s="356">
        <v>0</v>
      </c>
      <c r="S23" s="356">
        <v>0</v>
      </c>
      <c r="T23" s="356">
        <v>0</v>
      </c>
      <c r="U23" s="356">
        <v>0</v>
      </c>
      <c r="V23" s="356">
        <v>0</v>
      </c>
      <c r="W23" s="356">
        <v>0</v>
      </c>
      <c r="X23" s="356">
        <v>0</v>
      </c>
      <c r="Y23" s="356">
        <v>0</v>
      </c>
      <c r="Z23" s="356">
        <v>0</v>
      </c>
      <c r="AA23" s="356">
        <v>0</v>
      </c>
      <c r="AB23" s="356">
        <v>0</v>
      </c>
      <c r="AC23" s="356">
        <v>0</v>
      </c>
      <c r="AD23" s="356">
        <v>0</v>
      </c>
      <c r="AE23" s="356">
        <v>0</v>
      </c>
      <c r="AF23" s="356">
        <v>0</v>
      </c>
      <c r="AG23" s="356">
        <v>0</v>
      </c>
      <c r="AH23" s="356">
        <v>0</v>
      </c>
      <c r="AI23" s="356">
        <v>4</v>
      </c>
      <c r="AJ23" s="356">
        <v>0</v>
      </c>
      <c r="AK23" s="356">
        <v>0</v>
      </c>
      <c r="AL23" s="356">
        <v>0</v>
      </c>
      <c r="AM23" s="356">
        <v>0</v>
      </c>
      <c r="AN23" s="356">
        <v>1</v>
      </c>
      <c r="AO23" s="356">
        <v>0</v>
      </c>
    </row>
    <row r="24" spans="3:41" x14ac:dyDescent="0.3">
      <c r="C24" s="356">
        <v>9</v>
      </c>
      <c r="D24" s="356">
        <v>3</v>
      </c>
      <c r="E24" s="356">
        <v>2</v>
      </c>
      <c r="F24" s="356">
        <v>8808</v>
      </c>
      <c r="G24" s="356">
        <v>0</v>
      </c>
      <c r="H24" s="356">
        <v>1540</v>
      </c>
      <c r="I24" s="356">
        <v>0</v>
      </c>
      <c r="J24" s="356">
        <v>0</v>
      </c>
      <c r="K24" s="356">
        <v>6624</v>
      </c>
      <c r="L24" s="356">
        <v>36</v>
      </c>
      <c r="M24" s="356">
        <v>0</v>
      </c>
      <c r="N24" s="356">
        <v>0</v>
      </c>
      <c r="O24" s="356">
        <v>0</v>
      </c>
      <c r="P24" s="356">
        <v>0</v>
      </c>
      <c r="Q24" s="356">
        <v>0</v>
      </c>
      <c r="R24" s="356">
        <v>0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432</v>
      </c>
      <c r="AJ24" s="356">
        <v>0</v>
      </c>
      <c r="AK24" s="356">
        <v>0</v>
      </c>
      <c r="AL24" s="356">
        <v>0</v>
      </c>
      <c r="AM24" s="356">
        <v>0</v>
      </c>
      <c r="AN24" s="356">
        <v>176</v>
      </c>
      <c r="AO24" s="356">
        <v>0</v>
      </c>
    </row>
    <row r="25" spans="3:41" x14ac:dyDescent="0.3">
      <c r="C25" s="356">
        <v>9</v>
      </c>
      <c r="D25" s="356">
        <v>3</v>
      </c>
      <c r="E25" s="356">
        <v>3</v>
      </c>
      <c r="F25" s="356">
        <v>725.5</v>
      </c>
      <c r="G25" s="356">
        <v>0</v>
      </c>
      <c r="H25" s="356">
        <v>11.5</v>
      </c>
      <c r="I25" s="356">
        <v>0</v>
      </c>
      <c r="J25" s="356">
        <v>0</v>
      </c>
      <c r="K25" s="356">
        <v>684</v>
      </c>
      <c r="L25" s="356">
        <v>30</v>
      </c>
      <c r="M25" s="356">
        <v>0</v>
      </c>
      <c r="N25" s="356">
        <v>0</v>
      </c>
      <c r="O25" s="356">
        <v>0</v>
      </c>
      <c r="P25" s="356">
        <v>0</v>
      </c>
      <c r="Q25" s="356">
        <v>0</v>
      </c>
      <c r="R25" s="356">
        <v>0</v>
      </c>
      <c r="S25" s="356">
        <v>0</v>
      </c>
      <c r="T25" s="356">
        <v>0</v>
      </c>
      <c r="U25" s="356">
        <v>0</v>
      </c>
      <c r="V25" s="356">
        <v>0</v>
      </c>
      <c r="W25" s="356">
        <v>0</v>
      </c>
      <c r="X25" s="356">
        <v>0</v>
      </c>
      <c r="Y25" s="356">
        <v>0</v>
      </c>
      <c r="Z25" s="356">
        <v>0</v>
      </c>
      <c r="AA25" s="356">
        <v>0</v>
      </c>
      <c r="AB25" s="356">
        <v>0</v>
      </c>
      <c r="AC25" s="356">
        <v>0</v>
      </c>
      <c r="AD25" s="356">
        <v>0</v>
      </c>
      <c r="AE25" s="356">
        <v>0</v>
      </c>
      <c r="AF25" s="356">
        <v>0</v>
      </c>
      <c r="AG25" s="356">
        <v>0</v>
      </c>
      <c r="AH25" s="356">
        <v>0</v>
      </c>
      <c r="AI25" s="356">
        <v>0</v>
      </c>
      <c r="AJ25" s="356">
        <v>0</v>
      </c>
      <c r="AK25" s="356">
        <v>0</v>
      </c>
      <c r="AL25" s="356">
        <v>0</v>
      </c>
      <c r="AM25" s="356">
        <v>0</v>
      </c>
      <c r="AN25" s="356">
        <v>0</v>
      </c>
      <c r="AO25" s="356">
        <v>0</v>
      </c>
    </row>
    <row r="26" spans="3:41" x14ac:dyDescent="0.3">
      <c r="C26" s="356">
        <v>9</v>
      </c>
      <c r="D26" s="356">
        <v>3</v>
      </c>
      <c r="E26" s="356">
        <v>4</v>
      </c>
      <c r="F26" s="356">
        <v>696.5</v>
      </c>
      <c r="G26" s="356">
        <v>0</v>
      </c>
      <c r="H26" s="356">
        <v>239.5</v>
      </c>
      <c r="I26" s="356">
        <v>0</v>
      </c>
      <c r="J26" s="356">
        <v>0</v>
      </c>
      <c r="K26" s="356">
        <v>414.5</v>
      </c>
      <c r="L26" s="356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0</v>
      </c>
      <c r="AG26" s="356">
        <v>0</v>
      </c>
      <c r="AH26" s="356">
        <v>0</v>
      </c>
      <c r="AI26" s="356">
        <v>42.5</v>
      </c>
      <c r="AJ26" s="356">
        <v>0</v>
      </c>
      <c r="AK26" s="356">
        <v>0</v>
      </c>
      <c r="AL26" s="356">
        <v>0</v>
      </c>
      <c r="AM26" s="356">
        <v>0</v>
      </c>
      <c r="AN26" s="356">
        <v>0</v>
      </c>
      <c r="AO26" s="356">
        <v>0</v>
      </c>
    </row>
    <row r="27" spans="3:41" x14ac:dyDescent="0.3">
      <c r="C27" s="356">
        <v>9</v>
      </c>
      <c r="D27" s="356">
        <v>3</v>
      </c>
      <c r="E27" s="356">
        <v>5</v>
      </c>
      <c r="F27" s="356">
        <v>96</v>
      </c>
      <c r="G27" s="356">
        <v>96</v>
      </c>
      <c r="H27" s="356">
        <v>0</v>
      </c>
      <c r="I27" s="356">
        <v>0</v>
      </c>
      <c r="J27" s="356">
        <v>0</v>
      </c>
      <c r="K27" s="356">
        <v>0</v>
      </c>
      <c r="L27" s="356">
        <v>0</v>
      </c>
      <c r="M27" s="356">
        <v>0</v>
      </c>
      <c r="N27" s="356">
        <v>0</v>
      </c>
      <c r="O27" s="356">
        <v>0</v>
      </c>
      <c r="P27" s="356">
        <v>0</v>
      </c>
      <c r="Q27" s="356">
        <v>0</v>
      </c>
      <c r="R27" s="356">
        <v>0</v>
      </c>
      <c r="S27" s="356">
        <v>0</v>
      </c>
      <c r="T27" s="356">
        <v>0</v>
      </c>
      <c r="U27" s="356">
        <v>0</v>
      </c>
      <c r="V27" s="356">
        <v>0</v>
      </c>
      <c r="W27" s="356">
        <v>0</v>
      </c>
      <c r="X27" s="356">
        <v>0</v>
      </c>
      <c r="Y27" s="356">
        <v>0</v>
      </c>
      <c r="Z27" s="356">
        <v>0</v>
      </c>
      <c r="AA27" s="356">
        <v>0</v>
      </c>
      <c r="AB27" s="356">
        <v>0</v>
      </c>
      <c r="AC27" s="356">
        <v>0</v>
      </c>
      <c r="AD27" s="356">
        <v>0</v>
      </c>
      <c r="AE27" s="356">
        <v>0</v>
      </c>
      <c r="AF27" s="356">
        <v>0</v>
      </c>
      <c r="AG27" s="356">
        <v>0</v>
      </c>
      <c r="AH27" s="356">
        <v>0</v>
      </c>
      <c r="AI27" s="356">
        <v>0</v>
      </c>
      <c r="AJ27" s="356">
        <v>0</v>
      </c>
      <c r="AK27" s="356">
        <v>0</v>
      </c>
      <c r="AL27" s="356">
        <v>0</v>
      </c>
      <c r="AM27" s="356">
        <v>0</v>
      </c>
      <c r="AN27" s="356">
        <v>0</v>
      </c>
      <c r="AO27" s="356">
        <v>0</v>
      </c>
    </row>
    <row r="28" spans="3:41" x14ac:dyDescent="0.3">
      <c r="C28" s="356">
        <v>9</v>
      </c>
      <c r="D28" s="356">
        <v>3</v>
      </c>
      <c r="E28" s="356">
        <v>6</v>
      </c>
      <c r="F28" s="356">
        <v>2621004</v>
      </c>
      <c r="G28" s="356">
        <v>40415</v>
      </c>
      <c r="H28" s="356">
        <v>729670</v>
      </c>
      <c r="I28" s="356">
        <v>0</v>
      </c>
      <c r="J28" s="356">
        <v>0</v>
      </c>
      <c r="K28" s="356">
        <v>1762683</v>
      </c>
      <c r="L28" s="356">
        <v>19840</v>
      </c>
      <c r="M28" s="356">
        <v>0</v>
      </c>
      <c r="N28" s="356">
        <v>0</v>
      </c>
      <c r="O28" s="356">
        <v>0</v>
      </c>
      <c r="P28" s="356">
        <v>0</v>
      </c>
      <c r="Q28" s="356">
        <v>0</v>
      </c>
      <c r="R28" s="356">
        <v>0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45966</v>
      </c>
      <c r="AJ28" s="356">
        <v>0</v>
      </c>
      <c r="AK28" s="356">
        <v>0</v>
      </c>
      <c r="AL28" s="356">
        <v>0</v>
      </c>
      <c r="AM28" s="356">
        <v>0</v>
      </c>
      <c r="AN28" s="356">
        <v>22430</v>
      </c>
      <c r="AO28" s="356">
        <v>0</v>
      </c>
    </row>
    <row r="29" spans="3:41" x14ac:dyDescent="0.3">
      <c r="C29" s="356">
        <v>9</v>
      </c>
      <c r="D29" s="356">
        <v>3</v>
      </c>
      <c r="E29" s="356">
        <v>9</v>
      </c>
      <c r="F29" s="356">
        <v>12540</v>
      </c>
      <c r="G29" s="356">
        <v>0</v>
      </c>
      <c r="H29" s="356">
        <v>0</v>
      </c>
      <c r="I29" s="356">
        <v>0</v>
      </c>
      <c r="J29" s="356">
        <v>0</v>
      </c>
      <c r="K29" s="356">
        <v>9500</v>
      </c>
      <c r="L29" s="356">
        <v>400</v>
      </c>
      <c r="M29" s="356">
        <v>0</v>
      </c>
      <c r="N29" s="356">
        <v>0</v>
      </c>
      <c r="O29" s="356">
        <v>0</v>
      </c>
      <c r="P29" s="356">
        <v>0</v>
      </c>
      <c r="Q29" s="356">
        <v>0</v>
      </c>
      <c r="R29" s="356">
        <v>0</v>
      </c>
      <c r="S29" s="356">
        <v>0</v>
      </c>
      <c r="T29" s="356">
        <v>0</v>
      </c>
      <c r="U29" s="356">
        <v>0</v>
      </c>
      <c r="V29" s="356">
        <v>0</v>
      </c>
      <c r="W29" s="356">
        <v>0</v>
      </c>
      <c r="X29" s="356">
        <v>0</v>
      </c>
      <c r="Y29" s="356">
        <v>0</v>
      </c>
      <c r="Z29" s="356">
        <v>0</v>
      </c>
      <c r="AA29" s="356">
        <v>0</v>
      </c>
      <c r="AB29" s="356">
        <v>0</v>
      </c>
      <c r="AC29" s="356">
        <v>0</v>
      </c>
      <c r="AD29" s="356">
        <v>0</v>
      </c>
      <c r="AE29" s="356">
        <v>0</v>
      </c>
      <c r="AF29" s="356">
        <v>0</v>
      </c>
      <c r="AG29" s="356">
        <v>0</v>
      </c>
      <c r="AH29" s="356">
        <v>0</v>
      </c>
      <c r="AI29" s="356">
        <v>2640</v>
      </c>
      <c r="AJ29" s="356">
        <v>0</v>
      </c>
      <c r="AK29" s="356">
        <v>0</v>
      </c>
      <c r="AL29" s="356">
        <v>0</v>
      </c>
      <c r="AM29" s="356">
        <v>0</v>
      </c>
      <c r="AN29" s="356">
        <v>0</v>
      </c>
      <c r="AO29" s="356">
        <v>0</v>
      </c>
    </row>
    <row r="30" spans="3:41" x14ac:dyDescent="0.3">
      <c r="C30" s="356">
        <v>9</v>
      </c>
      <c r="D30" s="356">
        <v>3</v>
      </c>
      <c r="E30" s="356">
        <v>10</v>
      </c>
      <c r="F30" s="356">
        <v>1800</v>
      </c>
      <c r="G30" s="356">
        <v>0</v>
      </c>
      <c r="H30" s="356">
        <v>0</v>
      </c>
      <c r="I30" s="356">
        <v>0</v>
      </c>
      <c r="J30" s="356">
        <v>0</v>
      </c>
      <c r="K30" s="356">
        <v>1800</v>
      </c>
      <c r="L30" s="356">
        <v>0</v>
      </c>
      <c r="M30" s="356">
        <v>0</v>
      </c>
      <c r="N30" s="356">
        <v>0</v>
      </c>
      <c r="O30" s="356">
        <v>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0</v>
      </c>
      <c r="AG30" s="356">
        <v>0</v>
      </c>
      <c r="AH30" s="356">
        <v>0</v>
      </c>
      <c r="AI30" s="356">
        <v>0</v>
      </c>
      <c r="AJ30" s="356">
        <v>0</v>
      </c>
      <c r="AK30" s="356">
        <v>0</v>
      </c>
      <c r="AL30" s="356">
        <v>0</v>
      </c>
      <c r="AM30" s="356">
        <v>0</v>
      </c>
      <c r="AN30" s="356">
        <v>0</v>
      </c>
      <c r="AO30" s="356">
        <v>0</v>
      </c>
    </row>
    <row r="31" spans="3:41" x14ac:dyDescent="0.3">
      <c r="C31" s="356">
        <v>9</v>
      </c>
      <c r="D31" s="356">
        <v>3</v>
      </c>
      <c r="E31" s="356">
        <v>11</v>
      </c>
      <c r="F31" s="356">
        <v>5886.0626066925806</v>
      </c>
      <c r="G31" s="356">
        <v>0</v>
      </c>
      <c r="H31" s="356">
        <v>2969.3959400259141</v>
      </c>
      <c r="I31" s="356">
        <v>0</v>
      </c>
      <c r="J31" s="356">
        <v>0</v>
      </c>
      <c r="K31" s="356">
        <v>2916.6666666666665</v>
      </c>
      <c r="L31" s="356">
        <v>0</v>
      </c>
      <c r="M31" s="356">
        <v>0</v>
      </c>
      <c r="N31" s="356">
        <v>0</v>
      </c>
      <c r="O31" s="356">
        <v>0</v>
      </c>
      <c r="P31" s="356">
        <v>0</v>
      </c>
      <c r="Q31" s="356">
        <v>0</v>
      </c>
      <c r="R31" s="356">
        <v>0</v>
      </c>
      <c r="S31" s="356">
        <v>0</v>
      </c>
      <c r="T31" s="356">
        <v>0</v>
      </c>
      <c r="U31" s="356">
        <v>0</v>
      </c>
      <c r="V31" s="356">
        <v>0</v>
      </c>
      <c r="W31" s="356">
        <v>0</v>
      </c>
      <c r="X31" s="356">
        <v>0</v>
      </c>
      <c r="Y31" s="356">
        <v>0</v>
      </c>
      <c r="Z31" s="356">
        <v>0</v>
      </c>
      <c r="AA31" s="356">
        <v>0</v>
      </c>
      <c r="AB31" s="356">
        <v>0</v>
      </c>
      <c r="AC31" s="356">
        <v>0</v>
      </c>
      <c r="AD31" s="356">
        <v>0</v>
      </c>
      <c r="AE31" s="356">
        <v>0</v>
      </c>
      <c r="AF31" s="356">
        <v>0</v>
      </c>
      <c r="AG31" s="356">
        <v>0</v>
      </c>
      <c r="AH31" s="356">
        <v>0</v>
      </c>
      <c r="AI31" s="356">
        <v>0</v>
      </c>
      <c r="AJ31" s="356">
        <v>0</v>
      </c>
      <c r="AK31" s="356">
        <v>0</v>
      </c>
      <c r="AL31" s="356">
        <v>0</v>
      </c>
      <c r="AM31" s="356">
        <v>0</v>
      </c>
      <c r="AN31" s="356">
        <v>0</v>
      </c>
      <c r="AO31" s="356">
        <v>0</v>
      </c>
    </row>
    <row r="32" spans="3:41" x14ac:dyDescent="0.3">
      <c r="C32" s="356">
        <v>9</v>
      </c>
      <c r="D32" s="356">
        <v>4</v>
      </c>
      <c r="E32" s="356">
        <v>1</v>
      </c>
      <c r="F32" s="356">
        <v>66.75</v>
      </c>
      <c r="G32" s="356">
        <v>0</v>
      </c>
      <c r="H32" s="356">
        <v>9.5</v>
      </c>
      <c r="I32" s="356">
        <v>0</v>
      </c>
      <c r="J32" s="356">
        <v>0</v>
      </c>
      <c r="K32" s="356">
        <v>50.75</v>
      </c>
      <c r="L32" s="356">
        <v>1.5</v>
      </c>
      <c r="M32" s="356">
        <v>0</v>
      </c>
      <c r="N32" s="356">
        <v>0</v>
      </c>
      <c r="O32" s="356">
        <v>0</v>
      </c>
      <c r="P32" s="356">
        <v>0</v>
      </c>
      <c r="Q32" s="356">
        <v>0</v>
      </c>
      <c r="R32" s="356">
        <v>0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4</v>
      </c>
      <c r="AJ32" s="356">
        <v>0</v>
      </c>
      <c r="AK32" s="356">
        <v>0</v>
      </c>
      <c r="AL32" s="356">
        <v>0</v>
      </c>
      <c r="AM32" s="356">
        <v>0</v>
      </c>
      <c r="AN32" s="356">
        <v>1</v>
      </c>
      <c r="AO32" s="356">
        <v>0</v>
      </c>
    </row>
    <row r="33" spans="3:41" x14ac:dyDescent="0.3">
      <c r="C33" s="356">
        <v>9</v>
      </c>
      <c r="D33" s="356">
        <v>4</v>
      </c>
      <c r="E33" s="356">
        <v>2</v>
      </c>
      <c r="F33" s="356">
        <v>9709.25</v>
      </c>
      <c r="G33" s="356">
        <v>0</v>
      </c>
      <c r="H33" s="356">
        <v>1588</v>
      </c>
      <c r="I33" s="356">
        <v>0</v>
      </c>
      <c r="J33" s="356">
        <v>0</v>
      </c>
      <c r="K33" s="356">
        <v>7437.25</v>
      </c>
      <c r="L33" s="356">
        <v>84</v>
      </c>
      <c r="M33" s="356">
        <v>0</v>
      </c>
      <c r="N33" s="356">
        <v>0</v>
      </c>
      <c r="O33" s="356">
        <v>0</v>
      </c>
      <c r="P33" s="356">
        <v>0</v>
      </c>
      <c r="Q33" s="356">
        <v>0</v>
      </c>
      <c r="R33" s="356">
        <v>0</v>
      </c>
      <c r="S33" s="356">
        <v>0</v>
      </c>
      <c r="T33" s="356">
        <v>0</v>
      </c>
      <c r="U33" s="356">
        <v>0</v>
      </c>
      <c r="V33" s="356">
        <v>0</v>
      </c>
      <c r="W33" s="356">
        <v>0</v>
      </c>
      <c r="X33" s="356">
        <v>0</v>
      </c>
      <c r="Y33" s="356">
        <v>0</v>
      </c>
      <c r="Z33" s="356">
        <v>0</v>
      </c>
      <c r="AA33" s="356">
        <v>0</v>
      </c>
      <c r="AB33" s="356">
        <v>0</v>
      </c>
      <c r="AC33" s="356">
        <v>0</v>
      </c>
      <c r="AD33" s="356">
        <v>0</v>
      </c>
      <c r="AE33" s="356">
        <v>0</v>
      </c>
      <c r="AF33" s="356">
        <v>0</v>
      </c>
      <c r="AG33" s="356">
        <v>0</v>
      </c>
      <c r="AH33" s="356">
        <v>0</v>
      </c>
      <c r="AI33" s="356">
        <v>464</v>
      </c>
      <c r="AJ33" s="356">
        <v>0</v>
      </c>
      <c r="AK33" s="356">
        <v>0</v>
      </c>
      <c r="AL33" s="356">
        <v>0</v>
      </c>
      <c r="AM33" s="356">
        <v>0</v>
      </c>
      <c r="AN33" s="356">
        <v>136</v>
      </c>
      <c r="AO33" s="356">
        <v>0</v>
      </c>
    </row>
    <row r="34" spans="3:41" x14ac:dyDescent="0.3">
      <c r="C34" s="356">
        <v>9</v>
      </c>
      <c r="D34" s="356">
        <v>4</v>
      </c>
      <c r="E34" s="356">
        <v>3</v>
      </c>
      <c r="F34" s="356">
        <v>876.5</v>
      </c>
      <c r="G34" s="356">
        <v>0</v>
      </c>
      <c r="H34" s="356">
        <v>11.5</v>
      </c>
      <c r="I34" s="356">
        <v>0</v>
      </c>
      <c r="J34" s="356">
        <v>0</v>
      </c>
      <c r="K34" s="356">
        <v>830</v>
      </c>
      <c r="L34" s="356">
        <v>35</v>
      </c>
      <c r="M34" s="356">
        <v>0</v>
      </c>
      <c r="N34" s="356">
        <v>0</v>
      </c>
      <c r="O34" s="356">
        <v>0</v>
      </c>
      <c r="P34" s="356">
        <v>0</v>
      </c>
      <c r="Q34" s="356">
        <v>0</v>
      </c>
      <c r="R34" s="356">
        <v>0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0</v>
      </c>
      <c r="AG34" s="356">
        <v>0</v>
      </c>
      <c r="AH34" s="356">
        <v>0</v>
      </c>
      <c r="AI34" s="356">
        <v>0</v>
      </c>
      <c r="AJ34" s="356">
        <v>0</v>
      </c>
      <c r="AK34" s="356">
        <v>0</v>
      </c>
      <c r="AL34" s="356">
        <v>0</v>
      </c>
      <c r="AM34" s="356">
        <v>0</v>
      </c>
      <c r="AN34" s="356">
        <v>0</v>
      </c>
      <c r="AO34" s="356">
        <v>0</v>
      </c>
    </row>
    <row r="35" spans="3:41" x14ac:dyDescent="0.3">
      <c r="C35" s="356">
        <v>9</v>
      </c>
      <c r="D35" s="356">
        <v>4</v>
      </c>
      <c r="E35" s="356">
        <v>4</v>
      </c>
      <c r="F35" s="356">
        <v>815.15</v>
      </c>
      <c r="G35" s="356">
        <v>0</v>
      </c>
      <c r="H35" s="356">
        <v>291.5</v>
      </c>
      <c r="I35" s="356">
        <v>0</v>
      </c>
      <c r="J35" s="356">
        <v>0</v>
      </c>
      <c r="K35" s="356">
        <v>498.15</v>
      </c>
      <c r="L35" s="356">
        <v>0</v>
      </c>
      <c r="M35" s="356">
        <v>0</v>
      </c>
      <c r="N35" s="356">
        <v>0</v>
      </c>
      <c r="O35" s="356">
        <v>0</v>
      </c>
      <c r="P35" s="356">
        <v>0</v>
      </c>
      <c r="Q35" s="356">
        <v>0</v>
      </c>
      <c r="R35" s="356">
        <v>0</v>
      </c>
      <c r="S35" s="356">
        <v>0</v>
      </c>
      <c r="T35" s="356">
        <v>0</v>
      </c>
      <c r="U35" s="356">
        <v>0</v>
      </c>
      <c r="V35" s="356">
        <v>0</v>
      </c>
      <c r="W35" s="356">
        <v>0</v>
      </c>
      <c r="X35" s="356">
        <v>0</v>
      </c>
      <c r="Y35" s="356">
        <v>0</v>
      </c>
      <c r="Z35" s="356">
        <v>0</v>
      </c>
      <c r="AA35" s="356">
        <v>0</v>
      </c>
      <c r="AB35" s="356">
        <v>0</v>
      </c>
      <c r="AC35" s="356">
        <v>0</v>
      </c>
      <c r="AD35" s="356">
        <v>0</v>
      </c>
      <c r="AE35" s="356">
        <v>0</v>
      </c>
      <c r="AF35" s="356">
        <v>0</v>
      </c>
      <c r="AG35" s="356">
        <v>0</v>
      </c>
      <c r="AH35" s="356">
        <v>0</v>
      </c>
      <c r="AI35" s="356">
        <v>25.5</v>
      </c>
      <c r="AJ35" s="356">
        <v>0</v>
      </c>
      <c r="AK35" s="356">
        <v>0</v>
      </c>
      <c r="AL35" s="356">
        <v>0</v>
      </c>
      <c r="AM35" s="356">
        <v>0</v>
      </c>
      <c r="AN35" s="356">
        <v>0</v>
      </c>
      <c r="AO35" s="356">
        <v>0</v>
      </c>
    </row>
    <row r="36" spans="3:41" x14ac:dyDescent="0.3">
      <c r="C36" s="356">
        <v>9</v>
      </c>
      <c r="D36" s="356">
        <v>4</v>
      </c>
      <c r="E36" s="356">
        <v>5</v>
      </c>
      <c r="F36" s="356">
        <v>73</v>
      </c>
      <c r="G36" s="356">
        <v>73</v>
      </c>
      <c r="H36" s="356">
        <v>0</v>
      </c>
      <c r="I36" s="356">
        <v>0</v>
      </c>
      <c r="J36" s="356">
        <v>0</v>
      </c>
      <c r="K36" s="356">
        <v>0</v>
      </c>
      <c r="L36" s="356">
        <v>0</v>
      </c>
      <c r="M36" s="356">
        <v>0</v>
      </c>
      <c r="N36" s="356">
        <v>0</v>
      </c>
      <c r="O36" s="356">
        <v>0</v>
      </c>
      <c r="P36" s="356">
        <v>0</v>
      </c>
      <c r="Q36" s="356">
        <v>0</v>
      </c>
      <c r="R36" s="356">
        <v>0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0</v>
      </c>
    </row>
    <row r="37" spans="3:41" x14ac:dyDescent="0.3">
      <c r="C37" s="356">
        <v>9</v>
      </c>
      <c r="D37" s="356">
        <v>4</v>
      </c>
      <c r="E37" s="356">
        <v>6</v>
      </c>
      <c r="F37" s="356">
        <v>2740372</v>
      </c>
      <c r="G37" s="356">
        <v>34665</v>
      </c>
      <c r="H37" s="356">
        <v>767160</v>
      </c>
      <c r="I37" s="356">
        <v>0</v>
      </c>
      <c r="J37" s="356">
        <v>0</v>
      </c>
      <c r="K37" s="356">
        <v>1848700</v>
      </c>
      <c r="L37" s="356">
        <v>18763</v>
      </c>
      <c r="M37" s="356">
        <v>0</v>
      </c>
      <c r="N37" s="356">
        <v>0</v>
      </c>
      <c r="O37" s="356">
        <v>0</v>
      </c>
      <c r="P37" s="356">
        <v>0</v>
      </c>
      <c r="Q37" s="356">
        <v>0</v>
      </c>
      <c r="R37" s="356">
        <v>0</v>
      </c>
      <c r="S37" s="356">
        <v>0</v>
      </c>
      <c r="T37" s="356">
        <v>0</v>
      </c>
      <c r="U37" s="356">
        <v>0</v>
      </c>
      <c r="V37" s="356">
        <v>0</v>
      </c>
      <c r="W37" s="356">
        <v>0</v>
      </c>
      <c r="X37" s="356">
        <v>0</v>
      </c>
      <c r="Y37" s="356">
        <v>0</v>
      </c>
      <c r="Z37" s="356">
        <v>0</v>
      </c>
      <c r="AA37" s="356">
        <v>0</v>
      </c>
      <c r="AB37" s="356">
        <v>0</v>
      </c>
      <c r="AC37" s="356">
        <v>0</v>
      </c>
      <c r="AD37" s="356">
        <v>0</v>
      </c>
      <c r="AE37" s="356">
        <v>0</v>
      </c>
      <c r="AF37" s="356">
        <v>0</v>
      </c>
      <c r="AG37" s="356">
        <v>0</v>
      </c>
      <c r="AH37" s="356">
        <v>0</v>
      </c>
      <c r="AI37" s="356">
        <v>47489</v>
      </c>
      <c r="AJ37" s="356">
        <v>0</v>
      </c>
      <c r="AK37" s="356">
        <v>0</v>
      </c>
      <c r="AL37" s="356">
        <v>0</v>
      </c>
      <c r="AM37" s="356">
        <v>0</v>
      </c>
      <c r="AN37" s="356">
        <v>23595</v>
      </c>
      <c r="AO37" s="356">
        <v>0</v>
      </c>
    </row>
    <row r="38" spans="3:41" x14ac:dyDescent="0.3">
      <c r="C38" s="356">
        <v>9</v>
      </c>
      <c r="D38" s="356">
        <v>4</v>
      </c>
      <c r="E38" s="356">
        <v>9</v>
      </c>
      <c r="F38" s="356">
        <v>40394</v>
      </c>
      <c r="G38" s="356">
        <v>0</v>
      </c>
      <c r="H38" s="356">
        <v>13650</v>
      </c>
      <c r="I38" s="356">
        <v>0</v>
      </c>
      <c r="J38" s="356">
        <v>0</v>
      </c>
      <c r="K38" s="356">
        <v>26444</v>
      </c>
      <c r="L38" s="356">
        <v>300</v>
      </c>
      <c r="M38" s="356">
        <v>0</v>
      </c>
      <c r="N38" s="356">
        <v>0</v>
      </c>
      <c r="O38" s="356">
        <v>0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56">
        <v>0</v>
      </c>
      <c r="AC38" s="356">
        <v>0</v>
      </c>
      <c r="AD38" s="356">
        <v>0</v>
      </c>
      <c r="AE38" s="356">
        <v>0</v>
      </c>
      <c r="AF38" s="356">
        <v>0</v>
      </c>
      <c r="AG38" s="356">
        <v>0</v>
      </c>
      <c r="AH38" s="356">
        <v>0</v>
      </c>
      <c r="AI38" s="356">
        <v>0</v>
      </c>
      <c r="AJ38" s="356">
        <v>0</v>
      </c>
      <c r="AK38" s="356">
        <v>0</v>
      </c>
      <c r="AL38" s="356">
        <v>0</v>
      </c>
      <c r="AM38" s="356">
        <v>0</v>
      </c>
      <c r="AN38" s="356">
        <v>0</v>
      </c>
      <c r="AO38" s="356">
        <v>0</v>
      </c>
    </row>
    <row r="39" spans="3:41" x14ac:dyDescent="0.3">
      <c r="C39" s="356">
        <v>9</v>
      </c>
      <c r="D39" s="356">
        <v>4</v>
      </c>
      <c r="E39" s="356">
        <v>10</v>
      </c>
      <c r="F39" s="356">
        <v>8250</v>
      </c>
      <c r="G39" s="356">
        <v>0</v>
      </c>
      <c r="H39" s="356">
        <v>3250</v>
      </c>
      <c r="I39" s="356">
        <v>0</v>
      </c>
      <c r="J39" s="356">
        <v>0</v>
      </c>
      <c r="K39" s="356">
        <v>5000</v>
      </c>
      <c r="L39" s="356">
        <v>0</v>
      </c>
      <c r="M39" s="356">
        <v>0</v>
      </c>
      <c r="N39" s="356">
        <v>0</v>
      </c>
      <c r="O39" s="356">
        <v>0</v>
      </c>
      <c r="P39" s="356">
        <v>0</v>
      </c>
      <c r="Q39" s="356">
        <v>0</v>
      </c>
      <c r="R39" s="356">
        <v>0</v>
      </c>
      <c r="S39" s="356">
        <v>0</v>
      </c>
      <c r="T39" s="356">
        <v>0</v>
      </c>
      <c r="U39" s="356">
        <v>0</v>
      </c>
      <c r="V39" s="356">
        <v>0</v>
      </c>
      <c r="W39" s="356">
        <v>0</v>
      </c>
      <c r="X39" s="356">
        <v>0</v>
      </c>
      <c r="Y39" s="356">
        <v>0</v>
      </c>
      <c r="Z39" s="356">
        <v>0</v>
      </c>
      <c r="AA39" s="356">
        <v>0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</row>
    <row r="40" spans="3:41" x14ac:dyDescent="0.3">
      <c r="C40" s="356">
        <v>9</v>
      </c>
      <c r="D40" s="356">
        <v>4</v>
      </c>
      <c r="E40" s="356">
        <v>11</v>
      </c>
      <c r="F40" s="356">
        <v>5886.0626066925806</v>
      </c>
      <c r="G40" s="356">
        <v>0</v>
      </c>
      <c r="H40" s="356">
        <v>2969.3959400259141</v>
      </c>
      <c r="I40" s="356">
        <v>0</v>
      </c>
      <c r="J40" s="356">
        <v>0</v>
      </c>
      <c r="K40" s="356">
        <v>2916.6666666666665</v>
      </c>
      <c r="L40" s="356">
        <v>0</v>
      </c>
      <c r="M40" s="356">
        <v>0</v>
      </c>
      <c r="N40" s="356">
        <v>0</v>
      </c>
      <c r="O40" s="356">
        <v>0</v>
      </c>
      <c r="P40" s="356">
        <v>0</v>
      </c>
      <c r="Q40" s="356">
        <v>0</v>
      </c>
      <c r="R40" s="356">
        <v>0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0</v>
      </c>
    </row>
    <row r="41" spans="3:41" x14ac:dyDescent="0.3">
      <c r="C41" s="356">
        <v>9</v>
      </c>
      <c r="D41" s="356">
        <v>5</v>
      </c>
      <c r="E41" s="356">
        <v>1</v>
      </c>
      <c r="F41" s="356">
        <v>65.75</v>
      </c>
      <c r="G41" s="356">
        <v>0</v>
      </c>
      <c r="H41" s="356">
        <v>9.5</v>
      </c>
      <c r="I41" s="356">
        <v>0</v>
      </c>
      <c r="J41" s="356">
        <v>0</v>
      </c>
      <c r="K41" s="356">
        <v>50.75</v>
      </c>
      <c r="L41" s="356">
        <v>0.5</v>
      </c>
      <c r="M41" s="356">
        <v>0</v>
      </c>
      <c r="N41" s="356">
        <v>0</v>
      </c>
      <c r="O41" s="356">
        <v>0</v>
      </c>
      <c r="P41" s="356">
        <v>0</v>
      </c>
      <c r="Q41" s="356">
        <v>0</v>
      </c>
      <c r="R41" s="356">
        <v>0</v>
      </c>
      <c r="S41" s="356">
        <v>0</v>
      </c>
      <c r="T41" s="356">
        <v>0</v>
      </c>
      <c r="U41" s="356">
        <v>0</v>
      </c>
      <c r="V41" s="356">
        <v>0</v>
      </c>
      <c r="W41" s="356">
        <v>0</v>
      </c>
      <c r="X41" s="356">
        <v>0</v>
      </c>
      <c r="Y41" s="356">
        <v>0</v>
      </c>
      <c r="Z41" s="356">
        <v>0</v>
      </c>
      <c r="AA41" s="356">
        <v>0</v>
      </c>
      <c r="AB41" s="356">
        <v>0</v>
      </c>
      <c r="AC41" s="356">
        <v>0</v>
      </c>
      <c r="AD41" s="356">
        <v>0</v>
      </c>
      <c r="AE41" s="356">
        <v>0</v>
      </c>
      <c r="AF41" s="356">
        <v>0</v>
      </c>
      <c r="AG41" s="356">
        <v>0</v>
      </c>
      <c r="AH41" s="356">
        <v>0</v>
      </c>
      <c r="AI41" s="356">
        <v>4</v>
      </c>
      <c r="AJ41" s="356">
        <v>0</v>
      </c>
      <c r="AK41" s="356">
        <v>0</v>
      </c>
      <c r="AL41" s="356">
        <v>0</v>
      </c>
      <c r="AM41" s="356">
        <v>0</v>
      </c>
      <c r="AN41" s="356">
        <v>1</v>
      </c>
      <c r="AO41" s="356">
        <v>0</v>
      </c>
    </row>
    <row r="42" spans="3:41" x14ac:dyDescent="0.3">
      <c r="C42" s="356">
        <v>9</v>
      </c>
      <c r="D42" s="356">
        <v>5</v>
      </c>
      <c r="E42" s="356">
        <v>2</v>
      </c>
      <c r="F42" s="356">
        <v>8952.5</v>
      </c>
      <c r="G42" s="356">
        <v>0</v>
      </c>
      <c r="H42" s="356">
        <v>1380</v>
      </c>
      <c r="I42" s="356">
        <v>0</v>
      </c>
      <c r="J42" s="356">
        <v>0</v>
      </c>
      <c r="K42" s="356">
        <v>6796.5</v>
      </c>
      <c r="L42" s="356">
        <v>60</v>
      </c>
      <c r="M42" s="356">
        <v>0</v>
      </c>
      <c r="N42" s="356">
        <v>0</v>
      </c>
      <c r="O42" s="356">
        <v>0</v>
      </c>
      <c r="P42" s="356">
        <v>0</v>
      </c>
      <c r="Q42" s="356">
        <v>0</v>
      </c>
      <c r="R42" s="356">
        <v>0</v>
      </c>
      <c r="S42" s="356">
        <v>0</v>
      </c>
      <c r="T42" s="356">
        <v>0</v>
      </c>
      <c r="U42" s="356">
        <v>0</v>
      </c>
      <c r="V42" s="356">
        <v>0</v>
      </c>
      <c r="W42" s="356">
        <v>0</v>
      </c>
      <c r="X42" s="356">
        <v>0</v>
      </c>
      <c r="Y42" s="356">
        <v>0</v>
      </c>
      <c r="Z42" s="356">
        <v>0</v>
      </c>
      <c r="AA42" s="356">
        <v>0</v>
      </c>
      <c r="AB42" s="356">
        <v>0</v>
      </c>
      <c r="AC42" s="356">
        <v>0</v>
      </c>
      <c r="AD42" s="356">
        <v>0</v>
      </c>
      <c r="AE42" s="356">
        <v>0</v>
      </c>
      <c r="AF42" s="356">
        <v>0</v>
      </c>
      <c r="AG42" s="356">
        <v>0</v>
      </c>
      <c r="AH42" s="356">
        <v>0</v>
      </c>
      <c r="AI42" s="356">
        <v>548</v>
      </c>
      <c r="AJ42" s="356">
        <v>0</v>
      </c>
      <c r="AK42" s="356">
        <v>0</v>
      </c>
      <c r="AL42" s="356">
        <v>0</v>
      </c>
      <c r="AM42" s="356">
        <v>0</v>
      </c>
      <c r="AN42" s="356">
        <v>168</v>
      </c>
      <c r="AO42" s="356">
        <v>0</v>
      </c>
    </row>
    <row r="43" spans="3:41" x14ac:dyDescent="0.3">
      <c r="C43" s="356">
        <v>9</v>
      </c>
      <c r="D43" s="356">
        <v>5</v>
      </c>
      <c r="E43" s="356">
        <v>3</v>
      </c>
      <c r="F43" s="356">
        <v>778</v>
      </c>
      <c r="G43" s="356">
        <v>0</v>
      </c>
      <c r="H43" s="356">
        <v>34.5</v>
      </c>
      <c r="I43" s="356">
        <v>0</v>
      </c>
      <c r="J43" s="356">
        <v>0</v>
      </c>
      <c r="K43" s="356">
        <v>723.5</v>
      </c>
      <c r="L43" s="356">
        <v>20</v>
      </c>
      <c r="M43" s="356">
        <v>0</v>
      </c>
      <c r="N43" s="356">
        <v>0</v>
      </c>
      <c r="O43" s="356">
        <v>0</v>
      </c>
      <c r="P43" s="356">
        <v>0</v>
      </c>
      <c r="Q43" s="356">
        <v>0</v>
      </c>
      <c r="R43" s="356">
        <v>0</v>
      </c>
      <c r="S43" s="356">
        <v>0</v>
      </c>
      <c r="T43" s="356">
        <v>0</v>
      </c>
      <c r="U43" s="356">
        <v>0</v>
      </c>
      <c r="V43" s="356">
        <v>0</v>
      </c>
      <c r="W43" s="356">
        <v>0</v>
      </c>
      <c r="X43" s="356">
        <v>0</v>
      </c>
      <c r="Y43" s="356">
        <v>0</v>
      </c>
      <c r="Z43" s="356">
        <v>0</v>
      </c>
      <c r="AA43" s="356">
        <v>0</v>
      </c>
      <c r="AB43" s="356">
        <v>0</v>
      </c>
      <c r="AC43" s="356">
        <v>0</v>
      </c>
      <c r="AD43" s="356">
        <v>0</v>
      </c>
      <c r="AE43" s="356">
        <v>0</v>
      </c>
      <c r="AF43" s="356">
        <v>0</v>
      </c>
      <c r="AG43" s="356">
        <v>0</v>
      </c>
      <c r="AH43" s="356">
        <v>0</v>
      </c>
      <c r="AI43" s="356">
        <v>0</v>
      </c>
      <c r="AJ43" s="356">
        <v>0</v>
      </c>
      <c r="AK43" s="356">
        <v>0</v>
      </c>
      <c r="AL43" s="356">
        <v>0</v>
      </c>
      <c r="AM43" s="356">
        <v>0</v>
      </c>
      <c r="AN43" s="356">
        <v>0</v>
      </c>
      <c r="AO43" s="356">
        <v>0</v>
      </c>
    </row>
    <row r="44" spans="3:41" x14ac:dyDescent="0.3">
      <c r="C44" s="356">
        <v>9</v>
      </c>
      <c r="D44" s="356">
        <v>5</v>
      </c>
      <c r="E44" s="356">
        <v>4</v>
      </c>
      <c r="F44" s="356">
        <v>731.5</v>
      </c>
      <c r="G44" s="356">
        <v>0</v>
      </c>
      <c r="H44" s="356">
        <v>258.5</v>
      </c>
      <c r="I44" s="356">
        <v>0</v>
      </c>
      <c r="J44" s="356">
        <v>0</v>
      </c>
      <c r="K44" s="356">
        <v>423</v>
      </c>
      <c r="L44" s="356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50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</row>
    <row r="45" spans="3:41" x14ac:dyDescent="0.3">
      <c r="C45" s="356">
        <v>9</v>
      </c>
      <c r="D45" s="356">
        <v>5</v>
      </c>
      <c r="E45" s="356">
        <v>5</v>
      </c>
      <c r="F45" s="356">
        <v>109</v>
      </c>
      <c r="G45" s="356">
        <v>109</v>
      </c>
      <c r="H45" s="356">
        <v>0</v>
      </c>
      <c r="I45" s="356">
        <v>0</v>
      </c>
      <c r="J45" s="356">
        <v>0</v>
      </c>
      <c r="K45" s="356">
        <v>0</v>
      </c>
      <c r="L45" s="356">
        <v>0</v>
      </c>
      <c r="M45" s="356">
        <v>0</v>
      </c>
      <c r="N45" s="356">
        <v>0</v>
      </c>
      <c r="O45" s="356">
        <v>0</v>
      </c>
      <c r="P45" s="356">
        <v>0</v>
      </c>
      <c r="Q45" s="356">
        <v>0</v>
      </c>
      <c r="R45" s="356">
        <v>0</v>
      </c>
      <c r="S45" s="356">
        <v>0</v>
      </c>
      <c r="T45" s="356">
        <v>0</v>
      </c>
      <c r="U45" s="356">
        <v>0</v>
      </c>
      <c r="V45" s="356">
        <v>0</v>
      </c>
      <c r="W45" s="356">
        <v>0</v>
      </c>
      <c r="X45" s="356">
        <v>0</v>
      </c>
      <c r="Y45" s="356">
        <v>0</v>
      </c>
      <c r="Z45" s="356">
        <v>0</v>
      </c>
      <c r="AA45" s="356">
        <v>0</v>
      </c>
      <c r="AB45" s="356">
        <v>0</v>
      </c>
      <c r="AC45" s="356">
        <v>0</v>
      </c>
      <c r="AD45" s="356">
        <v>0</v>
      </c>
      <c r="AE45" s="356">
        <v>0</v>
      </c>
      <c r="AF45" s="356">
        <v>0</v>
      </c>
      <c r="AG45" s="356">
        <v>0</v>
      </c>
      <c r="AH45" s="356">
        <v>0</v>
      </c>
      <c r="AI45" s="356">
        <v>0</v>
      </c>
      <c r="AJ45" s="356">
        <v>0</v>
      </c>
      <c r="AK45" s="356">
        <v>0</v>
      </c>
      <c r="AL45" s="356">
        <v>0</v>
      </c>
      <c r="AM45" s="356">
        <v>0</v>
      </c>
      <c r="AN45" s="356">
        <v>0</v>
      </c>
      <c r="AO45" s="356">
        <v>0</v>
      </c>
    </row>
    <row r="46" spans="3:41" x14ac:dyDescent="0.3">
      <c r="C46" s="356">
        <v>9</v>
      </c>
      <c r="D46" s="356">
        <v>5</v>
      </c>
      <c r="E46" s="356">
        <v>6</v>
      </c>
      <c r="F46" s="356">
        <v>2756242</v>
      </c>
      <c r="G46" s="356">
        <v>39265</v>
      </c>
      <c r="H46" s="356">
        <v>749498</v>
      </c>
      <c r="I46" s="356">
        <v>0</v>
      </c>
      <c r="J46" s="356">
        <v>0</v>
      </c>
      <c r="K46" s="356">
        <v>1859123</v>
      </c>
      <c r="L46" s="356">
        <v>19297</v>
      </c>
      <c r="M46" s="356">
        <v>0</v>
      </c>
      <c r="N46" s="356">
        <v>0</v>
      </c>
      <c r="O46" s="356">
        <v>0</v>
      </c>
      <c r="P46" s="356">
        <v>0</v>
      </c>
      <c r="Q46" s="356">
        <v>0</v>
      </c>
      <c r="R46" s="356">
        <v>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56">
        <v>0</v>
      </c>
      <c r="AC46" s="356">
        <v>0</v>
      </c>
      <c r="AD46" s="356">
        <v>0</v>
      </c>
      <c r="AE46" s="356">
        <v>0</v>
      </c>
      <c r="AF46" s="356">
        <v>0</v>
      </c>
      <c r="AG46" s="356">
        <v>0</v>
      </c>
      <c r="AH46" s="356">
        <v>0</v>
      </c>
      <c r="AI46" s="356">
        <v>66589</v>
      </c>
      <c r="AJ46" s="356">
        <v>0</v>
      </c>
      <c r="AK46" s="356">
        <v>0</v>
      </c>
      <c r="AL46" s="356">
        <v>0</v>
      </c>
      <c r="AM46" s="356">
        <v>0</v>
      </c>
      <c r="AN46" s="356">
        <v>22470</v>
      </c>
      <c r="AO46" s="356">
        <v>0</v>
      </c>
    </row>
    <row r="47" spans="3:41" x14ac:dyDescent="0.3">
      <c r="C47" s="356">
        <v>9</v>
      </c>
      <c r="D47" s="356">
        <v>5</v>
      </c>
      <c r="E47" s="356">
        <v>9</v>
      </c>
      <c r="F47" s="356">
        <v>29288</v>
      </c>
      <c r="G47" s="356">
        <v>0</v>
      </c>
      <c r="H47" s="356">
        <v>0</v>
      </c>
      <c r="I47" s="356">
        <v>0</v>
      </c>
      <c r="J47" s="356">
        <v>0</v>
      </c>
      <c r="K47" s="356">
        <v>29288</v>
      </c>
      <c r="L47" s="356">
        <v>0</v>
      </c>
      <c r="M47" s="356">
        <v>0</v>
      </c>
      <c r="N47" s="356">
        <v>0</v>
      </c>
      <c r="O47" s="356">
        <v>0</v>
      </c>
      <c r="P47" s="356">
        <v>0</v>
      </c>
      <c r="Q47" s="356">
        <v>0</v>
      </c>
      <c r="R47" s="356">
        <v>0</v>
      </c>
      <c r="S47" s="356">
        <v>0</v>
      </c>
      <c r="T47" s="356">
        <v>0</v>
      </c>
      <c r="U47" s="356">
        <v>0</v>
      </c>
      <c r="V47" s="356">
        <v>0</v>
      </c>
      <c r="W47" s="356">
        <v>0</v>
      </c>
      <c r="X47" s="356">
        <v>0</v>
      </c>
      <c r="Y47" s="356">
        <v>0</v>
      </c>
      <c r="Z47" s="356">
        <v>0</v>
      </c>
      <c r="AA47" s="356">
        <v>0</v>
      </c>
      <c r="AB47" s="356">
        <v>0</v>
      </c>
      <c r="AC47" s="356">
        <v>0</v>
      </c>
      <c r="AD47" s="356">
        <v>0</v>
      </c>
      <c r="AE47" s="356">
        <v>0</v>
      </c>
      <c r="AF47" s="356">
        <v>0</v>
      </c>
      <c r="AG47" s="356">
        <v>0</v>
      </c>
      <c r="AH47" s="356">
        <v>0</v>
      </c>
      <c r="AI47" s="356">
        <v>0</v>
      </c>
      <c r="AJ47" s="356">
        <v>0</v>
      </c>
      <c r="AK47" s="356">
        <v>0</v>
      </c>
      <c r="AL47" s="356">
        <v>0</v>
      </c>
      <c r="AM47" s="356">
        <v>0</v>
      </c>
      <c r="AN47" s="356">
        <v>0</v>
      </c>
      <c r="AO47" s="356">
        <v>0</v>
      </c>
    </row>
    <row r="48" spans="3:41" x14ac:dyDescent="0.3">
      <c r="C48" s="356">
        <v>9</v>
      </c>
      <c r="D48" s="356">
        <v>5</v>
      </c>
      <c r="E48" s="356">
        <v>10</v>
      </c>
      <c r="F48" s="356">
        <v>2300</v>
      </c>
      <c r="G48" s="356">
        <v>0</v>
      </c>
      <c r="H48" s="356">
        <v>1800</v>
      </c>
      <c r="I48" s="356">
        <v>0</v>
      </c>
      <c r="J48" s="356">
        <v>0</v>
      </c>
      <c r="K48" s="356">
        <v>500</v>
      </c>
      <c r="L48" s="356">
        <v>0</v>
      </c>
      <c r="M48" s="356">
        <v>0</v>
      </c>
      <c r="N48" s="356">
        <v>0</v>
      </c>
      <c r="O48" s="356">
        <v>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</row>
    <row r="49" spans="3:41" x14ac:dyDescent="0.3">
      <c r="C49" s="356">
        <v>9</v>
      </c>
      <c r="D49" s="356">
        <v>5</v>
      </c>
      <c r="E49" s="356">
        <v>11</v>
      </c>
      <c r="F49" s="356">
        <v>5886.0626066925806</v>
      </c>
      <c r="G49" s="356">
        <v>0</v>
      </c>
      <c r="H49" s="356">
        <v>2969.3959400259141</v>
      </c>
      <c r="I49" s="356">
        <v>0</v>
      </c>
      <c r="J49" s="356">
        <v>0</v>
      </c>
      <c r="K49" s="356">
        <v>2916.6666666666665</v>
      </c>
      <c r="L49" s="356">
        <v>0</v>
      </c>
      <c r="M49" s="356">
        <v>0</v>
      </c>
      <c r="N49" s="356">
        <v>0</v>
      </c>
      <c r="O49" s="356">
        <v>0</v>
      </c>
      <c r="P49" s="356">
        <v>0</v>
      </c>
      <c r="Q49" s="356">
        <v>0</v>
      </c>
      <c r="R49" s="356">
        <v>0</v>
      </c>
      <c r="S49" s="356">
        <v>0</v>
      </c>
      <c r="T49" s="356">
        <v>0</v>
      </c>
      <c r="U49" s="356">
        <v>0</v>
      </c>
      <c r="V49" s="356">
        <v>0</v>
      </c>
      <c r="W49" s="356">
        <v>0</v>
      </c>
      <c r="X49" s="356">
        <v>0</v>
      </c>
      <c r="Y49" s="356">
        <v>0</v>
      </c>
      <c r="Z49" s="356">
        <v>0</v>
      </c>
      <c r="AA49" s="356">
        <v>0</v>
      </c>
      <c r="AB49" s="356">
        <v>0</v>
      </c>
      <c r="AC49" s="356">
        <v>0</v>
      </c>
      <c r="AD49" s="356">
        <v>0</v>
      </c>
      <c r="AE49" s="356">
        <v>0</v>
      </c>
      <c r="AF49" s="356">
        <v>0</v>
      </c>
      <c r="AG49" s="356">
        <v>0</v>
      </c>
      <c r="AH49" s="356">
        <v>0</v>
      </c>
      <c r="AI49" s="356">
        <v>0</v>
      </c>
      <c r="AJ49" s="356">
        <v>0</v>
      </c>
      <c r="AK49" s="356">
        <v>0</v>
      </c>
      <c r="AL49" s="356">
        <v>0</v>
      </c>
      <c r="AM49" s="356">
        <v>0</v>
      </c>
      <c r="AN49" s="356">
        <v>0</v>
      </c>
      <c r="AO49" s="356">
        <v>0</v>
      </c>
    </row>
    <row r="50" spans="3:41" x14ac:dyDescent="0.3">
      <c r="C50" s="356">
        <v>9</v>
      </c>
      <c r="D50" s="356">
        <v>6</v>
      </c>
      <c r="E50" s="356">
        <v>1</v>
      </c>
      <c r="F50" s="356">
        <v>67.5</v>
      </c>
      <c r="G50" s="356">
        <v>0</v>
      </c>
      <c r="H50" s="356">
        <v>9.5</v>
      </c>
      <c r="I50" s="356">
        <v>0</v>
      </c>
      <c r="J50" s="356">
        <v>0</v>
      </c>
      <c r="K50" s="356">
        <v>51.5</v>
      </c>
      <c r="L50" s="356">
        <v>1.5</v>
      </c>
      <c r="M50" s="356">
        <v>0</v>
      </c>
      <c r="N50" s="356">
        <v>0</v>
      </c>
      <c r="O50" s="356">
        <v>0</v>
      </c>
      <c r="P50" s="356">
        <v>0</v>
      </c>
      <c r="Q50" s="356">
        <v>0</v>
      </c>
      <c r="R50" s="356">
        <v>0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0</v>
      </c>
      <c r="AG50" s="356">
        <v>0</v>
      </c>
      <c r="AH50" s="356">
        <v>0</v>
      </c>
      <c r="AI50" s="356">
        <v>4</v>
      </c>
      <c r="AJ50" s="356">
        <v>0</v>
      </c>
      <c r="AK50" s="356">
        <v>0</v>
      </c>
      <c r="AL50" s="356">
        <v>0</v>
      </c>
      <c r="AM50" s="356">
        <v>0</v>
      </c>
      <c r="AN50" s="356">
        <v>1</v>
      </c>
      <c r="AO50" s="356">
        <v>0</v>
      </c>
    </row>
    <row r="51" spans="3:41" x14ac:dyDescent="0.3">
      <c r="C51" s="356">
        <v>9</v>
      </c>
      <c r="D51" s="356">
        <v>6</v>
      </c>
      <c r="E51" s="356">
        <v>2</v>
      </c>
      <c r="F51" s="356">
        <v>9102.75</v>
      </c>
      <c r="G51" s="356">
        <v>0</v>
      </c>
      <c r="H51" s="356">
        <v>1576</v>
      </c>
      <c r="I51" s="356">
        <v>0</v>
      </c>
      <c r="J51" s="356">
        <v>0</v>
      </c>
      <c r="K51" s="356">
        <v>6619.25</v>
      </c>
      <c r="L51" s="356">
        <v>168</v>
      </c>
      <c r="M51" s="356">
        <v>0</v>
      </c>
      <c r="N51" s="356">
        <v>0</v>
      </c>
      <c r="O51" s="356">
        <v>0</v>
      </c>
      <c r="P51" s="356">
        <v>0</v>
      </c>
      <c r="Q51" s="356">
        <v>0</v>
      </c>
      <c r="R51" s="356">
        <v>0</v>
      </c>
      <c r="S51" s="356">
        <v>0</v>
      </c>
      <c r="T51" s="356">
        <v>0</v>
      </c>
      <c r="U51" s="356">
        <v>0</v>
      </c>
      <c r="V51" s="356">
        <v>0</v>
      </c>
      <c r="W51" s="356">
        <v>0</v>
      </c>
      <c r="X51" s="356">
        <v>0</v>
      </c>
      <c r="Y51" s="356">
        <v>0</v>
      </c>
      <c r="Z51" s="356">
        <v>0</v>
      </c>
      <c r="AA51" s="356">
        <v>0</v>
      </c>
      <c r="AB51" s="356">
        <v>0</v>
      </c>
      <c r="AC51" s="356">
        <v>0</v>
      </c>
      <c r="AD51" s="356">
        <v>0</v>
      </c>
      <c r="AE51" s="356">
        <v>0</v>
      </c>
      <c r="AF51" s="356">
        <v>0</v>
      </c>
      <c r="AG51" s="356">
        <v>0</v>
      </c>
      <c r="AH51" s="356">
        <v>0</v>
      </c>
      <c r="AI51" s="356">
        <v>575.5</v>
      </c>
      <c r="AJ51" s="356">
        <v>0</v>
      </c>
      <c r="AK51" s="356">
        <v>0</v>
      </c>
      <c r="AL51" s="356">
        <v>0</v>
      </c>
      <c r="AM51" s="356">
        <v>0</v>
      </c>
      <c r="AN51" s="356">
        <v>164</v>
      </c>
      <c r="AO51" s="356">
        <v>0</v>
      </c>
    </row>
    <row r="52" spans="3:41" x14ac:dyDescent="0.3">
      <c r="C52" s="356">
        <v>9</v>
      </c>
      <c r="D52" s="356">
        <v>6</v>
      </c>
      <c r="E52" s="356">
        <v>3</v>
      </c>
      <c r="F52" s="356">
        <v>799.5</v>
      </c>
      <c r="G52" s="356">
        <v>0</v>
      </c>
      <c r="H52" s="356">
        <v>11.5</v>
      </c>
      <c r="I52" s="356">
        <v>0</v>
      </c>
      <c r="J52" s="356">
        <v>0</v>
      </c>
      <c r="K52" s="356">
        <v>753</v>
      </c>
      <c r="L52" s="356">
        <v>35</v>
      </c>
      <c r="M52" s="356">
        <v>0</v>
      </c>
      <c r="N52" s="356">
        <v>0</v>
      </c>
      <c r="O52" s="356">
        <v>0</v>
      </c>
      <c r="P52" s="356">
        <v>0</v>
      </c>
      <c r="Q52" s="356">
        <v>0</v>
      </c>
      <c r="R52" s="356">
        <v>0</v>
      </c>
      <c r="S52" s="356">
        <v>0</v>
      </c>
      <c r="T52" s="356">
        <v>0</v>
      </c>
      <c r="U52" s="356">
        <v>0</v>
      </c>
      <c r="V52" s="356">
        <v>0</v>
      </c>
      <c r="W52" s="356">
        <v>0</v>
      </c>
      <c r="X52" s="356">
        <v>0</v>
      </c>
      <c r="Y52" s="356">
        <v>0</v>
      </c>
      <c r="Z52" s="356">
        <v>0</v>
      </c>
      <c r="AA52" s="356">
        <v>0</v>
      </c>
      <c r="AB52" s="356">
        <v>0</v>
      </c>
      <c r="AC52" s="356">
        <v>0</v>
      </c>
      <c r="AD52" s="356">
        <v>0</v>
      </c>
      <c r="AE52" s="356">
        <v>0</v>
      </c>
      <c r="AF52" s="356">
        <v>0</v>
      </c>
      <c r="AG52" s="356">
        <v>0</v>
      </c>
      <c r="AH52" s="356">
        <v>0</v>
      </c>
      <c r="AI52" s="356">
        <v>0</v>
      </c>
      <c r="AJ52" s="356">
        <v>0</v>
      </c>
      <c r="AK52" s="356">
        <v>0</v>
      </c>
      <c r="AL52" s="356">
        <v>0</v>
      </c>
      <c r="AM52" s="356">
        <v>0</v>
      </c>
      <c r="AN52" s="356">
        <v>0</v>
      </c>
      <c r="AO52" s="356">
        <v>0</v>
      </c>
    </row>
    <row r="53" spans="3:41" x14ac:dyDescent="0.3">
      <c r="C53" s="356">
        <v>9</v>
      </c>
      <c r="D53" s="356">
        <v>6</v>
      </c>
      <c r="E53" s="356">
        <v>4</v>
      </c>
      <c r="F53" s="356">
        <v>962.75</v>
      </c>
      <c r="G53" s="356">
        <v>0</v>
      </c>
      <c r="H53" s="356">
        <v>242.75</v>
      </c>
      <c r="I53" s="356">
        <v>0</v>
      </c>
      <c r="J53" s="356">
        <v>0</v>
      </c>
      <c r="K53" s="356">
        <v>632</v>
      </c>
      <c r="L53" s="356">
        <v>0</v>
      </c>
      <c r="M53" s="356">
        <v>0</v>
      </c>
      <c r="N53" s="356">
        <v>0</v>
      </c>
      <c r="O53" s="356">
        <v>0</v>
      </c>
      <c r="P53" s="356">
        <v>0</v>
      </c>
      <c r="Q53" s="356">
        <v>0</v>
      </c>
      <c r="R53" s="356">
        <v>0</v>
      </c>
      <c r="S53" s="356">
        <v>0</v>
      </c>
      <c r="T53" s="356">
        <v>0</v>
      </c>
      <c r="U53" s="356">
        <v>0</v>
      </c>
      <c r="V53" s="356">
        <v>0</v>
      </c>
      <c r="W53" s="356">
        <v>0</v>
      </c>
      <c r="X53" s="356">
        <v>0</v>
      </c>
      <c r="Y53" s="356">
        <v>0</v>
      </c>
      <c r="Z53" s="356">
        <v>0</v>
      </c>
      <c r="AA53" s="356">
        <v>0</v>
      </c>
      <c r="AB53" s="356">
        <v>0</v>
      </c>
      <c r="AC53" s="356">
        <v>0</v>
      </c>
      <c r="AD53" s="356">
        <v>0</v>
      </c>
      <c r="AE53" s="356">
        <v>0</v>
      </c>
      <c r="AF53" s="356">
        <v>0</v>
      </c>
      <c r="AG53" s="356">
        <v>0</v>
      </c>
      <c r="AH53" s="356">
        <v>0</v>
      </c>
      <c r="AI53" s="356">
        <v>88</v>
      </c>
      <c r="AJ53" s="356">
        <v>0</v>
      </c>
      <c r="AK53" s="356">
        <v>0</v>
      </c>
      <c r="AL53" s="356">
        <v>0</v>
      </c>
      <c r="AM53" s="356">
        <v>0</v>
      </c>
      <c r="AN53" s="356">
        <v>0</v>
      </c>
      <c r="AO53" s="356">
        <v>0</v>
      </c>
    </row>
    <row r="54" spans="3:41" x14ac:dyDescent="0.3">
      <c r="C54" s="356">
        <v>9</v>
      </c>
      <c r="D54" s="356">
        <v>6</v>
      </c>
      <c r="E54" s="356">
        <v>5</v>
      </c>
      <c r="F54" s="356">
        <v>67</v>
      </c>
      <c r="G54" s="356">
        <v>67</v>
      </c>
      <c r="H54" s="356">
        <v>0</v>
      </c>
      <c r="I54" s="356">
        <v>0</v>
      </c>
      <c r="J54" s="356">
        <v>0</v>
      </c>
      <c r="K54" s="356">
        <v>0</v>
      </c>
      <c r="L54" s="356">
        <v>0</v>
      </c>
      <c r="M54" s="356">
        <v>0</v>
      </c>
      <c r="N54" s="356">
        <v>0</v>
      </c>
      <c r="O54" s="356">
        <v>0</v>
      </c>
      <c r="P54" s="356">
        <v>0</v>
      </c>
      <c r="Q54" s="356">
        <v>0</v>
      </c>
      <c r="R54" s="356">
        <v>0</v>
      </c>
      <c r="S54" s="356">
        <v>0</v>
      </c>
      <c r="T54" s="356">
        <v>0</v>
      </c>
      <c r="U54" s="356">
        <v>0</v>
      </c>
      <c r="V54" s="356">
        <v>0</v>
      </c>
      <c r="W54" s="356">
        <v>0</v>
      </c>
      <c r="X54" s="356">
        <v>0</v>
      </c>
      <c r="Y54" s="356">
        <v>0</v>
      </c>
      <c r="Z54" s="356">
        <v>0</v>
      </c>
      <c r="AA54" s="356">
        <v>0</v>
      </c>
      <c r="AB54" s="356">
        <v>0</v>
      </c>
      <c r="AC54" s="356">
        <v>0</v>
      </c>
      <c r="AD54" s="356">
        <v>0</v>
      </c>
      <c r="AE54" s="356">
        <v>0</v>
      </c>
      <c r="AF54" s="356">
        <v>0</v>
      </c>
      <c r="AG54" s="356">
        <v>0</v>
      </c>
      <c r="AH54" s="356">
        <v>0</v>
      </c>
      <c r="AI54" s="356">
        <v>0</v>
      </c>
      <c r="AJ54" s="356">
        <v>0</v>
      </c>
      <c r="AK54" s="356">
        <v>0</v>
      </c>
      <c r="AL54" s="356">
        <v>0</v>
      </c>
      <c r="AM54" s="356">
        <v>0</v>
      </c>
      <c r="AN54" s="356">
        <v>0</v>
      </c>
      <c r="AO54" s="356">
        <v>0</v>
      </c>
    </row>
    <row r="55" spans="3:41" x14ac:dyDescent="0.3">
      <c r="C55" s="356">
        <v>9</v>
      </c>
      <c r="D55" s="356">
        <v>6</v>
      </c>
      <c r="E55" s="356">
        <v>6</v>
      </c>
      <c r="F55" s="356">
        <v>2704525</v>
      </c>
      <c r="G55" s="356">
        <v>29650</v>
      </c>
      <c r="H55" s="356">
        <v>722021</v>
      </c>
      <c r="I55" s="356">
        <v>0</v>
      </c>
      <c r="J55" s="356">
        <v>0</v>
      </c>
      <c r="K55" s="356">
        <v>1827621</v>
      </c>
      <c r="L55" s="356">
        <v>29227</v>
      </c>
      <c r="M55" s="356">
        <v>0</v>
      </c>
      <c r="N55" s="356">
        <v>0</v>
      </c>
      <c r="O55" s="356">
        <v>0</v>
      </c>
      <c r="P55" s="356">
        <v>0</v>
      </c>
      <c r="Q55" s="356">
        <v>0</v>
      </c>
      <c r="R55" s="356">
        <v>0</v>
      </c>
      <c r="S55" s="356">
        <v>0</v>
      </c>
      <c r="T55" s="356">
        <v>0</v>
      </c>
      <c r="U55" s="356">
        <v>0</v>
      </c>
      <c r="V55" s="356">
        <v>0</v>
      </c>
      <c r="W55" s="356">
        <v>0</v>
      </c>
      <c r="X55" s="356">
        <v>0</v>
      </c>
      <c r="Y55" s="356">
        <v>0</v>
      </c>
      <c r="Z55" s="356">
        <v>0</v>
      </c>
      <c r="AA55" s="356">
        <v>0</v>
      </c>
      <c r="AB55" s="356">
        <v>0</v>
      </c>
      <c r="AC55" s="356">
        <v>0</v>
      </c>
      <c r="AD55" s="356">
        <v>0</v>
      </c>
      <c r="AE55" s="356">
        <v>0</v>
      </c>
      <c r="AF55" s="356">
        <v>0</v>
      </c>
      <c r="AG55" s="356">
        <v>0</v>
      </c>
      <c r="AH55" s="356">
        <v>0</v>
      </c>
      <c r="AI55" s="356">
        <v>73312</v>
      </c>
      <c r="AJ55" s="356">
        <v>0</v>
      </c>
      <c r="AK55" s="356">
        <v>0</v>
      </c>
      <c r="AL55" s="356">
        <v>0</v>
      </c>
      <c r="AM55" s="356">
        <v>0</v>
      </c>
      <c r="AN55" s="356">
        <v>22694</v>
      </c>
      <c r="AO55" s="356">
        <v>0</v>
      </c>
    </row>
    <row r="56" spans="3:41" x14ac:dyDescent="0.3">
      <c r="C56" s="356">
        <v>9</v>
      </c>
      <c r="D56" s="356">
        <v>6</v>
      </c>
      <c r="E56" s="356">
        <v>9</v>
      </c>
      <c r="F56" s="356">
        <v>33374</v>
      </c>
      <c r="G56" s="356">
        <v>0</v>
      </c>
      <c r="H56" s="356">
        <v>0</v>
      </c>
      <c r="I56" s="356">
        <v>0</v>
      </c>
      <c r="J56" s="356">
        <v>0</v>
      </c>
      <c r="K56" s="356">
        <v>33374</v>
      </c>
      <c r="L56" s="356">
        <v>0</v>
      </c>
      <c r="M56" s="356">
        <v>0</v>
      </c>
      <c r="N56" s="356">
        <v>0</v>
      </c>
      <c r="O56" s="356">
        <v>0</v>
      </c>
      <c r="P56" s="356">
        <v>0</v>
      </c>
      <c r="Q56" s="356">
        <v>0</v>
      </c>
      <c r="R56" s="356">
        <v>0</v>
      </c>
      <c r="S56" s="356">
        <v>0</v>
      </c>
      <c r="T56" s="356">
        <v>0</v>
      </c>
      <c r="U56" s="356">
        <v>0</v>
      </c>
      <c r="V56" s="356">
        <v>0</v>
      </c>
      <c r="W56" s="356">
        <v>0</v>
      </c>
      <c r="X56" s="356">
        <v>0</v>
      </c>
      <c r="Y56" s="356">
        <v>0</v>
      </c>
      <c r="Z56" s="356">
        <v>0</v>
      </c>
      <c r="AA56" s="356">
        <v>0</v>
      </c>
      <c r="AB56" s="356">
        <v>0</v>
      </c>
      <c r="AC56" s="356">
        <v>0</v>
      </c>
      <c r="AD56" s="356">
        <v>0</v>
      </c>
      <c r="AE56" s="356">
        <v>0</v>
      </c>
      <c r="AF56" s="356">
        <v>0</v>
      </c>
      <c r="AG56" s="356">
        <v>0</v>
      </c>
      <c r="AH56" s="356">
        <v>0</v>
      </c>
      <c r="AI56" s="356">
        <v>0</v>
      </c>
      <c r="AJ56" s="356">
        <v>0</v>
      </c>
      <c r="AK56" s="356">
        <v>0</v>
      </c>
      <c r="AL56" s="356">
        <v>0</v>
      </c>
      <c r="AM56" s="356">
        <v>0</v>
      </c>
      <c r="AN56" s="356">
        <v>0</v>
      </c>
      <c r="AO56" s="356">
        <v>0</v>
      </c>
    </row>
    <row r="57" spans="3:41" x14ac:dyDescent="0.3">
      <c r="C57" s="356">
        <v>9</v>
      </c>
      <c r="D57" s="356">
        <v>6</v>
      </c>
      <c r="E57" s="356">
        <v>10</v>
      </c>
      <c r="F57" s="356">
        <v>13500</v>
      </c>
      <c r="G57" s="356">
        <v>0</v>
      </c>
      <c r="H57" s="356">
        <v>13500</v>
      </c>
      <c r="I57" s="356">
        <v>0</v>
      </c>
      <c r="J57" s="356">
        <v>0</v>
      </c>
      <c r="K57" s="356">
        <v>0</v>
      </c>
      <c r="L57" s="356">
        <v>0</v>
      </c>
      <c r="M57" s="356">
        <v>0</v>
      </c>
      <c r="N57" s="356">
        <v>0</v>
      </c>
      <c r="O57" s="356">
        <v>0</v>
      </c>
      <c r="P57" s="356">
        <v>0</v>
      </c>
      <c r="Q57" s="356">
        <v>0</v>
      </c>
      <c r="R57" s="356">
        <v>0</v>
      </c>
      <c r="S57" s="356">
        <v>0</v>
      </c>
      <c r="T57" s="356">
        <v>0</v>
      </c>
      <c r="U57" s="356">
        <v>0</v>
      </c>
      <c r="V57" s="356">
        <v>0</v>
      </c>
      <c r="W57" s="356">
        <v>0</v>
      </c>
      <c r="X57" s="356">
        <v>0</v>
      </c>
      <c r="Y57" s="356">
        <v>0</v>
      </c>
      <c r="Z57" s="356">
        <v>0</v>
      </c>
      <c r="AA57" s="356">
        <v>0</v>
      </c>
      <c r="AB57" s="356">
        <v>0</v>
      </c>
      <c r="AC57" s="356">
        <v>0</v>
      </c>
      <c r="AD57" s="356">
        <v>0</v>
      </c>
      <c r="AE57" s="356">
        <v>0</v>
      </c>
      <c r="AF57" s="356">
        <v>0</v>
      </c>
      <c r="AG57" s="356">
        <v>0</v>
      </c>
      <c r="AH57" s="356">
        <v>0</v>
      </c>
      <c r="AI57" s="356">
        <v>0</v>
      </c>
      <c r="AJ57" s="356">
        <v>0</v>
      </c>
      <c r="AK57" s="356">
        <v>0</v>
      </c>
      <c r="AL57" s="356">
        <v>0</v>
      </c>
      <c r="AM57" s="356">
        <v>0</v>
      </c>
      <c r="AN57" s="356">
        <v>0</v>
      </c>
      <c r="AO57" s="356">
        <v>0</v>
      </c>
    </row>
    <row r="58" spans="3:41" x14ac:dyDescent="0.3">
      <c r="C58" s="356">
        <v>9</v>
      </c>
      <c r="D58" s="356">
        <v>6</v>
      </c>
      <c r="E58" s="356">
        <v>11</v>
      </c>
      <c r="F58" s="356">
        <v>5886.0626066925806</v>
      </c>
      <c r="G58" s="356">
        <v>0</v>
      </c>
      <c r="H58" s="356">
        <v>2969.3959400259141</v>
      </c>
      <c r="I58" s="356">
        <v>0</v>
      </c>
      <c r="J58" s="356">
        <v>0</v>
      </c>
      <c r="K58" s="356">
        <v>2916.6666666666665</v>
      </c>
      <c r="L58" s="356">
        <v>0</v>
      </c>
      <c r="M58" s="356">
        <v>0</v>
      </c>
      <c r="N58" s="356">
        <v>0</v>
      </c>
      <c r="O58" s="356">
        <v>0</v>
      </c>
      <c r="P58" s="356">
        <v>0</v>
      </c>
      <c r="Q58" s="356">
        <v>0</v>
      </c>
      <c r="R58" s="356">
        <v>0</v>
      </c>
      <c r="S58" s="356">
        <v>0</v>
      </c>
      <c r="T58" s="356">
        <v>0</v>
      </c>
      <c r="U58" s="356">
        <v>0</v>
      </c>
      <c r="V58" s="356">
        <v>0</v>
      </c>
      <c r="W58" s="356">
        <v>0</v>
      </c>
      <c r="X58" s="356">
        <v>0</v>
      </c>
      <c r="Y58" s="356">
        <v>0</v>
      </c>
      <c r="Z58" s="356">
        <v>0</v>
      </c>
      <c r="AA58" s="356">
        <v>0</v>
      </c>
      <c r="AB58" s="356">
        <v>0</v>
      </c>
      <c r="AC58" s="356">
        <v>0</v>
      </c>
      <c r="AD58" s="356">
        <v>0</v>
      </c>
      <c r="AE58" s="356">
        <v>0</v>
      </c>
      <c r="AF58" s="356">
        <v>0</v>
      </c>
      <c r="AG58" s="356">
        <v>0</v>
      </c>
      <c r="AH58" s="356">
        <v>0</v>
      </c>
      <c r="AI58" s="356">
        <v>0</v>
      </c>
      <c r="AJ58" s="356">
        <v>0</v>
      </c>
      <c r="AK58" s="356">
        <v>0</v>
      </c>
      <c r="AL58" s="356">
        <v>0</v>
      </c>
      <c r="AM58" s="356">
        <v>0</v>
      </c>
      <c r="AN58" s="356">
        <v>0</v>
      </c>
      <c r="AO58" s="356">
        <v>0</v>
      </c>
    </row>
    <row r="59" spans="3:41" x14ac:dyDescent="0.3">
      <c r="C59" s="356">
        <v>9</v>
      </c>
      <c r="D59" s="356">
        <v>7</v>
      </c>
      <c r="E59" s="356">
        <v>1</v>
      </c>
      <c r="F59" s="356">
        <v>68.25</v>
      </c>
      <c r="G59" s="356">
        <v>0</v>
      </c>
      <c r="H59" s="356">
        <v>9.5</v>
      </c>
      <c r="I59" s="356">
        <v>0</v>
      </c>
      <c r="J59" s="356">
        <v>0</v>
      </c>
      <c r="K59" s="356">
        <v>52.25</v>
      </c>
      <c r="L59" s="356">
        <v>1.5</v>
      </c>
      <c r="M59" s="356">
        <v>0</v>
      </c>
      <c r="N59" s="356">
        <v>0</v>
      </c>
      <c r="O59" s="356">
        <v>0</v>
      </c>
      <c r="P59" s="356">
        <v>0</v>
      </c>
      <c r="Q59" s="356">
        <v>0</v>
      </c>
      <c r="R59" s="356">
        <v>0</v>
      </c>
      <c r="S59" s="356">
        <v>0</v>
      </c>
      <c r="T59" s="356">
        <v>0</v>
      </c>
      <c r="U59" s="356">
        <v>0</v>
      </c>
      <c r="V59" s="356">
        <v>0</v>
      </c>
      <c r="W59" s="356">
        <v>0</v>
      </c>
      <c r="X59" s="356">
        <v>0</v>
      </c>
      <c r="Y59" s="356">
        <v>0</v>
      </c>
      <c r="Z59" s="356">
        <v>0</v>
      </c>
      <c r="AA59" s="356">
        <v>0</v>
      </c>
      <c r="AB59" s="356">
        <v>0</v>
      </c>
      <c r="AC59" s="356">
        <v>0</v>
      </c>
      <c r="AD59" s="356">
        <v>0</v>
      </c>
      <c r="AE59" s="356">
        <v>0</v>
      </c>
      <c r="AF59" s="356">
        <v>0</v>
      </c>
      <c r="AG59" s="356">
        <v>0</v>
      </c>
      <c r="AH59" s="356">
        <v>0</v>
      </c>
      <c r="AI59" s="356">
        <v>4</v>
      </c>
      <c r="AJ59" s="356">
        <v>0</v>
      </c>
      <c r="AK59" s="356">
        <v>0</v>
      </c>
      <c r="AL59" s="356">
        <v>0</v>
      </c>
      <c r="AM59" s="356">
        <v>0</v>
      </c>
      <c r="AN59" s="356">
        <v>1</v>
      </c>
      <c r="AO59" s="356">
        <v>0</v>
      </c>
    </row>
    <row r="60" spans="3:41" x14ac:dyDescent="0.3">
      <c r="C60" s="356">
        <v>9</v>
      </c>
      <c r="D60" s="356">
        <v>7</v>
      </c>
      <c r="E60" s="356">
        <v>2</v>
      </c>
      <c r="F60" s="356">
        <v>8663.75</v>
      </c>
      <c r="G60" s="356">
        <v>0</v>
      </c>
      <c r="H60" s="356">
        <v>1264</v>
      </c>
      <c r="I60" s="356">
        <v>0</v>
      </c>
      <c r="J60" s="356">
        <v>0</v>
      </c>
      <c r="K60" s="356">
        <v>6498</v>
      </c>
      <c r="L60" s="356">
        <v>240</v>
      </c>
      <c r="M60" s="356">
        <v>0</v>
      </c>
      <c r="N60" s="356">
        <v>0</v>
      </c>
      <c r="O60" s="356">
        <v>0</v>
      </c>
      <c r="P60" s="356">
        <v>0</v>
      </c>
      <c r="Q60" s="356">
        <v>0</v>
      </c>
      <c r="R60" s="356">
        <v>0</v>
      </c>
      <c r="S60" s="356">
        <v>0</v>
      </c>
      <c r="T60" s="356">
        <v>0</v>
      </c>
      <c r="U60" s="356">
        <v>0</v>
      </c>
      <c r="V60" s="356">
        <v>0</v>
      </c>
      <c r="W60" s="356">
        <v>0</v>
      </c>
      <c r="X60" s="356">
        <v>0</v>
      </c>
      <c r="Y60" s="356">
        <v>0</v>
      </c>
      <c r="Z60" s="356">
        <v>0</v>
      </c>
      <c r="AA60" s="356">
        <v>0</v>
      </c>
      <c r="AB60" s="356">
        <v>0</v>
      </c>
      <c r="AC60" s="356">
        <v>0</v>
      </c>
      <c r="AD60" s="356">
        <v>0</v>
      </c>
      <c r="AE60" s="356">
        <v>0</v>
      </c>
      <c r="AF60" s="356">
        <v>0</v>
      </c>
      <c r="AG60" s="356">
        <v>0</v>
      </c>
      <c r="AH60" s="356">
        <v>0</v>
      </c>
      <c r="AI60" s="356">
        <v>557.75</v>
      </c>
      <c r="AJ60" s="356">
        <v>0</v>
      </c>
      <c r="AK60" s="356">
        <v>0</v>
      </c>
      <c r="AL60" s="356">
        <v>0</v>
      </c>
      <c r="AM60" s="356">
        <v>0</v>
      </c>
      <c r="AN60" s="356">
        <v>104</v>
      </c>
      <c r="AO60" s="356">
        <v>0</v>
      </c>
    </row>
    <row r="61" spans="3:41" x14ac:dyDescent="0.3">
      <c r="C61" s="356">
        <v>9</v>
      </c>
      <c r="D61" s="356">
        <v>7</v>
      </c>
      <c r="E61" s="356">
        <v>3</v>
      </c>
      <c r="F61" s="356">
        <v>686.5</v>
      </c>
      <c r="G61" s="356">
        <v>0</v>
      </c>
      <c r="H61" s="356">
        <v>11.5</v>
      </c>
      <c r="I61" s="356">
        <v>0</v>
      </c>
      <c r="J61" s="356">
        <v>0</v>
      </c>
      <c r="K61" s="356">
        <v>615</v>
      </c>
      <c r="L61" s="356">
        <v>60</v>
      </c>
      <c r="M61" s="356">
        <v>0</v>
      </c>
      <c r="N61" s="356">
        <v>0</v>
      </c>
      <c r="O61" s="356">
        <v>0</v>
      </c>
      <c r="P61" s="356">
        <v>0</v>
      </c>
      <c r="Q61" s="356">
        <v>0</v>
      </c>
      <c r="R61" s="356">
        <v>0</v>
      </c>
      <c r="S61" s="356">
        <v>0</v>
      </c>
      <c r="T61" s="356">
        <v>0</v>
      </c>
      <c r="U61" s="356">
        <v>0</v>
      </c>
      <c r="V61" s="356">
        <v>0</v>
      </c>
      <c r="W61" s="356">
        <v>0</v>
      </c>
      <c r="X61" s="356">
        <v>0</v>
      </c>
      <c r="Y61" s="356">
        <v>0</v>
      </c>
      <c r="Z61" s="356">
        <v>0</v>
      </c>
      <c r="AA61" s="356">
        <v>0</v>
      </c>
      <c r="AB61" s="356">
        <v>0</v>
      </c>
      <c r="AC61" s="356">
        <v>0</v>
      </c>
      <c r="AD61" s="356">
        <v>0</v>
      </c>
      <c r="AE61" s="356">
        <v>0</v>
      </c>
      <c r="AF61" s="356">
        <v>0</v>
      </c>
      <c r="AG61" s="356">
        <v>0</v>
      </c>
      <c r="AH61" s="356">
        <v>0</v>
      </c>
      <c r="AI61" s="356">
        <v>0</v>
      </c>
      <c r="AJ61" s="356">
        <v>0</v>
      </c>
      <c r="AK61" s="356">
        <v>0</v>
      </c>
      <c r="AL61" s="356">
        <v>0</v>
      </c>
      <c r="AM61" s="356">
        <v>0</v>
      </c>
      <c r="AN61" s="356">
        <v>0</v>
      </c>
      <c r="AO61" s="356">
        <v>0</v>
      </c>
    </row>
    <row r="62" spans="3:41" x14ac:dyDescent="0.3">
      <c r="C62" s="356">
        <v>9</v>
      </c>
      <c r="D62" s="356">
        <v>7</v>
      </c>
      <c r="E62" s="356">
        <v>4</v>
      </c>
      <c r="F62" s="356">
        <v>737.5</v>
      </c>
      <c r="G62" s="356">
        <v>0</v>
      </c>
      <c r="H62" s="356">
        <v>273.5</v>
      </c>
      <c r="I62" s="356">
        <v>0</v>
      </c>
      <c r="J62" s="356">
        <v>0</v>
      </c>
      <c r="K62" s="356">
        <v>439</v>
      </c>
      <c r="L62" s="356">
        <v>0</v>
      </c>
      <c r="M62" s="356">
        <v>0</v>
      </c>
      <c r="N62" s="356">
        <v>0</v>
      </c>
      <c r="O62" s="356">
        <v>0</v>
      </c>
      <c r="P62" s="356">
        <v>0</v>
      </c>
      <c r="Q62" s="356">
        <v>0</v>
      </c>
      <c r="R62" s="356">
        <v>0</v>
      </c>
      <c r="S62" s="356">
        <v>0</v>
      </c>
      <c r="T62" s="356">
        <v>0</v>
      </c>
      <c r="U62" s="356">
        <v>0</v>
      </c>
      <c r="V62" s="356">
        <v>0</v>
      </c>
      <c r="W62" s="356">
        <v>0</v>
      </c>
      <c r="X62" s="356">
        <v>0</v>
      </c>
      <c r="Y62" s="356">
        <v>0</v>
      </c>
      <c r="Z62" s="356">
        <v>0</v>
      </c>
      <c r="AA62" s="356">
        <v>0</v>
      </c>
      <c r="AB62" s="356">
        <v>0</v>
      </c>
      <c r="AC62" s="356">
        <v>0</v>
      </c>
      <c r="AD62" s="356">
        <v>0</v>
      </c>
      <c r="AE62" s="356">
        <v>0</v>
      </c>
      <c r="AF62" s="356">
        <v>0</v>
      </c>
      <c r="AG62" s="356">
        <v>0</v>
      </c>
      <c r="AH62" s="356">
        <v>0</v>
      </c>
      <c r="AI62" s="356">
        <v>25</v>
      </c>
      <c r="AJ62" s="356">
        <v>0</v>
      </c>
      <c r="AK62" s="356">
        <v>0</v>
      </c>
      <c r="AL62" s="356">
        <v>0</v>
      </c>
      <c r="AM62" s="356">
        <v>0</v>
      </c>
      <c r="AN62" s="356">
        <v>0</v>
      </c>
      <c r="AO62" s="356">
        <v>0</v>
      </c>
    </row>
    <row r="63" spans="3:41" x14ac:dyDescent="0.3">
      <c r="C63" s="356">
        <v>9</v>
      </c>
      <c r="D63" s="356">
        <v>7</v>
      </c>
      <c r="E63" s="356">
        <v>5</v>
      </c>
      <c r="F63" s="356">
        <v>52</v>
      </c>
      <c r="G63" s="356">
        <v>52</v>
      </c>
      <c r="H63" s="356">
        <v>0</v>
      </c>
      <c r="I63" s="356">
        <v>0</v>
      </c>
      <c r="J63" s="356">
        <v>0</v>
      </c>
      <c r="K63" s="356">
        <v>0</v>
      </c>
      <c r="L63" s="356">
        <v>0</v>
      </c>
      <c r="M63" s="356">
        <v>0</v>
      </c>
      <c r="N63" s="356">
        <v>0</v>
      </c>
      <c r="O63" s="356">
        <v>0</v>
      </c>
      <c r="P63" s="356">
        <v>0</v>
      </c>
      <c r="Q63" s="356">
        <v>0</v>
      </c>
      <c r="R63" s="356">
        <v>0</v>
      </c>
      <c r="S63" s="356">
        <v>0</v>
      </c>
      <c r="T63" s="356">
        <v>0</v>
      </c>
      <c r="U63" s="356">
        <v>0</v>
      </c>
      <c r="V63" s="356">
        <v>0</v>
      </c>
      <c r="W63" s="356">
        <v>0</v>
      </c>
      <c r="X63" s="356">
        <v>0</v>
      </c>
      <c r="Y63" s="356">
        <v>0</v>
      </c>
      <c r="Z63" s="356">
        <v>0</v>
      </c>
      <c r="AA63" s="356">
        <v>0</v>
      </c>
      <c r="AB63" s="356">
        <v>0</v>
      </c>
      <c r="AC63" s="356">
        <v>0</v>
      </c>
      <c r="AD63" s="356">
        <v>0</v>
      </c>
      <c r="AE63" s="356">
        <v>0</v>
      </c>
      <c r="AF63" s="356">
        <v>0</v>
      </c>
      <c r="AG63" s="356">
        <v>0</v>
      </c>
      <c r="AH63" s="356">
        <v>0</v>
      </c>
      <c r="AI63" s="356">
        <v>0</v>
      </c>
      <c r="AJ63" s="356">
        <v>0</v>
      </c>
      <c r="AK63" s="356">
        <v>0</v>
      </c>
      <c r="AL63" s="356">
        <v>0</v>
      </c>
      <c r="AM63" s="356">
        <v>0</v>
      </c>
      <c r="AN63" s="356">
        <v>0</v>
      </c>
      <c r="AO63" s="356">
        <v>0</v>
      </c>
    </row>
    <row r="64" spans="3:41" x14ac:dyDescent="0.3">
      <c r="C64" s="356">
        <v>9</v>
      </c>
      <c r="D64" s="356">
        <v>7</v>
      </c>
      <c r="E64" s="356">
        <v>6</v>
      </c>
      <c r="F64" s="356">
        <v>3661430</v>
      </c>
      <c r="G64" s="356">
        <v>22150</v>
      </c>
      <c r="H64" s="356">
        <v>986892</v>
      </c>
      <c r="I64" s="356">
        <v>0</v>
      </c>
      <c r="J64" s="356">
        <v>0</v>
      </c>
      <c r="K64" s="356">
        <v>2483309</v>
      </c>
      <c r="L64" s="356">
        <v>51598</v>
      </c>
      <c r="M64" s="356">
        <v>0</v>
      </c>
      <c r="N64" s="356">
        <v>0</v>
      </c>
      <c r="O64" s="356">
        <v>0</v>
      </c>
      <c r="P64" s="356">
        <v>0</v>
      </c>
      <c r="Q64" s="356">
        <v>0</v>
      </c>
      <c r="R64" s="356">
        <v>0</v>
      </c>
      <c r="S64" s="356">
        <v>0</v>
      </c>
      <c r="T64" s="356">
        <v>0</v>
      </c>
      <c r="U64" s="356">
        <v>0</v>
      </c>
      <c r="V64" s="356">
        <v>0</v>
      </c>
      <c r="W64" s="356">
        <v>0</v>
      </c>
      <c r="X64" s="356">
        <v>0</v>
      </c>
      <c r="Y64" s="356">
        <v>0</v>
      </c>
      <c r="Z64" s="356">
        <v>0</v>
      </c>
      <c r="AA64" s="356">
        <v>0</v>
      </c>
      <c r="AB64" s="356">
        <v>0</v>
      </c>
      <c r="AC64" s="356">
        <v>0</v>
      </c>
      <c r="AD64" s="356">
        <v>0</v>
      </c>
      <c r="AE64" s="356">
        <v>0</v>
      </c>
      <c r="AF64" s="356">
        <v>0</v>
      </c>
      <c r="AG64" s="356">
        <v>0</v>
      </c>
      <c r="AH64" s="356">
        <v>0</v>
      </c>
      <c r="AI64" s="356">
        <v>85284</v>
      </c>
      <c r="AJ64" s="356">
        <v>0</v>
      </c>
      <c r="AK64" s="356">
        <v>0</v>
      </c>
      <c r="AL64" s="356">
        <v>0</v>
      </c>
      <c r="AM64" s="356">
        <v>0</v>
      </c>
      <c r="AN64" s="356">
        <v>32197</v>
      </c>
      <c r="AO64" s="356">
        <v>0</v>
      </c>
    </row>
    <row r="65" spans="3:41" x14ac:dyDescent="0.3">
      <c r="C65" s="356">
        <v>9</v>
      </c>
      <c r="D65" s="356">
        <v>7</v>
      </c>
      <c r="E65" s="356">
        <v>9</v>
      </c>
      <c r="F65" s="356">
        <v>848966</v>
      </c>
      <c r="G65" s="356">
        <v>0</v>
      </c>
      <c r="H65" s="356">
        <v>174819</v>
      </c>
      <c r="I65" s="356">
        <v>0</v>
      </c>
      <c r="J65" s="356">
        <v>0</v>
      </c>
      <c r="K65" s="356">
        <v>634136</v>
      </c>
      <c r="L65" s="356">
        <v>9201</v>
      </c>
      <c r="M65" s="356">
        <v>0</v>
      </c>
      <c r="N65" s="356">
        <v>0</v>
      </c>
      <c r="O65" s="356">
        <v>0</v>
      </c>
      <c r="P65" s="356">
        <v>0</v>
      </c>
      <c r="Q65" s="356">
        <v>0</v>
      </c>
      <c r="R65" s="356">
        <v>0</v>
      </c>
      <c r="S65" s="356">
        <v>0</v>
      </c>
      <c r="T65" s="356">
        <v>0</v>
      </c>
      <c r="U65" s="356">
        <v>0</v>
      </c>
      <c r="V65" s="356">
        <v>0</v>
      </c>
      <c r="W65" s="356">
        <v>0</v>
      </c>
      <c r="X65" s="356">
        <v>0</v>
      </c>
      <c r="Y65" s="356">
        <v>0</v>
      </c>
      <c r="Z65" s="356">
        <v>0</v>
      </c>
      <c r="AA65" s="356">
        <v>0</v>
      </c>
      <c r="AB65" s="356">
        <v>0</v>
      </c>
      <c r="AC65" s="356">
        <v>0</v>
      </c>
      <c r="AD65" s="356">
        <v>0</v>
      </c>
      <c r="AE65" s="356">
        <v>0</v>
      </c>
      <c r="AF65" s="356">
        <v>0</v>
      </c>
      <c r="AG65" s="356">
        <v>0</v>
      </c>
      <c r="AH65" s="356">
        <v>0</v>
      </c>
      <c r="AI65" s="356">
        <v>22164</v>
      </c>
      <c r="AJ65" s="356">
        <v>0</v>
      </c>
      <c r="AK65" s="356">
        <v>0</v>
      </c>
      <c r="AL65" s="356">
        <v>0</v>
      </c>
      <c r="AM65" s="356">
        <v>0</v>
      </c>
      <c r="AN65" s="356">
        <v>8646</v>
      </c>
      <c r="AO65" s="356">
        <v>0</v>
      </c>
    </row>
    <row r="66" spans="3:41" x14ac:dyDescent="0.3">
      <c r="C66" s="356">
        <v>9</v>
      </c>
      <c r="D66" s="356">
        <v>7</v>
      </c>
      <c r="E66" s="356">
        <v>10</v>
      </c>
      <c r="F66" s="356">
        <v>6300</v>
      </c>
      <c r="G66" s="356">
        <v>0</v>
      </c>
      <c r="H66" s="356">
        <v>0</v>
      </c>
      <c r="I66" s="356">
        <v>0</v>
      </c>
      <c r="J66" s="356">
        <v>0</v>
      </c>
      <c r="K66" s="356">
        <v>6300</v>
      </c>
      <c r="L66" s="356">
        <v>0</v>
      </c>
      <c r="M66" s="356">
        <v>0</v>
      </c>
      <c r="N66" s="356">
        <v>0</v>
      </c>
      <c r="O66" s="356">
        <v>0</v>
      </c>
      <c r="P66" s="356">
        <v>0</v>
      </c>
      <c r="Q66" s="356">
        <v>0</v>
      </c>
      <c r="R66" s="356">
        <v>0</v>
      </c>
      <c r="S66" s="356">
        <v>0</v>
      </c>
      <c r="T66" s="356">
        <v>0</v>
      </c>
      <c r="U66" s="356">
        <v>0</v>
      </c>
      <c r="V66" s="356">
        <v>0</v>
      </c>
      <c r="W66" s="356">
        <v>0</v>
      </c>
      <c r="X66" s="356">
        <v>0</v>
      </c>
      <c r="Y66" s="356">
        <v>0</v>
      </c>
      <c r="Z66" s="356">
        <v>0</v>
      </c>
      <c r="AA66" s="356">
        <v>0</v>
      </c>
      <c r="AB66" s="356">
        <v>0</v>
      </c>
      <c r="AC66" s="356">
        <v>0</v>
      </c>
      <c r="AD66" s="356">
        <v>0</v>
      </c>
      <c r="AE66" s="356">
        <v>0</v>
      </c>
      <c r="AF66" s="356">
        <v>0</v>
      </c>
      <c r="AG66" s="356">
        <v>0</v>
      </c>
      <c r="AH66" s="356">
        <v>0</v>
      </c>
      <c r="AI66" s="356">
        <v>0</v>
      </c>
      <c r="AJ66" s="356">
        <v>0</v>
      </c>
      <c r="AK66" s="356">
        <v>0</v>
      </c>
      <c r="AL66" s="356">
        <v>0</v>
      </c>
      <c r="AM66" s="356">
        <v>0</v>
      </c>
      <c r="AN66" s="356">
        <v>0</v>
      </c>
      <c r="AO66" s="356">
        <v>0</v>
      </c>
    </row>
    <row r="67" spans="3:41" x14ac:dyDescent="0.3">
      <c r="C67" s="356">
        <v>9</v>
      </c>
      <c r="D67" s="356">
        <v>7</v>
      </c>
      <c r="E67" s="356">
        <v>11</v>
      </c>
      <c r="F67" s="356">
        <v>5886.0626066925806</v>
      </c>
      <c r="G67" s="356">
        <v>0</v>
      </c>
      <c r="H67" s="356">
        <v>2969.3959400259141</v>
      </c>
      <c r="I67" s="356">
        <v>0</v>
      </c>
      <c r="J67" s="356">
        <v>0</v>
      </c>
      <c r="K67" s="356">
        <v>2916.6666666666665</v>
      </c>
      <c r="L67" s="356">
        <v>0</v>
      </c>
      <c r="M67" s="356">
        <v>0</v>
      </c>
      <c r="N67" s="356">
        <v>0</v>
      </c>
      <c r="O67" s="356">
        <v>0</v>
      </c>
      <c r="P67" s="356">
        <v>0</v>
      </c>
      <c r="Q67" s="356">
        <v>0</v>
      </c>
      <c r="R67" s="356">
        <v>0</v>
      </c>
      <c r="S67" s="356">
        <v>0</v>
      </c>
      <c r="T67" s="356">
        <v>0</v>
      </c>
      <c r="U67" s="356">
        <v>0</v>
      </c>
      <c r="V67" s="356">
        <v>0</v>
      </c>
      <c r="W67" s="356">
        <v>0</v>
      </c>
      <c r="X67" s="356">
        <v>0</v>
      </c>
      <c r="Y67" s="356">
        <v>0</v>
      </c>
      <c r="Z67" s="356">
        <v>0</v>
      </c>
      <c r="AA67" s="356">
        <v>0</v>
      </c>
      <c r="AB67" s="356">
        <v>0</v>
      </c>
      <c r="AC67" s="356">
        <v>0</v>
      </c>
      <c r="AD67" s="356">
        <v>0</v>
      </c>
      <c r="AE67" s="356">
        <v>0</v>
      </c>
      <c r="AF67" s="356">
        <v>0</v>
      </c>
      <c r="AG67" s="356">
        <v>0</v>
      </c>
      <c r="AH67" s="356">
        <v>0</v>
      </c>
      <c r="AI67" s="356">
        <v>0</v>
      </c>
      <c r="AJ67" s="356">
        <v>0</v>
      </c>
      <c r="AK67" s="356">
        <v>0</v>
      </c>
      <c r="AL67" s="356">
        <v>0</v>
      </c>
      <c r="AM67" s="356">
        <v>0</v>
      </c>
      <c r="AN67" s="356">
        <v>0</v>
      </c>
      <c r="AO67" s="35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1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1" customWidth="1"/>
    <col min="20" max="16384" width="8.88671875" style="238"/>
  </cols>
  <sheetData>
    <row r="1" spans="1:19" ht="18.600000000000001" customHeight="1" thickBot="1" x14ac:dyDescent="0.4">
      <c r="A1" s="460" t="s">
        <v>140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</row>
    <row r="2" spans="1:19" ht="14.4" customHeight="1" thickBot="1" x14ac:dyDescent="0.35">
      <c r="A2" s="360" t="s">
        <v>306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  <c r="N2" s="333"/>
      <c r="O2" s="208"/>
      <c r="P2" s="333"/>
      <c r="Q2" s="208"/>
      <c r="R2" s="333"/>
      <c r="S2" s="334"/>
    </row>
    <row r="3" spans="1:19" ht="14.4" customHeight="1" thickBot="1" x14ac:dyDescent="0.35">
      <c r="A3" s="327" t="s">
        <v>142</v>
      </c>
      <c r="B3" s="328">
        <f>SUBTOTAL(9,B6:B1048576)</f>
        <v>45483209</v>
      </c>
      <c r="C3" s="329">
        <f t="shared" ref="C3:R3" si="0">SUBTOTAL(9,C6:C1048576)</f>
        <v>1</v>
      </c>
      <c r="D3" s="329">
        <f t="shared" si="0"/>
        <v>42499560</v>
      </c>
      <c r="E3" s="329">
        <f t="shared" si="0"/>
        <v>0.93440108854236736</v>
      </c>
      <c r="F3" s="329">
        <f t="shared" si="0"/>
        <v>44666172</v>
      </c>
      <c r="G3" s="332">
        <f>IF(B3&lt;&gt;0,F3/B3,"")</f>
        <v>0.98203651373850953</v>
      </c>
      <c r="H3" s="328">
        <f t="shared" si="0"/>
        <v>624168.84999999986</v>
      </c>
      <c r="I3" s="329">
        <f t="shared" si="0"/>
        <v>1</v>
      </c>
      <c r="J3" s="329">
        <f t="shared" si="0"/>
        <v>608668.54</v>
      </c>
      <c r="K3" s="329">
        <f t="shared" si="0"/>
        <v>0.97516647939095358</v>
      </c>
      <c r="L3" s="329">
        <f t="shared" si="0"/>
        <v>509012.39999999997</v>
      </c>
      <c r="M3" s="330">
        <f>IF(H3&lt;&gt;0,L3/H3,"")</f>
        <v>0.81550433027857783</v>
      </c>
      <c r="N3" s="331">
        <f t="shared" si="0"/>
        <v>226023.82</v>
      </c>
      <c r="O3" s="329">
        <f t="shared" si="0"/>
        <v>1</v>
      </c>
      <c r="P3" s="329">
        <f t="shared" si="0"/>
        <v>0</v>
      </c>
      <c r="Q3" s="329">
        <f t="shared" si="0"/>
        <v>0</v>
      </c>
      <c r="R3" s="329">
        <f t="shared" si="0"/>
        <v>0</v>
      </c>
      <c r="S3" s="330">
        <f>IF(N3&lt;&gt;0,R3/N3,"")</f>
        <v>0</v>
      </c>
    </row>
    <row r="4" spans="1:19" ht="14.4" customHeight="1" x14ac:dyDescent="0.3">
      <c r="A4" s="509" t="s">
        <v>116</v>
      </c>
      <c r="B4" s="510" t="s">
        <v>110</v>
      </c>
      <c r="C4" s="511"/>
      <c r="D4" s="511"/>
      <c r="E4" s="511"/>
      <c r="F4" s="511"/>
      <c r="G4" s="512"/>
      <c r="H4" s="510" t="s">
        <v>111</v>
      </c>
      <c r="I4" s="511"/>
      <c r="J4" s="511"/>
      <c r="K4" s="511"/>
      <c r="L4" s="511"/>
      <c r="M4" s="512"/>
      <c r="N4" s="510" t="s">
        <v>112</v>
      </c>
      <c r="O4" s="511"/>
      <c r="P4" s="511"/>
      <c r="Q4" s="511"/>
      <c r="R4" s="511"/>
      <c r="S4" s="512"/>
    </row>
    <row r="5" spans="1:19" ht="14.4" customHeight="1" thickBot="1" x14ac:dyDescent="0.35">
      <c r="A5" s="694"/>
      <c r="B5" s="695">
        <v>2013</v>
      </c>
      <c r="C5" s="696"/>
      <c r="D5" s="696">
        <v>2014</v>
      </c>
      <c r="E5" s="696"/>
      <c r="F5" s="696">
        <v>2015</v>
      </c>
      <c r="G5" s="697" t="s">
        <v>2</v>
      </c>
      <c r="H5" s="695">
        <v>2013</v>
      </c>
      <c r="I5" s="696"/>
      <c r="J5" s="696">
        <v>2014</v>
      </c>
      <c r="K5" s="696"/>
      <c r="L5" s="696">
        <v>2015</v>
      </c>
      <c r="M5" s="697" t="s">
        <v>2</v>
      </c>
      <c r="N5" s="695">
        <v>2013</v>
      </c>
      <c r="O5" s="696"/>
      <c r="P5" s="696">
        <v>2014</v>
      </c>
      <c r="Q5" s="696"/>
      <c r="R5" s="696">
        <v>2015</v>
      </c>
      <c r="S5" s="697" t="s">
        <v>2</v>
      </c>
    </row>
    <row r="6" spans="1:19" ht="14.4" customHeight="1" x14ac:dyDescent="0.3">
      <c r="A6" s="636" t="s">
        <v>1779</v>
      </c>
      <c r="B6" s="698">
        <v>0</v>
      </c>
      <c r="C6" s="605"/>
      <c r="D6" s="698"/>
      <c r="E6" s="605"/>
      <c r="F6" s="698"/>
      <c r="G6" s="626"/>
      <c r="H6" s="698"/>
      <c r="I6" s="605"/>
      <c r="J6" s="698"/>
      <c r="K6" s="605"/>
      <c r="L6" s="698"/>
      <c r="M6" s="626"/>
      <c r="N6" s="698"/>
      <c r="O6" s="605"/>
      <c r="P6" s="698"/>
      <c r="Q6" s="605"/>
      <c r="R6" s="698"/>
      <c r="S6" s="649"/>
    </row>
    <row r="7" spans="1:19" ht="14.4" customHeight="1" thickBot="1" x14ac:dyDescent="0.35">
      <c r="A7" s="700" t="s">
        <v>1278</v>
      </c>
      <c r="B7" s="699">
        <v>45483209</v>
      </c>
      <c r="C7" s="617">
        <v>1</v>
      </c>
      <c r="D7" s="699">
        <v>42499560</v>
      </c>
      <c r="E7" s="617">
        <v>0.93440108854236736</v>
      </c>
      <c r="F7" s="699">
        <v>44666172</v>
      </c>
      <c r="G7" s="628">
        <v>0.98203651373850953</v>
      </c>
      <c r="H7" s="699">
        <v>624168.84999999986</v>
      </c>
      <c r="I7" s="617">
        <v>1</v>
      </c>
      <c r="J7" s="699">
        <v>608668.54</v>
      </c>
      <c r="K7" s="617">
        <v>0.97516647939095358</v>
      </c>
      <c r="L7" s="699">
        <v>509012.39999999997</v>
      </c>
      <c r="M7" s="628">
        <v>0.81550433027857783</v>
      </c>
      <c r="N7" s="699">
        <v>226023.82</v>
      </c>
      <c r="O7" s="617">
        <v>1</v>
      </c>
      <c r="P7" s="699"/>
      <c r="Q7" s="617"/>
      <c r="R7" s="699"/>
      <c r="S7" s="6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51" t="s">
        <v>1959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ht="14.4" customHeight="1" thickBot="1" x14ac:dyDescent="0.35">
      <c r="A2" s="360" t="s">
        <v>306</v>
      </c>
      <c r="B2" s="239"/>
      <c r="C2" s="239"/>
      <c r="D2" s="239"/>
      <c r="E2" s="239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5"/>
    </row>
    <row r="3" spans="1:17" ht="14.4" customHeight="1" thickBot="1" x14ac:dyDescent="0.35">
      <c r="E3" s="97" t="s">
        <v>142</v>
      </c>
      <c r="F3" s="195">
        <f t="shared" ref="F3:O3" si="0">SUBTOTAL(9,F6:F1048576)</f>
        <v>19128.86</v>
      </c>
      <c r="G3" s="196">
        <f t="shared" si="0"/>
        <v>46333401.670000002</v>
      </c>
      <c r="H3" s="196"/>
      <c r="I3" s="196"/>
      <c r="J3" s="196">
        <f t="shared" si="0"/>
        <v>18608.919999999998</v>
      </c>
      <c r="K3" s="196">
        <f t="shared" si="0"/>
        <v>43108228.539999999</v>
      </c>
      <c r="L3" s="196"/>
      <c r="M3" s="196"/>
      <c r="N3" s="196">
        <f t="shared" si="0"/>
        <v>19253.320000000003</v>
      </c>
      <c r="O3" s="196">
        <f t="shared" si="0"/>
        <v>45175184.399999999</v>
      </c>
      <c r="P3" s="70">
        <f>IF(G3=0,0,O3/G3)</f>
        <v>0.97500254183258195</v>
      </c>
      <c r="Q3" s="197">
        <f>IF(N3=0,0,O3/N3)</f>
        <v>2346.3581553726831</v>
      </c>
    </row>
    <row r="4" spans="1:17" ht="14.4" customHeight="1" x14ac:dyDescent="0.3">
      <c r="A4" s="515" t="s">
        <v>61</v>
      </c>
      <c r="B4" s="514" t="s">
        <v>106</v>
      </c>
      <c r="C4" s="515" t="s">
        <v>107</v>
      </c>
      <c r="D4" s="519" t="s">
        <v>108</v>
      </c>
      <c r="E4" s="516" t="s">
        <v>68</v>
      </c>
      <c r="F4" s="517">
        <v>2013</v>
      </c>
      <c r="G4" s="518"/>
      <c r="H4" s="198"/>
      <c r="I4" s="198"/>
      <c r="J4" s="517">
        <v>2014</v>
      </c>
      <c r="K4" s="518"/>
      <c r="L4" s="198"/>
      <c r="M4" s="198"/>
      <c r="N4" s="517">
        <v>2015</v>
      </c>
      <c r="O4" s="518"/>
      <c r="P4" s="520" t="s">
        <v>2</v>
      </c>
      <c r="Q4" s="513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4" t="s">
        <v>1780</v>
      </c>
      <c r="B6" s="605" t="s">
        <v>1781</v>
      </c>
      <c r="C6" s="605" t="s">
        <v>1782</v>
      </c>
      <c r="D6" s="605" t="s">
        <v>1783</v>
      </c>
      <c r="E6" s="605" t="s">
        <v>1784</v>
      </c>
      <c r="F6" s="608">
        <v>2</v>
      </c>
      <c r="G6" s="608">
        <v>0</v>
      </c>
      <c r="H6" s="608"/>
      <c r="I6" s="608">
        <v>0</v>
      </c>
      <c r="J6" s="608"/>
      <c r="K6" s="608"/>
      <c r="L6" s="608"/>
      <c r="M6" s="608"/>
      <c r="N6" s="608"/>
      <c r="O6" s="608"/>
      <c r="P6" s="626"/>
      <c r="Q6" s="609"/>
    </row>
    <row r="7" spans="1:17" ht="14.4" customHeight="1" x14ac:dyDescent="0.3">
      <c r="A7" s="610" t="s">
        <v>538</v>
      </c>
      <c r="B7" s="611" t="s">
        <v>1785</v>
      </c>
      <c r="C7" s="611" t="s">
        <v>1786</v>
      </c>
      <c r="D7" s="611" t="s">
        <v>1787</v>
      </c>
      <c r="E7" s="611" t="s">
        <v>1261</v>
      </c>
      <c r="F7" s="614">
        <v>4</v>
      </c>
      <c r="G7" s="614">
        <v>2128.64</v>
      </c>
      <c r="H7" s="614">
        <v>1</v>
      </c>
      <c r="I7" s="614">
        <v>532.16</v>
      </c>
      <c r="J7" s="614"/>
      <c r="K7" s="614"/>
      <c r="L7" s="614"/>
      <c r="M7" s="614"/>
      <c r="N7" s="614">
        <v>8</v>
      </c>
      <c r="O7" s="614">
        <v>3478.96</v>
      </c>
      <c r="P7" s="627">
        <v>1.634358087793145</v>
      </c>
      <c r="Q7" s="615">
        <v>434.87</v>
      </c>
    </row>
    <row r="8" spans="1:17" ht="14.4" customHeight="1" x14ac:dyDescent="0.3">
      <c r="A8" s="610" t="s">
        <v>538</v>
      </c>
      <c r="B8" s="611" t="s">
        <v>1785</v>
      </c>
      <c r="C8" s="611" t="s">
        <v>1786</v>
      </c>
      <c r="D8" s="611" t="s">
        <v>1788</v>
      </c>
      <c r="E8" s="611"/>
      <c r="F8" s="614">
        <v>0.8</v>
      </c>
      <c r="G8" s="614">
        <v>863.44</v>
      </c>
      <c r="H8" s="614">
        <v>1</v>
      </c>
      <c r="I8" s="614">
        <v>1079.3</v>
      </c>
      <c r="J8" s="614"/>
      <c r="K8" s="614"/>
      <c r="L8" s="614"/>
      <c r="M8" s="614"/>
      <c r="N8" s="614"/>
      <c r="O8" s="614"/>
      <c r="P8" s="627"/>
      <c r="Q8" s="615"/>
    </row>
    <row r="9" spans="1:17" ht="14.4" customHeight="1" x14ac:dyDescent="0.3">
      <c r="A9" s="610" t="s">
        <v>538</v>
      </c>
      <c r="B9" s="611" t="s">
        <v>1785</v>
      </c>
      <c r="C9" s="611" t="s">
        <v>1786</v>
      </c>
      <c r="D9" s="611" t="s">
        <v>1789</v>
      </c>
      <c r="E9" s="611" t="s">
        <v>1790</v>
      </c>
      <c r="F9" s="614"/>
      <c r="G9" s="614"/>
      <c r="H9" s="614"/>
      <c r="I9" s="614"/>
      <c r="J9" s="614"/>
      <c r="K9" s="614"/>
      <c r="L9" s="614"/>
      <c r="M9" s="614"/>
      <c r="N9" s="614">
        <v>3</v>
      </c>
      <c r="O9" s="614">
        <v>529.23</v>
      </c>
      <c r="P9" s="627"/>
      <c r="Q9" s="615">
        <v>176.41</v>
      </c>
    </row>
    <row r="10" spans="1:17" ht="14.4" customHeight="1" x14ac:dyDescent="0.3">
      <c r="A10" s="610" t="s">
        <v>538</v>
      </c>
      <c r="B10" s="611" t="s">
        <v>1785</v>
      </c>
      <c r="C10" s="611" t="s">
        <v>1786</v>
      </c>
      <c r="D10" s="611" t="s">
        <v>1791</v>
      </c>
      <c r="E10" s="611" t="s">
        <v>1258</v>
      </c>
      <c r="F10" s="614"/>
      <c r="G10" s="614"/>
      <c r="H10" s="614"/>
      <c r="I10" s="614"/>
      <c r="J10" s="614"/>
      <c r="K10" s="614"/>
      <c r="L10" s="614"/>
      <c r="M10" s="614"/>
      <c r="N10" s="614">
        <v>1</v>
      </c>
      <c r="O10" s="614">
        <v>38.61</v>
      </c>
      <c r="P10" s="627"/>
      <c r="Q10" s="615">
        <v>38.61</v>
      </c>
    </row>
    <row r="11" spans="1:17" ht="14.4" customHeight="1" x14ac:dyDescent="0.3">
      <c r="A11" s="610" t="s">
        <v>538</v>
      </c>
      <c r="B11" s="611" t="s">
        <v>1785</v>
      </c>
      <c r="C11" s="611" t="s">
        <v>1786</v>
      </c>
      <c r="D11" s="611" t="s">
        <v>1792</v>
      </c>
      <c r="E11" s="611" t="s">
        <v>1267</v>
      </c>
      <c r="F11" s="614"/>
      <c r="G11" s="614"/>
      <c r="H11" s="614"/>
      <c r="I11" s="614"/>
      <c r="J11" s="614"/>
      <c r="K11" s="614"/>
      <c r="L11" s="614"/>
      <c r="M11" s="614"/>
      <c r="N11" s="614">
        <v>0.4</v>
      </c>
      <c r="O11" s="614">
        <v>18.16</v>
      </c>
      <c r="P11" s="627"/>
      <c r="Q11" s="615">
        <v>45.4</v>
      </c>
    </row>
    <row r="12" spans="1:17" ht="14.4" customHeight="1" x14ac:dyDescent="0.3">
      <c r="A12" s="610" t="s">
        <v>538</v>
      </c>
      <c r="B12" s="611" t="s">
        <v>1785</v>
      </c>
      <c r="C12" s="611" t="s">
        <v>1786</v>
      </c>
      <c r="D12" s="611" t="s">
        <v>1793</v>
      </c>
      <c r="E12" s="611" t="s">
        <v>1794</v>
      </c>
      <c r="F12" s="614"/>
      <c r="G12" s="614"/>
      <c r="H12" s="614"/>
      <c r="I12" s="614"/>
      <c r="J12" s="614"/>
      <c r="K12" s="614"/>
      <c r="L12" s="614"/>
      <c r="M12" s="614"/>
      <c r="N12" s="614">
        <v>0.1</v>
      </c>
      <c r="O12" s="614">
        <v>27.01</v>
      </c>
      <c r="P12" s="627"/>
      <c r="Q12" s="615">
        <v>270.10000000000002</v>
      </c>
    </row>
    <row r="13" spans="1:17" ht="14.4" customHeight="1" x14ac:dyDescent="0.3">
      <c r="A13" s="610" t="s">
        <v>538</v>
      </c>
      <c r="B13" s="611" t="s">
        <v>1785</v>
      </c>
      <c r="C13" s="611" t="s">
        <v>1786</v>
      </c>
      <c r="D13" s="611" t="s">
        <v>1795</v>
      </c>
      <c r="E13" s="611" t="s">
        <v>1227</v>
      </c>
      <c r="F13" s="614">
        <v>5.9</v>
      </c>
      <c r="G13" s="614">
        <v>695.61</v>
      </c>
      <c r="H13" s="614">
        <v>1</v>
      </c>
      <c r="I13" s="614">
        <v>117.89999999999999</v>
      </c>
      <c r="J13" s="614">
        <v>3.5000000000000004</v>
      </c>
      <c r="K13" s="614">
        <v>494.20000000000005</v>
      </c>
      <c r="L13" s="614">
        <v>0.71045557136901427</v>
      </c>
      <c r="M13" s="614">
        <v>141.19999999999999</v>
      </c>
      <c r="N13" s="614">
        <v>4.9000000000000004</v>
      </c>
      <c r="O13" s="614">
        <v>661.99</v>
      </c>
      <c r="P13" s="627">
        <v>0.95166831989189349</v>
      </c>
      <c r="Q13" s="615">
        <v>135.1</v>
      </c>
    </row>
    <row r="14" spans="1:17" ht="14.4" customHeight="1" x14ac:dyDescent="0.3">
      <c r="A14" s="610" t="s">
        <v>538</v>
      </c>
      <c r="B14" s="611" t="s">
        <v>1785</v>
      </c>
      <c r="C14" s="611" t="s">
        <v>1786</v>
      </c>
      <c r="D14" s="611" t="s">
        <v>1796</v>
      </c>
      <c r="E14" s="611" t="s">
        <v>834</v>
      </c>
      <c r="F14" s="614"/>
      <c r="G14" s="614"/>
      <c r="H14" s="614"/>
      <c r="I14" s="614"/>
      <c r="J14" s="614">
        <v>0.4</v>
      </c>
      <c r="K14" s="614">
        <v>100.6</v>
      </c>
      <c r="L14" s="614"/>
      <c r="M14" s="614">
        <v>251.49999999999997</v>
      </c>
      <c r="N14" s="614">
        <v>0.1</v>
      </c>
      <c r="O14" s="614">
        <v>24.05</v>
      </c>
      <c r="P14" s="627"/>
      <c r="Q14" s="615">
        <v>240.5</v>
      </c>
    </row>
    <row r="15" spans="1:17" ht="14.4" customHeight="1" x14ac:dyDescent="0.3">
      <c r="A15" s="610" t="s">
        <v>538</v>
      </c>
      <c r="B15" s="611" t="s">
        <v>1785</v>
      </c>
      <c r="C15" s="611" t="s">
        <v>1786</v>
      </c>
      <c r="D15" s="611" t="s">
        <v>1797</v>
      </c>
      <c r="E15" s="611" t="s">
        <v>1798</v>
      </c>
      <c r="F15" s="614"/>
      <c r="G15" s="614"/>
      <c r="H15" s="614"/>
      <c r="I15" s="614"/>
      <c r="J15" s="614">
        <v>2</v>
      </c>
      <c r="K15" s="614">
        <v>71.22</v>
      </c>
      <c r="L15" s="614"/>
      <c r="M15" s="614">
        <v>35.61</v>
      </c>
      <c r="N15" s="614"/>
      <c r="O15" s="614"/>
      <c r="P15" s="627"/>
      <c r="Q15" s="615"/>
    </row>
    <row r="16" spans="1:17" ht="14.4" customHeight="1" x14ac:dyDescent="0.3">
      <c r="A16" s="610" t="s">
        <v>538</v>
      </c>
      <c r="B16" s="611" t="s">
        <v>1785</v>
      </c>
      <c r="C16" s="611" t="s">
        <v>1786</v>
      </c>
      <c r="D16" s="611" t="s">
        <v>1799</v>
      </c>
      <c r="E16" s="611" t="s">
        <v>1800</v>
      </c>
      <c r="F16" s="614">
        <v>0.4</v>
      </c>
      <c r="G16" s="614">
        <v>177.28</v>
      </c>
      <c r="H16" s="614">
        <v>1</v>
      </c>
      <c r="I16" s="614">
        <v>443.2</v>
      </c>
      <c r="J16" s="614">
        <v>0.4</v>
      </c>
      <c r="K16" s="614">
        <v>177.28</v>
      </c>
      <c r="L16" s="614">
        <v>1</v>
      </c>
      <c r="M16" s="614">
        <v>443.2</v>
      </c>
      <c r="N16" s="614"/>
      <c r="O16" s="614"/>
      <c r="P16" s="627"/>
      <c r="Q16" s="615"/>
    </row>
    <row r="17" spans="1:17" ht="14.4" customHeight="1" x14ac:dyDescent="0.3">
      <c r="A17" s="610" t="s">
        <v>538</v>
      </c>
      <c r="B17" s="611" t="s">
        <v>1785</v>
      </c>
      <c r="C17" s="611" t="s">
        <v>1786</v>
      </c>
      <c r="D17" s="611" t="s">
        <v>1801</v>
      </c>
      <c r="E17" s="611" t="s">
        <v>1148</v>
      </c>
      <c r="F17" s="614">
        <v>1</v>
      </c>
      <c r="G17" s="614">
        <v>114.58</v>
      </c>
      <c r="H17" s="614">
        <v>1</v>
      </c>
      <c r="I17" s="614">
        <v>114.58</v>
      </c>
      <c r="J17" s="614"/>
      <c r="K17" s="614"/>
      <c r="L17" s="614"/>
      <c r="M17" s="614"/>
      <c r="N17" s="614">
        <v>3</v>
      </c>
      <c r="O17" s="614">
        <v>328.8</v>
      </c>
      <c r="P17" s="627">
        <v>2.8696107523127945</v>
      </c>
      <c r="Q17" s="615">
        <v>109.60000000000001</v>
      </c>
    </row>
    <row r="18" spans="1:17" ht="14.4" customHeight="1" x14ac:dyDescent="0.3">
      <c r="A18" s="610" t="s">
        <v>538</v>
      </c>
      <c r="B18" s="611" t="s">
        <v>1785</v>
      </c>
      <c r="C18" s="611" t="s">
        <v>1786</v>
      </c>
      <c r="D18" s="611" t="s">
        <v>1802</v>
      </c>
      <c r="E18" s="611" t="s">
        <v>841</v>
      </c>
      <c r="F18" s="614"/>
      <c r="G18" s="614"/>
      <c r="H18" s="614"/>
      <c r="I18" s="614"/>
      <c r="J18" s="614"/>
      <c r="K18" s="614"/>
      <c r="L18" s="614"/>
      <c r="M18" s="614"/>
      <c r="N18" s="614">
        <v>5</v>
      </c>
      <c r="O18" s="614">
        <v>328.75</v>
      </c>
      <c r="P18" s="627"/>
      <c r="Q18" s="615">
        <v>65.75</v>
      </c>
    </row>
    <row r="19" spans="1:17" ht="14.4" customHeight="1" x14ac:dyDescent="0.3">
      <c r="A19" s="610" t="s">
        <v>538</v>
      </c>
      <c r="B19" s="611" t="s">
        <v>1785</v>
      </c>
      <c r="C19" s="611" t="s">
        <v>1786</v>
      </c>
      <c r="D19" s="611" t="s">
        <v>1803</v>
      </c>
      <c r="E19" s="611" t="s">
        <v>1230</v>
      </c>
      <c r="F19" s="614">
        <v>8.3000000000000007</v>
      </c>
      <c r="G19" s="614">
        <v>401.71999999999997</v>
      </c>
      <c r="H19" s="614">
        <v>1</v>
      </c>
      <c r="I19" s="614">
        <v>48.399999999999991</v>
      </c>
      <c r="J19" s="614">
        <v>6.3999999999999995</v>
      </c>
      <c r="K19" s="614">
        <v>261.36</v>
      </c>
      <c r="L19" s="614">
        <v>0.65060240963855431</v>
      </c>
      <c r="M19" s="614">
        <v>40.837500000000006</v>
      </c>
      <c r="N19" s="614">
        <v>5.8</v>
      </c>
      <c r="O19" s="614">
        <v>268.53999999999996</v>
      </c>
      <c r="P19" s="627">
        <v>0.66847555511301404</v>
      </c>
      <c r="Q19" s="615">
        <v>46.3</v>
      </c>
    </row>
    <row r="20" spans="1:17" ht="14.4" customHeight="1" x14ac:dyDescent="0.3">
      <c r="A20" s="610" t="s">
        <v>538</v>
      </c>
      <c r="B20" s="611" t="s">
        <v>1785</v>
      </c>
      <c r="C20" s="611" t="s">
        <v>1786</v>
      </c>
      <c r="D20" s="611" t="s">
        <v>1804</v>
      </c>
      <c r="E20" s="611" t="s">
        <v>1805</v>
      </c>
      <c r="F20" s="614"/>
      <c r="G20" s="614"/>
      <c r="H20" s="614"/>
      <c r="I20" s="614"/>
      <c r="J20" s="614"/>
      <c r="K20" s="614"/>
      <c r="L20" s="614"/>
      <c r="M20" s="614"/>
      <c r="N20" s="614">
        <v>0.1</v>
      </c>
      <c r="O20" s="614">
        <v>9.27</v>
      </c>
      <c r="P20" s="627"/>
      <c r="Q20" s="615">
        <v>92.699999999999989</v>
      </c>
    </row>
    <row r="21" spans="1:17" ht="14.4" customHeight="1" x14ac:dyDescent="0.3">
      <c r="A21" s="610" t="s">
        <v>538</v>
      </c>
      <c r="B21" s="611" t="s">
        <v>1785</v>
      </c>
      <c r="C21" s="611" t="s">
        <v>1786</v>
      </c>
      <c r="D21" s="611" t="s">
        <v>1806</v>
      </c>
      <c r="E21" s="611" t="s">
        <v>844</v>
      </c>
      <c r="F21" s="614"/>
      <c r="G21" s="614"/>
      <c r="H21" s="614"/>
      <c r="I21" s="614"/>
      <c r="J21" s="614"/>
      <c r="K21" s="614"/>
      <c r="L21" s="614"/>
      <c r="M21" s="614"/>
      <c r="N21" s="614">
        <v>2</v>
      </c>
      <c r="O21" s="614">
        <v>184.98</v>
      </c>
      <c r="P21" s="627"/>
      <c r="Q21" s="615">
        <v>92.49</v>
      </c>
    </row>
    <row r="22" spans="1:17" ht="14.4" customHeight="1" x14ac:dyDescent="0.3">
      <c r="A22" s="610" t="s">
        <v>538</v>
      </c>
      <c r="B22" s="611" t="s">
        <v>1785</v>
      </c>
      <c r="C22" s="611" t="s">
        <v>1786</v>
      </c>
      <c r="D22" s="611" t="s">
        <v>1807</v>
      </c>
      <c r="E22" s="611" t="s">
        <v>838</v>
      </c>
      <c r="F22" s="614"/>
      <c r="G22" s="614"/>
      <c r="H22" s="614"/>
      <c r="I22" s="614"/>
      <c r="J22" s="614"/>
      <c r="K22" s="614"/>
      <c r="L22" s="614"/>
      <c r="M22" s="614"/>
      <c r="N22" s="614">
        <v>1</v>
      </c>
      <c r="O22" s="614">
        <v>2064.6999999999998</v>
      </c>
      <c r="P22" s="627"/>
      <c r="Q22" s="615">
        <v>2064.6999999999998</v>
      </c>
    </row>
    <row r="23" spans="1:17" ht="14.4" customHeight="1" x14ac:dyDescent="0.3">
      <c r="A23" s="610" t="s">
        <v>538</v>
      </c>
      <c r="B23" s="611" t="s">
        <v>1785</v>
      </c>
      <c r="C23" s="611" t="s">
        <v>1786</v>
      </c>
      <c r="D23" s="611" t="s">
        <v>1808</v>
      </c>
      <c r="E23" s="611" t="s">
        <v>1809</v>
      </c>
      <c r="F23" s="614">
        <v>0.4</v>
      </c>
      <c r="G23" s="614">
        <v>1451.2</v>
      </c>
      <c r="H23" s="614">
        <v>1</v>
      </c>
      <c r="I23" s="614">
        <v>3628</v>
      </c>
      <c r="J23" s="614"/>
      <c r="K23" s="614"/>
      <c r="L23" s="614"/>
      <c r="M23" s="614"/>
      <c r="N23" s="614">
        <v>0.08</v>
      </c>
      <c r="O23" s="614">
        <v>277.62</v>
      </c>
      <c r="P23" s="627">
        <v>0.19130374862183019</v>
      </c>
      <c r="Q23" s="615">
        <v>3470.25</v>
      </c>
    </row>
    <row r="24" spans="1:17" ht="14.4" customHeight="1" x14ac:dyDescent="0.3">
      <c r="A24" s="610" t="s">
        <v>538</v>
      </c>
      <c r="B24" s="611" t="s">
        <v>1785</v>
      </c>
      <c r="C24" s="611" t="s">
        <v>1786</v>
      </c>
      <c r="D24" s="611" t="s">
        <v>1810</v>
      </c>
      <c r="E24" s="611" t="s">
        <v>658</v>
      </c>
      <c r="F24" s="614"/>
      <c r="G24" s="614"/>
      <c r="H24" s="614"/>
      <c r="I24" s="614"/>
      <c r="J24" s="614">
        <v>1</v>
      </c>
      <c r="K24" s="614">
        <v>2211.6999999999998</v>
      </c>
      <c r="L24" s="614"/>
      <c r="M24" s="614">
        <v>2211.6999999999998</v>
      </c>
      <c r="N24" s="614"/>
      <c r="O24" s="614"/>
      <c r="P24" s="627"/>
      <c r="Q24" s="615"/>
    </row>
    <row r="25" spans="1:17" ht="14.4" customHeight="1" x14ac:dyDescent="0.3">
      <c r="A25" s="610" t="s">
        <v>538</v>
      </c>
      <c r="B25" s="611" t="s">
        <v>1785</v>
      </c>
      <c r="C25" s="611" t="s">
        <v>1811</v>
      </c>
      <c r="D25" s="611" t="s">
        <v>1812</v>
      </c>
      <c r="E25" s="611" t="s">
        <v>1813</v>
      </c>
      <c r="F25" s="614">
        <v>5</v>
      </c>
      <c r="G25" s="614">
        <v>7934.6299999999992</v>
      </c>
      <c r="H25" s="614">
        <v>1</v>
      </c>
      <c r="I25" s="614">
        <v>1586.9259999999999</v>
      </c>
      <c r="J25" s="614">
        <v>3</v>
      </c>
      <c r="K25" s="614">
        <v>4842.1499999999996</v>
      </c>
      <c r="L25" s="614">
        <v>0.61025529860875682</v>
      </c>
      <c r="M25" s="614">
        <v>1614.05</v>
      </c>
      <c r="N25" s="614">
        <v>4</v>
      </c>
      <c r="O25" s="614">
        <v>6456.2</v>
      </c>
      <c r="P25" s="627">
        <v>0.81367373147834243</v>
      </c>
      <c r="Q25" s="615">
        <v>1614.05</v>
      </c>
    </row>
    <row r="26" spans="1:17" ht="14.4" customHeight="1" x14ac:dyDescent="0.3">
      <c r="A26" s="610" t="s">
        <v>538</v>
      </c>
      <c r="B26" s="611" t="s">
        <v>1785</v>
      </c>
      <c r="C26" s="611" t="s">
        <v>1811</v>
      </c>
      <c r="D26" s="611" t="s">
        <v>1814</v>
      </c>
      <c r="E26" s="611" t="s">
        <v>1815</v>
      </c>
      <c r="F26" s="614"/>
      <c r="G26" s="614"/>
      <c r="H26" s="614"/>
      <c r="I26" s="614"/>
      <c r="J26" s="614"/>
      <c r="K26" s="614"/>
      <c r="L26" s="614"/>
      <c r="M26" s="614"/>
      <c r="N26" s="614">
        <v>1</v>
      </c>
      <c r="O26" s="614">
        <v>3905.48</v>
      </c>
      <c r="P26" s="627"/>
      <c r="Q26" s="615">
        <v>3905.48</v>
      </c>
    </row>
    <row r="27" spans="1:17" ht="14.4" customHeight="1" x14ac:dyDescent="0.3">
      <c r="A27" s="610" t="s">
        <v>538</v>
      </c>
      <c r="B27" s="611" t="s">
        <v>1785</v>
      </c>
      <c r="C27" s="611" t="s">
        <v>1811</v>
      </c>
      <c r="D27" s="611" t="s">
        <v>1816</v>
      </c>
      <c r="E27" s="611" t="s">
        <v>1817</v>
      </c>
      <c r="F27" s="614">
        <v>5</v>
      </c>
      <c r="G27" s="614">
        <v>1186.42</v>
      </c>
      <c r="H27" s="614">
        <v>1</v>
      </c>
      <c r="I27" s="614">
        <v>237.28400000000002</v>
      </c>
      <c r="J27" s="614">
        <v>3</v>
      </c>
      <c r="K27" s="614">
        <v>716.04</v>
      </c>
      <c r="L27" s="614">
        <v>0.60352994723622322</v>
      </c>
      <c r="M27" s="614">
        <v>238.67999999999998</v>
      </c>
      <c r="N27" s="614">
        <v>5</v>
      </c>
      <c r="O27" s="614">
        <v>1193.4000000000001</v>
      </c>
      <c r="P27" s="627">
        <v>1.0058832453937054</v>
      </c>
      <c r="Q27" s="615">
        <v>238.68</v>
      </c>
    </row>
    <row r="28" spans="1:17" ht="14.4" customHeight="1" x14ac:dyDescent="0.3">
      <c r="A28" s="610" t="s">
        <v>538</v>
      </c>
      <c r="B28" s="611" t="s">
        <v>1785</v>
      </c>
      <c r="C28" s="611" t="s">
        <v>1782</v>
      </c>
      <c r="D28" s="611" t="s">
        <v>1818</v>
      </c>
      <c r="E28" s="611" t="s">
        <v>1819</v>
      </c>
      <c r="F28" s="614">
        <v>388</v>
      </c>
      <c r="G28" s="614">
        <v>67124</v>
      </c>
      <c r="H28" s="614">
        <v>1</v>
      </c>
      <c r="I28" s="614">
        <v>173</v>
      </c>
      <c r="J28" s="614">
        <v>532</v>
      </c>
      <c r="K28" s="614">
        <v>90583</v>
      </c>
      <c r="L28" s="614">
        <v>1.3494875156426911</v>
      </c>
      <c r="M28" s="614">
        <v>170.26879699248121</v>
      </c>
      <c r="N28" s="614">
        <v>417</v>
      </c>
      <c r="O28" s="614">
        <v>73809</v>
      </c>
      <c r="P28" s="627">
        <v>1.0995918002502831</v>
      </c>
      <c r="Q28" s="615">
        <v>177</v>
      </c>
    </row>
    <row r="29" spans="1:17" ht="14.4" customHeight="1" x14ac:dyDescent="0.3">
      <c r="A29" s="610" t="s">
        <v>538</v>
      </c>
      <c r="B29" s="611" t="s">
        <v>1785</v>
      </c>
      <c r="C29" s="611" t="s">
        <v>1782</v>
      </c>
      <c r="D29" s="611" t="s">
        <v>1820</v>
      </c>
      <c r="E29" s="611" t="s">
        <v>1821</v>
      </c>
      <c r="F29" s="614">
        <v>5</v>
      </c>
      <c r="G29" s="614">
        <v>925</v>
      </c>
      <c r="H29" s="614">
        <v>1</v>
      </c>
      <c r="I29" s="614">
        <v>185</v>
      </c>
      <c r="J29" s="614">
        <v>3</v>
      </c>
      <c r="K29" s="614">
        <v>564</v>
      </c>
      <c r="L29" s="614">
        <v>0.60972972972972972</v>
      </c>
      <c r="M29" s="614">
        <v>188</v>
      </c>
      <c r="N29" s="614">
        <v>3</v>
      </c>
      <c r="O29" s="614">
        <v>567</v>
      </c>
      <c r="P29" s="627">
        <v>0.61297297297297293</v>
      </c>
      <c r="Q29" s="615">
        <v>189</v>
      </c>
    </row>
    <row r="30" spans="1:17" ht="14.4" customHeight="1" x14ac:dyDescent="0.3">
      <c r="A30" s="610" t="s">
        <v>538</v>
      </c>
      <c r="B30" s="611" t="s">
        <v>1785</v>
      </c>
      <c r="C30" s="611" t="s">
        <v>1782</v>
      </c>
      <c r="D30" s="611" t="s">
        <v>1822</v>
      </c>
      <c r="E30" s="611" t="s">
        <v>1823</v>
      </c>
      <c r="F30" s="614">
        <v>10</v>
      </c>
      <c r="G30" s="614">
        <v>9800</v>
      </c>
      <c r="H30" s="614">
        <v>1</v>
      </c>
      <c r="I30" s="614">
        <v>980</v>
      </c>
      <c r="J30" s="614"/>
      <c r="K30" s="614"/>
      <c r="L30" s="614"/>
      <c r="M30" s="614"/>
      <c r="N30" s="614">
        <v>3</v>
      </c>
      <c r="O30" s="614">
        <v>2955</v>
      </c>
      <c r="P30" s="627">
        <v>0.30153061224489797</v>
      </c>
      <c r="Q30" s="615">
        <v>985</v>
      </c>
    </row>
    <row r="31" spans="1:17" ht="14.4" customHeight="1" x14ac:dyDescent="0.3">
      <c r="A31" s="610" t="s">
        <v>538</v>
      </c>
      <c r="B31" s="611" t="s">
        <v>1785</v>
      </c>
      <c r="C31" s="611" t="s">
        <v>1782</v>
      </c>
      <c r="D31" s="611" t="s">
        <v>1824</v>
      </c>
      <c r="E31" s="611" t="s">
        <v>1825</v>
      </c>
      <c r="F31" s="614">
        <v>0</v>
      </c>
      <c r="G31" s="614">
        <v>0</v>
      </c>
      <c r="H31" s="614"/>
      <c r="I31" s="614"/>
      <c r="J31" s="614">
        <v>0</v>
      </c>
      <c r="K31" s="614">
        <v>0</v>
      </c>
      <c r="L31" s="614"/>
      <c r="M31" s="614"/>
      <c r="N31" s="614">
        <v>0</v>
      </c>
      <c r="O31" s="614">
        <v>0</v>
      </c>
      <c r="P31" s="627"/>
      <c r="Q31" s="615"/>
    </row>
    <row r="32" spans="1:17" ht="14.4" customHeight="1" x14ac:dyDescent="0.3">
      <c r="A32" s="610" t="s">
        <v>538</v>
      </c>
      <c r="B32" s="611" t="s">
        <v>1785</v>
      </c>
      <c r="C32" s="611" t="s">
        <v>1782</v>
      </c>
      <c r="D32" s="611" t="s">
        <v>1826</v>
      </c>
      <c r="E32" s="611" t="s">
        <v>1827</v>
      </c>
      <c r="F32" s="614">
        <v>2547</v>
      </c>
      <c r="G32" s="614">
        <v>0</v>
      </c>
      <c r="H32" s="614"/>
      <c r="I32" s="614">
        <v>0</v>
      </c>
      <c r="J32" s="614">
        <v>2194</v>
      </c>
      <c r="K32" s="614">
        <v>0</v>
      </c>
      <c r="L32" s="614"/>
      <c r="M32" s="614">
        <v>0</v>
      </c>
      <c r="N32" s="614">
        <v>2523</v>
      </c>
      <c r="O32" s="614">
        <v>0</v>
      </c>
      <c r="P32" s="627"/>
      <c r="Q32" s="615">
        <v>0</v>
      </c>
    </row>
    <row r="33" spans="1:17" ht="14.4" customHeight="1" x14ac:dyDescent="0.3">
      <c r="A33" s="610" t="s">
        <v>538</v>
      </c>
      <c r="B33" s="611" t="s">
        <v>1785</v>
      </c>
      <c r="C33" s="611" t="s">
        <v>1782</v>
      </c>
      <c r="D33" s="611" t="s">
        <v>1828</v>
      </c>
      <c r="E33" s="611" t="s">
        <v>1829</v>
      </c>
      <c r="F33" s="614">
        <v>62</v>
      </c>
      <c r="G33" s="614">
        <v>0</v>
      </c>
      <c r="H33" s="614"/>
      <c r="I33" s="614">
        <v>0</v>
      </c>
      <c r="J33" s="614">
        <v>55</v>
      </c>
      <c r="K33" s="614">
        <v>0</v>
      </c>
      <c r="L33" s="614"/>
      <c r="M33" s="614">
        <v>0</v>
      </c>
      <c r="N33" s="614">
        <v>68</v>
      </c>
      <c r="O33" s="614">
        <v>0</v>
      </c>
      <c r="P33" s="627"/>
      <c r="Q33" s="615">
        <v>0</v>
      </c>
    </row>
    <row r="34" spans="1:17" ht="14.4" customHeight="1" x14ac:dyDescent="0.3">
      <c r="A34" s="610" t="s">
        <v>538</v>
      </c>
      <c r="B34" s="611" t="s">
        <v>1785</v>
      </c>
      <c r="C34" s="611" t="s">
        <v>1782</v>
      </c>
      <c r="D34" s="611" t="s">
        <v>1830</v>
      </c>
      <c r="E34" s="611" t="s">
        <v>1831</v>
      </c>
      <c r="F34" s="614"/>
      <c r="G34" s="614"/>
      <c r="H34" s="614"/>
      <c r="I34" s="614"/>
      <c r="J34" s="614"/>
      <c r="K34" s="614"/>
      <c r="L34" s="614"/>
      <c r="M34" s="614"/>
      <c r="N34" s="614">
        <v>1</v>
      </c>
      <c r="O34" s="614">
        <v>0</v>
      </c>
      <c r="P34" s="627"/>
      <c r="Q34" s="615">
        <v>0</v>
      </c>
    </row>
    <row r="35" spans="1:17" ht="14.4" customHeight="1" x14ac:dyDescent="0.3">
      <c r="A35" s="610" t="s">
        <v>538</v>
      </c>
      <c r="B35" s="611" t="s">
        <v>1785</v>
      </c>
      <c r="C35" s="611" t="s">
        <v>1782</v>
      </c>
      <c r="D35" s="611" t="s">
        <v>1832</v>
      </c>
      <c r="E35" s="611" t="s">
        <v>1833</v>
      </c>
      <c r="F35" s="614">
        <v>1098</v>
      </c>
      <c r="G35" s="614">
        <v>0</v>
      </c>
      <c r="H35" s="614"/>
      <c r="I35" s="614">
        <v>0</v>
      </c>
      <c r="J35" s="614">
        <v>1270</v>
      </c>
      <c r="K35" s="614">
        <v>0</v>
      </c>
      <c r="L35" s="614"/>
      <c r="M35" s="614">
        <v>0</v>
      </c>
      <c r="N35" s="614">
        <v>1130</v>
      </c>
      <c r="O35" s="614">
        <v>0</v>
      </c>
      <c r="P35" s="627"/>
      <c r="Q35" s="615">
        <v>0</v>
      </c>
    </row>
    <row r="36" spans="1:17" ht="14.4" customHeight="1" x14ac:dyDescent="0.3">
      <c r="A36" s="610" t="s">
        <v>538</v>
      </c>
      <c r="B36" s="611" t="s">
        <v>1785</v>
      </c>
      <c r="C36" s="611" t="s">
        <v>1782</v>
      </c>
      <c r="D36" s="611" t="s">
        <v>1783</v>
      </c>
      <c r="E36" s="611" t="s">
        <v>1784</v>
      </c>
      <c r="F36" s="614">
        <v>32</v>
      </c>
      <c r="G36" s="614">
        <v>0</v>
      </c>
      <c r="H36" s="614"/>
      <c r="I36" s="614">
        <v>0</v>
      </c>
      <c r="J36" s="614"/>
      <c r="K36" s="614"/>
      <c r="L36" s="614"/>
      <c r="M36" s="614"/>
      <c r="N36" s="614"/>
      <c r="O36" s="614"/>
      <c r="P36" s="627"/>
      <c r="Q36" s="615"/>
    </row>
    <row r="37" spans="1:17" ht="14.4" customHeight="1" x14ac:dyDescent="0.3">
      <c r="A37" s="610" t="s">
        <v>538</v>
      </c>
      <c r="B37" s="611" t="s">
        <v>1785</v>
      </c>
      <c r="C37" s="611" t="s">
        <v>1782</v>
      </c>
      <c r="D37" s="611" t="s">
        <v>1834</v>
      </c>
      <c r="E37" s="611" t="s">
        <v>1835</v>
      </c>
      <c r="F37" s="614">
        <v>1250</v>
      </c>
      <c r="G37" s="614">
        <v>408751</v>
      </c>
      <c r="H37" s="614">
        <v>1</v>
      </c>
      <c r="I37" s="614">
        <v>327.00080000000003</v>
      </c>
      <c r="J37" s="614">
        <v>1416</v>
      </c>
      <c r="K37" s="614">
        <v>451326</v>
      </c>
      <c r="L37" s="614">
        <v>1.1041587665840573</v>
      </c>
      <c r="M37" s="614">
        <v>318.7330508474576</v>
      </c>
      <c r="N37" s="614">
        <v>1315</v>
      </c>
      <c r="O37" s="614">
        <v>435265</v>
      </c>
      <c r="P37" s="627">
        <v>1.0648658963525472</v>
      </c>
      <c r="Q37" s="615">
        <v>331</v>
      </c>
    </row>
    <row r="38" spans="1:17" ht="14.4" customHeight="1" x14ac:dyDescent="0.3">
      <c r="A38" s="610" t="s">
        <v>538</v>
      </c>
      <c r="B38" s="611" t="s">
        <v>1785</v>
      </c>
      <c r="C38" s="611" t="s">
        <v>1782</v>
      </c>
      <c r="D38" s="611" t="s">
        <v>1836</v>
      </c>
      <c r="E38" s="611" t="s">
        <v>1837</v>
      </c>
      <c r="F38" s="614">
        <v>1151</v>
      </c>
      <c r="G38" s="614">
        <v>742378</v>
      </c>
      <c r="H38" s="614">
        <v>1</v>
      </c>
      <c r="I38" s="614">
        <v>644.98523023457858</v>
      </c>
      <c r="J38" s="614">
        <v>1334</v>
      </c>
      <c r="K38" s="614">
        <v>837114</v>
      </c>
      <c r="L38" s="614">
        <v>1.1276115402126679</v>
      </c>
      <c r="M38" s="614">
        <v>627.52173913043475</v>
      </c>
      <c r="N38" s="614">
        <v>1223</v>
      </c>
      <c r="O38" s="614">
        <v>798583</v>
      </c>
      <c r="P38" s="627">
        <v>1.0757094094921993</v>
      </c>
      <c r="Q38" s="615">
        <v>652.97056418642683</v>
      </c>
    </row>
    <row r="39" spans="1:17" ht="14.4" customHeight="1" x14ac:dyDescent="0.3">
      <c r="A39" s="610" t="s">
        <v>538</v>
      </c>
      <c r="B39" s="611" t="s">
        <v>1785</v>
      </c>
      <c r="C39" s="611" t="s">
        <v>1782</v>
      </c>
      <c r="D39" s="611" t="s">
        <v>1838</v>
      </c>
      <c r="E39" s="611" t="s">
        <v>1839</v>
      </c>
      <c r="F39" s="614">
        <v>3</v>
      </c>
      <c r="G39" s="614">
        <v>0</v>
      </c>
      <c r="H39" s="614"/>
      <c r="I39" s="614">
        <v>0</v>
      </c>
      <c r="J39" s="614"/>
      <c r="K39" s="614"/>
      <c r="L39" s="614"/>
      <c r="M39" s="614"/>
      <c r="N39" s="614"/>
      <c r="O39" s="614"/>
      <c r="P39" s="627"/>
      <c r="Q39" s="615"/>
    </row>
    <row r="40" spans="1:17" ht="14.4" customHeight="1" x14ac:dyDescent="0.3">
      <c r="A40" s="610" t="s">
        <v>538</v>
      </c>
      <c r="B40" s="611" t="s">
        <v>1785</v>
      </c>
      <c r="C40" s="611" t="s">
        <v>1782</v>
      </c>
      <c r="D40" s="611" t="s">
        <v>1840</v>
      </c>
      <c r="E40" s="611" t="s">
        <v>1841</v>
      </c>
      <c r="F40" s="614">
        <v>12</v>
      </c>
      <c r="G40" s="614">
        <v>0</v>
      </c>
      <c r="H40" s="614"/>
      <c r="I40" s="614">
        <v>0</v>
      </c>
      <c r="J40" s="614">
        <v>9</v>
      </c>
      <c r="K40" s="614">
        <v>0</v>
      </c>
      <c r="L40" s="614"/>
      <c r="M40" s="614">
        <v>0</v>
      </c>
      <c r="N40" s="614">
        <v>16</v>
      </c>
      <c r="O40" s="614">
        <v>0</v>
      </c>
      <c r="P40" s="627"/>
      <c r="Q40" s="615">
        <v>0</v>
      </c>
    </row>
    <row r="41" spans="1:17" ht="14.4" customHeight="1" x14ac:dyDescent="0.3">
      <c r="A41" s="610" t="s">
        <v>538</v>
      </c>
      <c r="B41" s="611" t="s">
        <v>1785</v>
      </c>
      <c r="C41" s="611" t="s">
        <v>1782</v>
      </c>
      <c r="D41" s="611" t="s">
        <v>1842</v>
      </c>
      <c r="E41" s="611" t="s">
        <v>1843</v>
      </c>
      <c r="F41" s="614">
        <v>174</v>
      </c>
      <c r="G41" s="614">
        <v>25229</v>
      </c>
      <c r="H41" s="614">
        <v>1</v>
      </c>
      <c r="I41" s="614">
        <v>144.99425287356323</v>
      </c>
      <c r="J41" s="614">
        <v>241</v>
      </c>
      <c r="K41" s="614">
        <v>34065</v>
      </c>
      <c r="L41" s="614">
        <v>1.3502318760156962</v>
      </c>
      <c r="M41" s="614">
        <v>141.34854771784234</v>
      </c>
      <c r="N41" s="614">
        <v>235</v>
      </c>
      <c r="O41" s="614">
        <v>34778</v>
      </c>
      <c r="P41" s="627">
        <v>1.3784930040826033</v>
      </c>
      <c r="Q41" s="615">
        <v>147.99148936170212</v>
      </c>
    </row>
    <row r="42" spans="1:17" ht="14.4" customHeight="1" x14ac:dyDescent="0.3">
      <c r="A42" s="610" t="s">
        <v>538</v>
      </c>
      <c r="B42" s="611" t="s">
        <v>1785</v>
      </c>
      <c r="C42" s="611" t="s">
        <v>1782</v>
      </c>
      <c r="D42" s="611" t="s">
        <v>1844</v>
      </c>
      <c r="E42" s="611" t="s">
        <v>1845</v>
      </c>
      <c r="F42" s="614">
        <v>5743</v>
      </c>
      <c r="G42" s="614">
        <v>5448367</v>
      </c>
      <c r="H42" s="614">
        <v>1</v>
      </c>
      <c r="I42" s="614">
        <v>948.69702246212785</v>
      </c>
      <c r="J42" s="614">
        <v>5906</v>
      </c>
      <c r="K42" s="614">
        <v>5437770</v>
      </c>
      <c r="L42" s="614">
        <v>0.99805501354809611</v>
      </c>
      <c r="M42" s="614">
        <v>920.71960717913987</v>
      </c>
      <c r="N42" s="614">
        <v>5874</v>
      </c>
      <c r="O42" s="614">
        <v>5574426</v>
      </c>
      <c r="P42" s="627">
        <v>1.0231370243597762</v>
      </c>
      <c r="Q42" s="615">
        <v>949</v>
      </c>
    </row>
    <row r="43" spans="1:17" ht="14.4" customHeight="1" x14ac:dyDescent="0.3">
      <c r="A43" s="610" t="s">
        <v>538</v>
      </c>
      <c r="B43" s="611" t="s">
        <v>1785</v>
      </c>
      <c r="C43" s="611" t="s">
        <v>1782</v>
      </c>
      <c r="D43" s="611" t="s">
        <v>1846</v>
      </c>
      <c r="E43" s="611" t="s">
        <v>1847</v>
      </c>
      <c r="F43" s="614"/>
      <c r="G43" s="614"/>
      <c r="H43" s="614"/>
      <c r="I43" s="614"/>
      <c r="J43" s="614"/>
      <c r="K43" s="614"/>
      <c r="L43" s="614"/>
      <c r="M43" s="614"/>
      <c r="N43" s="614">
        <v>2</v>
      </c>
      <c r="O43" s="614">
        <v>0</v>
      </c>
      <c r="P43" s="627"/>
      <c r="Q43" s="615">
        <v>0</v>
      </c>
    </row>
    <row r="44" spans="1:17" ht="14.4" customHeight="1" x14ac:dyDescent="0.3">
      <c r="A44" s="610" t="s">
        <v>538</v>
      </c>
      <c r="B44" s="611" t="s">
        <v>1785</v>
      </c>
      <c r="C44" s="611" t="s">
        <v>1782</v>
      </c>
      <c r="D44" s="611" t="s">
        <v>1848</v>
      </c>
      <c r="E44" s="611" t="s">
        <v>1849</v>
      </c>
      <c r="F44" s="614"/>
      <c r="G44" s="614"/>
      <c r="H44" s="614"/>
      <c r="I44" s="614"/>
      <c r="J44" s="614"/>
      <c r="K44" s="614"/>
      <c r="L44" s="614"/>
      <c r="M44" s="614"/>
      <c r="N44" s="614">
        <v>1</v>
      </c>
      <c r="O44" s="614">
        <v>0</v>
      </c>
      <c r="P44" s="627"/>
      <c r="Q44" s="615">
        <v>0</v>
      </c>
    </row>
    <row r="45" spans="1:17" ht="14.4" customHeight="1" x14ac:dyDescent="0.3">
      <c r="A45" s="610" t="s">
        <v>538</v>
      </c>
      <c r="B45" s="611" t="s">
        <v>1781</v>
      </c>
      <c r="C45" s="611" t="s">
        <v>1786</v>
      </c>
      <c r="D45" s="611" t="s">
        <v>1850</v>
      </c>
      <c r="E45" s="611"/>
      <c r="F45" s="614">
        <v>9</v>
      </c>
      <c r="G45" s="614">
        <v>1031.22</v>
      </c>
      <c r="H45" s="614">
        <v>1</v>
      </c>
      <c r="I45" s="614">
        <v>114.58</v>
      </c>
      <c r="J45" s="614"/>
      <c r="K45" s="614"/>
      <c r="L45" s="614"/>
      <c r="M45" s="614"/>
      <c r="N45" s="614"/>
      <c r="O45" s="614"/>
      <c r="P45" s="627"/>
      <c r="Q45" s="615"/>
    </row>
    <row r="46" spans="1:17" ht="14.4" customHeight="1" x14ac:dyDescent="0.3">
      <c r="A46" s="610" t="s">
        <v>538</v>
      </c>
      <c r="B46" s="611" t="s">
        <v>1781</v>
      </c>
      <c r="C46" s="611" t="s">
        <v>1786</v>
      </c>
      <c r="D46" s="611" t="s">
        <v>1851</v>
      </c>
      <c r="E46" s="611" t="s">
        <v>1852</v>
      </c>
      <c r="F46" s="614"/>
      <c r="G46" s="614"/>
      <c r="H46" s="614"/>
      <c r="I46" s="614"/>
      <c r="J46" s="614">
        <v>12</v>
      </c>
      <c r="K46" s="614">
        <v>1134.95</v>
      </c>
      <c r="L46" s="614"/>
      <c r="M46" s="614">
        <v>94.579166666666666</v>
      </c>
      <c r="N46" s="614"/>
      <c r="O46" s="614"/>
      <c r="P46" s="627"/>
      <c r="Q46" s="615"/>
    </row>
    <row r="47" spans="1:17" ht="14.4" customHeight="1" x14ac:dyDescent="0.3">
      <c r="A47" s="610" t="s">
        <v>538</v>
      </c>
      <c r="B47" s="611" t="s">
        <v>1781</v>
      </c>
      <c r="C47" s="611" t="s">
        <v>1786</v>
      </c>
      <c r="D47" s="611" t="s">
        <v>1787</v>
      </c>
      <c r="E47" s="611" t="s">
        <v>1261</v>
      </c>
      <c r="F47" s="614">
        <v>107</v>
      </c>
      <c r="G47" s="614">
        <v>56913.4</v>
      </c>
      <c r="H47" s="614">
        <v>1</v>
      </c>
      <c r="I47" s="614">
        <v>531.90093457943931</v>
      </c>
      <c r="J47" s="614">
        <v>126</v>
      </c>
      <c r="K47" s="614">
        <v>67052.160000000003</v>
      </c>
      <c r="L47" s="614">
        <v>1.1781436357694322</v>
      </c>
      <c r="M47" s="614">
        <v>532.16000000000008</v>
      </c>
      <c r="N47" s="614">
        <v>78.099999999999994</v>
      </c>
      <c r="O47" s="614">
        <v>34220.22</v>
      </c>
      <c r="P47" s="627">
        <v>0.60126824262827383</v>
      </c>
      <c r="Q47" s="615">
        <v>438.15902688860439</v>
      </c>
    </row>
    <row r="48" spans="1:17" ht="14.4" customHeight="1" x14ac:dyDescent="0.3">
      <c r="A48" s="610" t="s">
        <v>538</v>
      </c>
      <c r="B48" s="611" t="s">
        <v>1781</v>
      </c>
      <c r="C48" s="611" t="s">
        <v>1786</v>
      </c>
      <c r="D48" s="611" t="s">
        <v>1853</v>
      </c>
      <c r="E48" s="611" t="s">
        <v>1854</v>
      </c>
      <c r="F48" s="614"/>
      <c r="G48" s="614"/>
      <c r="H48" s="614"/>
      <c r="I48" s="614"/>
      <c r="J48" s="614">
        <v>1.2</v>
      </c>
      <c r="K48" s="614">
        <v>755.05</v>
      </c>
      <c r="L48" s="614"/>
      <c r="M48" s="614">
        <v>629.20833333333337</v>
      </c>
      <c r="N48" s="614">
        <v>0.5</v>
      </c>
      <c r="O48" s="614">
        <v>296.39999999999998</v>
      </c>
      <c r="P48" s="627"/>
      <c r="Q48" s="615">
        <v>592.79999999999995</v>
      </c>
    </row>
    <row r="49" spans="1:17" ht="14.4" customHeight="1" x14ac:dyDescent="0.3">
      <c r="A49" s="610" t="s">
        <v>538</v>
      </c>
      <c r="B49" s="611" t="s">
        <v>1781</v>
      </c>
      <c r="C49" s="611" t="s">
        <v>1786</v>
      </c>
      <c r="D49" s="611" t="s">
        <v>1788</v>
      </c>
      <c r="E49" s="611"/>
      <c r="F49" s="614">
        <v>21.7</v>
      </c>
      <c r="G49" s="614">
        <v>23420.81</v>
      </c>
      <c r="H49" s="614">
        <v>1</v>
      </c>
      <c r="I49" s="614">
        <v>1079.3000000000002</v>
      </c>
      <c r="J49" s="614">
        <v>23.9</v>
      </c>
      <c r="K49" s="614">
        <v>25795.270000000004</v>
      </c>
      <c r="L49" s="614">
        <v>1.1013824884792627</v>
      </c>
      <c r="M49" s="614">
        <v>1079.3000000000002</v>
      </c>
      <c r="N49" s="614"/>
      <c r="O49" s="614"/>
      <c r="P49" s="627"/>
      <c r="Q49" s="615"/>
    </row>
    <row r="50" spans="1:17" ht="14.4" customHeight="1" x14ac:dyDescent="0.3">
      <c r="A50" s="610" t="s">
        <v>538</v>
      </c>
      <c r="B50" s="611" t="s">
        <v>1781</v>
      </c>
      <c r="C50" s="611" t="s">
        <v>1786</v>
      </c>
      <c r="D50" s="611" t="s">
        <v>1789</v>
      </c>
      <c r="E50" s="611" t="s">
        <v>1790</v>
      </c>
      <c r="F50" s="614">
        <v>2</v>
      </c>
      <c r="G50" s="614">
        <v>368.84</v>
      </c>
      <c r="H50" s="614">
        <v>1</v>
      </c>
      <c r="I50" s="614">
        <v>184.42</v>
      </c>
      <c r="J50" s="614"/>
      <c r="K50" s="614"/>
      <c r="L50" s="614"/>
      <c r="M50" s="614"/>
      <c r="N50" s="614">
        <v>11</v>
      </c>
      <c r="O50" s="614">
        <v>1940.51</v>
      </c>
      <c r="P50" s="627">
        <v>5.2611159310270041</v>
      </c>
      <c r="Q50" s="615">
        <v>176.41</v>
      </c>
    </row>
    <row r="51" spans="1:17" ht="14.4" customHeight="1" x14ac:dyDescent="0.3">
      <c r="A51" s="610" t="s">
        <v>538</v>
      </c>
      <c r="B51" s="611" t="s">
        <v>1781</v>
      </c>
      <c r="C51" s="611" t="s">
        <v>1786</v>
      </c>
      <c r="D51" s="611" t="s">
        <v>1855</v>
      </c>
      <c r="E51" s="611" t="s">
        <v>1856</v>
      </c>
      <c r="F51" s="614">
        <v>16</v>
      </c>
      <c r="G51" s="614">
        <v>20704</v>
      </c>
      <c r="H51" s="614">
        <v>1</v>
      </c>
      <c r="I51" s="614">
        <v>1294</v>
      </c>
      <c r="J51" s="614">
        <v>9.5</v>
      </c>
      <c r="K51" s="614">
        <v>12293</v>
      </c>
      <c r="L51" s="614">
        <v>0.59375</v>
      </c>
      <c r="M51" s="614">
        <v>1294</v>
      </c>
      <c r="N51" s="614">
        <v>1</v>
      </c>
      <c r="O51" s="614">
        <v>1237.74</v>
      </c>
      <c r="P51" s="627">
        <v>5.9782650695517775E-2</v>
      </c>
      <c r="Q51" s="615">
        <v>1237.74</v>
      </c>
    </row>
    <row r="52" spans="1:17" ht="14.4" customHeight="1" x14ac:dyDescent="0.3">
      <c r="A52" s="610" t="s">
        <v>538</v>
      </c>
      <c r="B52" s="611" t="s">
        <v>1781</v>
      </c>
      <c r="C52" s="611" t="s">
        <v>1786</v>
      </c>
      <c r="D52" s="611" t="s">
        <v>1857</v>
      </c>
      <c r="E52" s="611" t="s">
        <v>1858</v>
      </c>
      <c r="F52" s="614">
        <v>0</v>
      </c>
      <c r="G52" s="614">
        <v>0</v>
      </c>
      <c r="H52" s="614"/>
      <c r="I52" s="614"/>
      <c r="J52" s="614"/>
      <c r="K52" s="614"/>
      <c r="L52" s="614"/>
      <c r="M52" s="614"/>
      <c r="N52" s="614"/>
      <c r="O52" s="614"/>
      <c r="P52" s="627"/>
      <c r="Q52" s="615"/>
    </row>
    <row r="53" spans="1:17" ht="14.4" customHeight="1" x14ac:dyDescent="0.3">
      <c r="A53" s="610" t="s">
        <v>538</v>
      </c>
      <c r="B53" s="611" t="s">
        <v>1781</v>
      </c>
      <c r="C53" s="611" t="s">
        <v>1786</v>
      </c>
      <c r="D53" s="611" t="s">
        <v>1857</v>
      </c>
      <c r="E53" s="611" t="s">
        <v>1859</v>
      </c>
      <c r="F53" s="614">
        <v>12</v>
      </c>
      <c r="G53" s="614">
        <v>246571.44</v>
      </c>
      <c r="H53" s="614">
        <v>1</v>
      </c>
      <c r="I53" s="614">
        <v>20547.62</v>
      </c>
      <c r="J53" s="614"/>
      <c r="K53" s="614"/>
      <c r="L53" s="614"/>
      <c r="M53" s="614"/>
      <c r="N53" s="614"/>
      <c r="O53" s="614"/>
      <c r="P53" s="627"/>
      <c r="Q53" s="615"/>
    </row>
    <row r="54" spans="1:17" ht="14.4" customHeight="1" x14ac:dyDescent="0.3">
      <c r="A54" s="610" t="s">
        <v>538</v>
      </c>
      <c r="B54" s="611" t="s">
        <v>1781</v>
      </c>
      <c r="C54" s="611" t="s">
        <v>1786</v>
      </c>
      <c r="D54" s="611" t="s">
        <v>1860</v>
      </c>
      <c r="E54" s="611" t="s">
        <v>1861</v>
      </c>
      <c r="F54" s="614">
        <v>49</v>
      </c>
      <c r="G54" s="614">
        <v>6594.91</v>
      </c>
      <c r="H54" s="614">
        <v>1</v>
      </c>
      <c r="I54" s="614">
        <v>134.59</v>
      </c>
      <c r="J54" s="614">
        <v>26</v>
      </c>
      <c r="K54" s="614">
        <v>3499.34</v>
      </c>
      <c r="L54" s="614">
        <v>0.53061224489795922</v>
      </c>
      <c r="M54" s="614">
        <v>134.59</v>
      </c>
      <c r="N54" s="614">
        <v>27</v>
      </c>
      <c r="O54" s="614">
        <v>3481.83</v>
      </c>
      <c r="P54" s="627">
        <v>0.52795716696664552</v>
      </c>
      <c r="Q54" s="615">
        <v>128.95666666666668</v>
      </c>
    </row>
    <row r="55" spans="1:17" ht="14.4" customHeight="1" x14ac:dyDescent="0.3">
      <c r="A55" s="610" t="s">
        <v>538</v>
      </c>
      <c r="B55" s="611" t="s">
        <v>1781</v>
      </c>
      <c r="C55" s="611" t="s">
        <v>1786</v>
      </c>
      <c r="D55" s="611" t="s">
        <v>1791</v>
      </c>
      <c r="E55" s="611" t="s">
        <v>1258</v>
      </c>
      <c r="F55" s="614"/>
      <c r="G55" s="614"/>
      <c r="H55" s="614"/>
      <c r="I55" s="614"/>
      <c r="J55" s="614"/>
      <c r="K55" s="614"/>
      <c r="L55" s="614"/>
      <c r="M55" s="614"/>
      <c r="N55" s="614">
        <v>4</v>
      </c>
      <c r="O55" s="614">
        <v>154.44</v>
      </c>
      <c r="P55" s="627"/>
      <c r="Q55" s="615">
        <v>38.61</v>
      </c>
    </row>
    <row r="56" spans="1:17" ht="14.4" customHeight="1" x14ac:dyDescent="0.3">
      <c r="A56" s="610" t="s">
        <v>538</v>
      </c>
      <c r="B56" s="611" t="s">
        <v>1781</v>
      </c>
      <c r="C56" s="611" t="s">
        <v>1786</v>
      </c>
      <c r="D56" s="611" t="s">
        <v>1862</v>
      </c>
      <c r="E56" s="611"/>
      <c r="F56" s="614">
        <v>11</v>
      </c>
      <c r="G56" s="614">
        <v>3014.59</v>
      </c>
      <c r="H56" s="614">
        <v>1</v>
      </c>
      <c r="I56" s="614">
        <v>274.05363636363637</v>
      </c>
      <c r="J56" s="614"/>
      <c r="K56" s="614"/>
      <c r="L56" s="614"/>
      <c r="M56" s="614"/>
      <c r="N56" s="614"/>
      <c r="O56" s="614"/>
      <c r="P56" s="627"/>
      <c r="Q56" s="615"/>
    </row>
    <row r="57" spans="1:17" ht="14.4" customHeight="1" x14ac:dyDescent="0.3">
      <c r="A57" s="610" t="s">
        <v>538</v>
      </c>
      <c r="B57" s="611" t="s">
        <v>1781</v>
      </c>
      <c r="C57" s="611" t="s">
        <v>1786</v>
      </c>
      <c r="D57" s="611" t="s">
        <v>1792</v>
      </c>
      <c r="E57" s="611" t="s">
        <v>1267</v>
      </c>
      <c r="F57" s="614">
        <v>8.9</v>
      </c>
      <c r="G57" s="614">
        <v>422.75</v>
      </c>
      <c r="H57" s="614">
        <v>1</v>
      </c>
      <c r="I57" s="614">
        <v>47.5</v>
      </c>
      <c r="J57" s="614">
        <v>1.3</v>
      </c>
      <c r="K57" s="614">
        <v>61.75</v>
      </c>
      <c r="L57" s="614">
        <v>0.14606741573033707</v>
      </c>
      <c r="M57" s="614">
        <v>47.5</v>
      </c>
      <c r="N57" s="614">
        <v>5.3</v>
      </c>
      <c r="O57" s="614">
        <v>241.94000000000003</v>
      </c>
      <c r="P57" s="627">
        <v>0.57230041395623898</v>
      </c>
      <c r="Q57" s="615">
        <v>45.649056603773595</v>
      </c>
    </row>
    <row r="58" spans="1:17" ht="14.4" customHeight="1" x14ac:dyDescent="0.3">
      <c r="A58" s="610" t="s">
        <v>538</v>
      </c>
      <c r="B58" s="611" t="s">
        <v>1781</v>
      </c>
      <c r="C58" s="611" t="s">
        <v>1786</v>
      </c>
      <c r="D58" s="611" t="s">
        <v>1796</v>
      </c>
      <c r="E58" s="611" t="s">
        <v>834</v>
      </c>
      <c r="F58" s="614"/>
      <c r="G58" s="614"/>
      <c r="H58" s="614"/>
      <c r="I58" s="614"/>
      <c r="J58" s="614">
        <v>0.6</v>
      </c>
      <c r="K58" s="614">
        <v>150.9</v>
      </c>
      <c r="L58" s="614"/>
      <c r="M58" s="614">
        <v>251.50000000000003</v>
      </c>
      <c r="N58" s="614">
        <v>1.1000000000000001</v>
      </c>
      <c r="O58" s="614">
        <v>264.63</v>
      </c>
      <c r="P58" s="627"/>
      <c r="Q58" s="615">
        <v>240.57272727272724</v>
      </c>
    </row>
    <row r="59" spans="1:17" ht="14.4" customHeight="1" x14ac:dyDescent="0.3">
      <c r="A59" s="610" t="s">
        <v>538</v>
      </c>
      <c r="B59" s="611" t="s">
        <v>1781</v>
      </c>
      <c r="C59" s="611" t="s">
        <v>1786</v>
      </c>
      <c r="D59" s="611" t="s">
        <v>1797</v>
      </c>
      <c r="E59" s="611" t="s">
        <v>1798</v>
      </c>
      <c r="F59" s="614"/>
      <c r="G59" s="614"/>
      <c r="H59" s="614"/>
      <c r="I59" s="614"/>
      <c r="J59" s="614">
        <v>14</v>
      </c>
      <c r="K59" s="614">
        <v>498.54</v>
      </c>
      <c r="L59" s="614"/>
      <c r="M59" s="614">
        <v>35.61</v>
      </c>
      <c r="N59" s="614"/>
      <c r="O59" s="614"/>
      <c r="P59" s="627"/>
      <c r="Q59" s="615"/>
    </row>
    <row r="60" spans="1:17" ht="14.4" customHeight="1" x14ac:dyDescent="0.3">
      <c r="A60" s="610" t="s">
        <v>538</v>
      </c>
      <c r="B60" s="611" t="s">
        <v>1781</v>
      </c>
      <c r="C60" s="611" t="s">
        <v>1786</v>
      </c>
      <c r="D60" s="611" t="s">
        <v>1863</v>
      </c>
      <c r="E60" s="611" t="s">
        <v>1864</v>
      </c>
      <c r="F60" s="614">
        <v>11</v>
      </c>
      <c r="G60" s="614">
        <v>803.55</v>
      </c>
      <c r="H60" s="614">
        <v>1</v>
      </c>
      <c r="I60" s="614">
        <v>73.05</v>
      </c>
      <c r="J60" s="614"/>
      <c r="K60" s="614"/>
      <c r="L60" s="614"/>
      <c r="M60" s="614"/>
      <c r="N60" s="614"/>
      <c r="O60" s="614"/>
      <c r="P60" s="627"/>
      <c r="Q60" s="615"/>
    </row>
    <row r="61" spans="1:17" ht="14.4" customHeight="1" x14ac:dyDescent="0.3">
      <c r="A61" s="610" t="s">
        <v>538</v>
      </c>
      <c r="B61" s="611" t="s">
        <v>1781</v>
      </c>
      <c r="C61" s="611" t="s">
        <v>1786</v>
      </c>
      <c r="D61" s="611" t="s">
        <v>1865</v>
      </c>
      <c r="E61" s="611" t="s">
        <v>1866</v>
      </c>
      <c r="F61" s="614">
        <v>1.5</v>
      </c>
      <c r="G61" s="614">
        <v>3304.6499999999996</v>
      </c>
      <c r="H61" s="614">
        <v>1</v>
      </c>
      <c r="I61" s="614">
        <v>2203.1</v>
      </c>
      <c r="J61" s="614">
        <v>1.5</v>
      </c>
      <c r="K61" s="614">
        <v>3304.65</v>
      </c>
      <c r="L61" s="614">
        <v>1.0000000000000002</v>
      </c>
      <c r="M61" s="614">
        <v>2203.1</v>
      </c>
      <c r="N61" s="614">
        <v>2.52</v>
      </c>
      <c r="O61" s="614">
        <v>5358.29</v>
      </c>
      <c r="P61" s="627">
        <v>1.6214394867837745</v>
      </c>
      <c r="Q61" s="615">
        <v>2126.3055555555557</v>
      </c>
    </row>
    <row r="62" spans="1:17" ht="14.4" customHeight="1" x14ac:dyDescent="0.3">
      <c r="A62" s="610" t="s">
        <v>538</v>
      </c>
      <c r="B62" s="611" t="s">
        <v>1781</v>
      </c>
      <c r="C62" s="611" t="s">
        <v>1786</v>
      </c>
      <c r="D62" s="611" t="s">
        <v>1867</v>
      </c>
      <c r="E62" s="611" t="s">
        <v>1038</v>
      </c>
      <c r="F62" s="614">
        <v>12</v>
      </c>
      <c r="G62" s="614">
        <v>195641.16</v>
      </c>
      <c r="H62" s="614">
        <v>1</v>
      </c>
      <c r="I62" s="614">
        <v>16303.43</v>
      </c>
      <c r="J62" s="614">
        <v>12.5</v>
      </c>
      <c r="K62" s="614">
        <v>203887.63999999998</v>
      </c>
      <c r="L62" s="614">
        <v>1.0421510483785721</v>
      </c>
      <c r="M62" s="614">
        <v>16311.011199999999</v>
      </c>
      <c r="N62" s="614">
        <v>14.5</v>
      </c>
      <c r="O62" s="614">
        <v>226522.33000000002</v>
      </c>
      <c r="P62" s="627">
        <v>1.1578459767872977</v>
      </c>
      <c r="Q62" s="615">
        <v>15622.229655172416</v>
      </c>
    </row>
    <row r="63" spans="1:17" ht="14.4" customHeight="1" x14ac:dyDescent="0.3">
      <c r="A63" s="610" t="s">
        <v>538</v>
      </c>
      <c r="B63" s="611" t="s">
        <v>1781</v>
      </c>
      <c r="C63" s="611" t="s">
        <v>1786</v>
      </c>
      <c r="D63" s="611" t="s">
        <v>1799</v>
      </c>
      <c r="E63" s="611" t="s">
        <v>1800</v>
      </c>
      <c r="F63" s="614">
        <v>1.98</v>
      </c>
      <c r="G63" s="614">
        <v>880.05</v>
      </c>
      <c r="H63" s="614">
        <v>1</v>
      </c>
      <c r="I63" s="614">
        <v>444.46969696969694</v>
      </c>
      <c r="J63" s="614">
        <v>1.4</v>
      </c>
      <c r="K63" s="614">
        <v>620.48</v>
      </c>
      <c r="L63" s="614">
        <v>0.70505084938355778</v>
      </c>
      <c r="M63" s="614">
        <v>443.20000000000005</v>
      </c>
      <c r="N63" s="614">
        <v>5.7</v>
      </c>
      <c r="O63" s="614">
        <v>2424.14</v>
      </c>
      <c r="P63" s="627">
        <v>2.7545480370433499</v>
      </c>
      <c r="Q63" s="615">
        <v>425.28771929824558</v>
      </c>
    </row>
    <row r="64" spans="1:17" ht="14.4" customHeight="1" x14ac:dyDescent="0.3">
      <c r="A64" s="610" t="s">
        <v>538</v>
      </c>
      <c r="B64" s="611" t="s">
        <v>1781</v>
      </c>
      <c r="C64" s="611" t="s">
        <v>1786</v>
      </c>
      <c r="D64" s="611" t="s">
        <v>1801</v>
      </c>
      <c r="E64" s="611" t="s">
        <v>1148</v>
      </c>
      <c r="F64" s="614">
        <v>12.1</v>
      </c>
      <c r="G64" s="614">
        <v>1386.41</v>
      </c>
      <c r="H64" s="614">
        <v>1</v>
      </c>
      <c r="I64" s="614">
        <v>114.57933884297522</v>
      </c>
      <c r="J64" s="614">
        <v>9</v>
      </c>
      <c r="K64" s="614">
        <v>1031.22</v>
      </c>
      <c r="L64" s="614">
        <v>0.74380594485036888</v>
      </c>
      <c r="M64" s="614">
        <v>114.58</v>
      </c>
      <c r="N64" s="614">
        <v>21</v>
      </c>
      <c r="O64" s="614">
        <v>2321.52</v>
      </c>
      <c r="P64" s="627">
        <v>1.6744830172892577</v>
      </c>
      <c r="Q64" s="615">
        <v>110.54857142857142</v>
      </c>
    </row>
    <row r="65" spans="1:17" ht="14.4" customHeight="1" x14ac:dyDescent="0.3">
      <c r="A65" s="610" t="s">
        <v>538</v>
      </c>
      <c r="B65" s="611" t="s">
        <v>1781</v>
      </c>
      <c r="C65" s="611" t="s">
        <v>1786</v>
      </c>
      <c r="D65" s="611" t="s">
        <v>1803</v>
      </c>
      <c r="E65" s="611" t="s">
        <v>1230</v>
      </c>
      <c r="F65" s="614">
        <v>20.8</v>
      </c>
      <c r="G65" s="614">
        <v>1005.5200000000001</v>
      </c>
      <c r="H65" s="614">
        <v>1</v>
      </c>
      <c r="I65" s="614">
        <v>48.342307692307692</v>
      </c>
      <c r="J65" s="614">
        <v>24.5</v>
      </c>
      <c r="K65" s="614">
        <v>1147.17</v>
      </c>
      <c r="L65" s="614">
        <v>1.1408723844379027</v>
      </c>
      <c r="M65" s="614">
        <v>46.823265306122451</v>
      </c>
      <c r="N65" s="614">
        <v>29.5</v>
      </c>
      <c r="O65" s="614">
        <v>1369.09</v>
      </c>
      <c r="P65" s="627">
        <v>1.3615741109077888</v>
      </c>
      <c r="Q65" s="615">
        <v>46.40983050847457</v>
      </c>
    </row>
    <row r="66" spans="1:17" ht="14.4" customHeight="1" x14ac:dyDescent="0.3">
      <c r="A66" s="610" t="s">
        <v>538</v>
      </c>
      <c r="B66" s="611" t="s">
        <v>1781</v>
      </c>
      <c r="C66" s="611" t="s">
        <v>1786</v>
      </c>
      <c r="D66" s="611" t="s">
        <v>1868</v>
      </c>
      <c r="E66" s="611" t="s">
        <v>1254</v>
      </c>
      <c r="F66" s="614">
        <v>1.3</v>
      </c>
      <c r="G66" s="614">
        <v>786.63</v>
      </c>
      <c r="H66" s="614">
        <v>1</v>
      </c>
      <c r="I66" s="614">
        <v>605.1</v>
      </c>
      <c r="J66" s="614">
        <v>0.7</v>
      </c>
      <c r="K66" s="614">
        <v>423.57</v>
      </c>
      <c r="L66" s="614">
        <v>0.53846153846153844</v>
      </c>
      <c r="M66" s="614">
        <v>605.1</v>
      </c>
      <c r="N66" s="614">
        <v>0.7</v>
      </c>
      <c r="O66" s="614">
        <v>419.86</v>
      </c>
      <c r="P66" s="627">
        <v>0.53374521693807764</v>
      </c>
      <c r="Q66" s="615">
        <v>599.80000000000007</v>
      </c>
    </row>
    <row r="67" spans="1:17" ht="14.4" customHeight="1" x14ac:dyDescent="0.3">
      <c r="A67" s="610" t="s">
        <v>538</v>
      </c>
      <c r="B67" s="611" t="s">
        <v>1781</v>
      </c>
      <c r="C67" s="611" t="s">
        <v>1786</v>
      </c>
      <c r="D67" s="611" t="s">
        <v>1869</v>
      </c>
      <c r="E67" s="611" t="s">
        <v>1870</v>
      </c>
      <c r="F67" s="614">
        <v>3</v>
      </c>
      <c r="G67" s="614">
        <v>10607.52</v>
      </c>
      <c r="H67" s="614">
        <v>1</v>
      </c>
      <c r="I67" s="614">
        <v>3535.84</v>
      </c>
      <c r="J67" s="614"/>
      <c r="K67" s="614"/>
      <c r="L67" s="614"/>
      <c r="M67" s="614"/>
      <c r="N67" s="614"/>
      <c r="O67" s="614"/>
      <c r="P67" s="627"/>
      <c r="Q67" s="615"/>
    </row>
    <row r="68" spans="1:17" ht="14.4" customHeight="1" x14ac:dyDescent="0.3">
      <c r="A68" s="610" t="s">
        <v>538</v>
      </c>
      <c r="B68" s="611" t="s">
        <v>1781</v>
      </c>
      <c r="C68" s="611" t="s">
        <v>1786</v>
      </c>
      <c r="D68" s="611" t="s">
        <v>1806</v>
      </c>
      <c r="E68" s="611" t="s">
        <v>844</v>
      </c>
      <c r="F68" s="614"/>
      <c r="G68" s="614"/>
      <c r="H68" s="614"/>
      <c r="I68" s="614"/>
      <c r="J68" s="614">
        <v>14</v>
      </c>
      <c r="K68" s="614">
        <v>1353.66</v>
      </c>
      <c r="L68" s="614"/>
      <c r="M68" s="614">
        <v>96.690000000000012</v>
      </c>
      <c r="N68" s="614">
        <v>44</v>
      </c>
      <c r="O68" s="614">
        <v>4069.5599999999995</v>
      </c>
      <c r="P68" s="627"/>
      <c r="Q68" s="615">
        <v>92.49</v>
      </c>
    </row>
    <row r="69" spans="1:17" ht="14.4" customHeight="1" x14ac:dyDescent="0.3">
      <c r="A69" s="610" t="s">
        <v>538</v>
      </c>
      <c r="B69" s="611" t="s">
        <v>1781</v>
      </c>
      <c r="C69" s="611" t="s">
        <v>1786</v>
      </c>
      <c r="D69" s="611" t="s">
        <v>1807</v>
      </c>
      <c r="E69" s="611" t="s">
        <v>838</v>
      </c>
      <c r="F69" s="614"/>
      <c r="G69" s="614"/>
      <c r="H69" s="614"/>
      <c r="I69" s="614"/>
      <c r="J69" s="614">
        <v>1.4</v>
      </c>
      <c r="K69" s="614">
        <v>3022.08</v>
      </c>
      <c r="L69" s="614"/>
      <c r="M69" s="614">
        <v>2158.6285714285714</v>
      </c>
      <c r="N69" s="614">
        <v>8.6999999999999993</v>
      </c>
      <c r="O69" s="614">
        <v>18094.349999999999</v>
      </c>
      <c r="P69" s="627"/>
      <c r="Q69" s="615">
        <v>2079.8103448275861</v>
      </c>
    </row>
    <row r="70" spans="1:17" ht="14.4" customHeight="1" x14ac:dyDescent="0.3">
      <c r="A70" s="610" t="s">
        <v>538</v>
      </c>
      <c r="B70" s="611" t="s">
        <v>1781</v>
      </c>
      <c r="C70" s="611" t="s">
        <v>1786</v>
      </c>
      <c r="D70" s="611" t="s">
        <v>1871</v>
      </c>
      <c r="E70" s="611" t="s">
        <v>1013</v>
      </c>
      <c r="F70" s="614"/>
      <c r="G70" s="614"/>
      <c r="H70" s="614"/>
      <c r="I70" s="614"/>
      <c r="J70" s="614"/>
      <c r="K70" s="614"/>
      <c r="L70" s="614"/>
      <c r="M70" s="614"/>
      <c r="N70" s="614">
        <v>0.7</v>
      </c>
      <c r="O70" s="614">
        <v>693.14</v>
      </c>
      <c r="P70" s="627"/>
      <c r="Q70" s="615">
        <v>990.2</v>
      </c>
    </row>
    <row r="71" spans="1:17" ht="14.4" customHeight="1" x14ac:dyDescent="0.3">
      <c r="A71" s="610" t="s">
        <v>538</v>
      </c>
      <c r="B71" s="611" t="s">
        <v>1781</v>
      </c>
      <c r="C71" s="611" t="s">
        <v>1786</v>
      </c>
      <c r="D71" s="611" t="s">
        <v>1808</v>
      </c>
      <c r="E71" s="611" t="s">
        <v>1809</v>
      </c>
      <c r="F71" s="614">
        <v>2.78</v>
      </c>
      <c r="G71" s="614">
        <v>10085.9</v>
      </c>
      <c r="H71" s="614">
        <v>1</v>
      </c>
      <c r="I71" s="614">
        <v>3628.0215827338129</v>
      </c>
      <c r="J71" s="614">
        <v>0.72</v>
      </c>
      <c r="K71" s="614">
        <v>2612.16</v>
      </c>
      <c r="L71" s="614">
        <v>0.25899126503336339</v>
      </c>
      <c r="M71" s="614">
        <v>3628</v>
      </c>
      <c r="N71" s="614">
        <v>1.52</v>
      </c>
      <c r="O71" s="614">
        <v>4932.17</v>
      </c>
      <c r="P71" s="627">
        <v>0.48901634955730278</v>
      </c>
      <c r="Q71" s="615">
        <v>3244.8486842105262</v>
      </c>
    </row>
    <row r="72" spans="1:17" ht="14.4" customHeight="1" x14ac:dyDescent="0.3">
      <c r="A72" s="610" t="s">
        <v>538</v>
      </c>
      <c r="B72" s="611" t="s">
        <v>1781</v>
      </c>
      <c r="C72" s="611" t="s">
        <v>1786</v>
      </c>
      <c r="D72" s="611" t="s">
        <v>1872</v>
      </c>
      <c r="E72" s="611" t="s">
        <v>1873</v>
      </c>
      <c r="F72" s="614"/>
      <c r="G72" s="614"/>
      <c r="H72" s="614"/>
      <c r="I72" s="614"/>
      <c r="J72" s="614">
        <v>1</v>
      </c>
      <c r="K72" s="614">
        <v>3503.39</v>
      </c>
      <c r="L72" s="614"/>
      <c r="M72" s="614">
        <v>3503.39</v>
      </c>
      <c r="N72" s="614"/>
      <c r="O72" s="614"/>
      <c r="P72" s="627"/>
      <c r="Q72" s="615"/>
    </row>
    <row r="73" spans="1:17" ht="14.4" customHeight="1" x14ac:dyDescent="0.3">
      <c r="A73" s="610" t="s">
        <v>538</v>
      </c>
      <c r="B73" s="611" t="s">
        <v>1781</v>
      </c>
      <c r="C73" s="611" t="s">
        <v>1786</v>
      </c>
      <c r="D73" s="611" t="s">
        <v>1874</v>
      </c>
      <c r="E73" s="611" t="s">
        <v>1875</v>
      </c>
      <c r="F73" s="614"/>
      <c r="G73" s="614"/>
      <c r="H73" s="614"/>
      <c r="I73" s="614"/>
      <c r="J73" s="614"/>
      <c r="K73" s="614"/>
      <c r="L73" s="614"/>
      <c r="M73" s="614"/>
      <c r="N73" s="614">
        <v>14</v>
      </c>
      <c r="O73" s="614">
        <v>431.38</v>
      </c>
      <c r="P73" s="627"/>
      <c r="Q73" s="615">
        <v>30.812857142857144</v>
      </c>
    </row>
    <row r="74" spans="1:17" ht="14.4" customHeight="1" x14ac:dyDescent="0.3">
      <c r="A74" s="610" t="s">
        <v>538</v>
      </c>
      <c r="B74" s="611" t="s">
        <v>1781</v>
      </c>
      <c r="C74" s="611" t="s">
        <v>1811</v>
      </c>
      <c r="D74" s="611" t="s">
        <v>1876</v>
      </c>
      <c r="E74" s="611" t="s">
        <v>1813</v>
      </c>
      <c r="F74" s="614"/>
      <c r="G74" s="614"/>
      <c r="H74" s="614"/>
      <c r="I74" s="614"/>
      <c r="J74" s="614"/>
      <c r="K74" s="614"/>
      <c r="L74" s="614"/>
      <c r="M74" s="614"/>
      <c r="N74" s="614">
        <v>5</v>
      </c>
      <c r="O74" s="614">
        <v>13643.55</v>
      </c>
      <c r="P74" s="627"/>
      <c r="Q74" s="615">
        <v>2728.71</v>
      </c>
    </row>
    <row r="75" spans="1:17" ht="14.4" customHeight="1" x14ac:dyDescent="0.3">
      <c r="A75" s="610" t="s">
        <v>538</v>
      </c>
      <c r="B75" s="611" t="s">
        <v>1781</v>
      </c>
      <c r="C75" s="611" t="s">
        <v>1811</v>
      </c>
      <c r="D75" s="611" t="s">
        <v>1812</v>
      </c>
      <c r="E75" s="611" t="s">
        <v>1813</v>
      </c>
      <c r="F75" s="614">
        <v>98</v>
      </c>
      <c r="G75" s="614">
        <v>156413.84000000003</v>
      </c>
      <c r="H75" s="614">
        <v>1</v>
      </c>
      <c r="I75" s="614">
        <v>1596.0595918367349</v>
      </c>
      <c r="J75" s="614">
        <v>56</v>
      </c>
      <c r="K75" s="614">
        <v>90386.8</v>
      </c>
      <c r="L75" s="614">
        <v>0.57786957982746279</v>
      </c>
      <c r="M75" s="614">
        <v>1614.05</v>
      </c>
      <c r="N75" s="614">
        <v>74</v>
      </c>
      <c r="O75" s="614">
        <v>118715.55</v>
      </c>
      <c r="P75" s="627">
        <v>0.75898366794140459</v>
      </c>
      <c r="Q75" s="615">
        <v>1604.2641891891892</v>
      </c>
    </row>
    <row r="76" spans="1:17" ht="14.4" customHeight="1" x14ac:dyDescent="0.3">
      <c r="A76" s="610" t="s">
        <v>538</v>
      </c>
      <c r="B76" s="611" t="s">
        <v>1781</v>
      </c>
      <c r="C76" s="611" t="s">
        <v>1811</v>
      </c>
      <c r="D76" s="611" t="s">
        <v>1814</v>
      </c>
      <c r="E76" s="611" t="s">
        <v>1815</v>
      </c>
      <c r="F76" s="614">
        <v>12</v>
      </c>
      <c r="G76" s="614">
        <v>46865.760000000002</v>
      </c>
      <c r="H76" s="614">
        <v>1</v>
      </c>
      <c r="I76" s="614">
        <v>3905.48</v>
      </c>
      <c r="J76" s="614">
        <v>16</v>
      </c>
      <c r="K76" s="614">
        <v>62487.680000000008</v>
      </c>
      <c r="L76" s="614">
        <v>1.3333333333333335</v>
      </c>
      <c r="M76" s="614">
        <v>3905.4800000000005</v>
      </c>
      <c r="N76" s="614">
        <v>5</v>
      </c>
      <c r="O76" s="614">
        <v>19527.400000000001</v>
      </c>
      <c r="P76" s="627">
        <v>0.41666666666666669</v>
      </c>
      <c r="Q76" s="615">
        <v>3905.4800000000005</v>
      </c>
    </row>
    <row r="77" spans="1:17" ht="14.4" customHeight="1" x14ac:dyDescent="0.3">
      <c r="A77" s="610" t="s">
        <v>538</v>
      </c>
      <c r="B77" s="611" t="s">
        <v>1781</v>
      </c>
      <c r="C77" s="611" t="s">
        <v>1811</v>
      </c>
      <c r="D77" s="611" t="s">
        <v>1877</v>
      </c>
      <c r="E77" s="611" t="s">
        <v>1878</v>
      </c>
      <c r="F77" s="614">
        <v>18</v>
      </c>
      <c r="G77" s="614">
        <v>16623.600000000002</v>
      </c>
      <c r="H77" s="614">
        <v>1</v>
      </c>
      <c r="I77" s="614">
        <v>923.53333333333342</v>
      </c>
      <c r="J77" s="614">
        <v>22</v>
      </c>
      <c r="K77" s="614">
        <v>20362.54</v>
      </c>
      <c r="L77" s="614">
        <v>1.224917587044924</v>
      </c>
      <c r="M77" s="614">
        <v>925.57</v>
      </c>
      <c r="N77" s="614">
        <v>9</v>
      </c>
      <c r="O77" s="614">
        <v>8330.130000000001</v>
      </c>
      <c r="P77" s="627">
        <v>0.50110264924565073</v>
      </c>
      <c r="Q77" s="615">
        <v>925.57000000000016</v>
      </c>
    </row>
    <row r="78" spans="1:17" ht="14.4" customHeight="1" x14ac:dyDescent="0.3">
      <c r="A78" s="610" t="s">
        <v>538</v>
      </c>
      <c r="B78" s="611" t="s">
        <v>1781</v>
      </c>
      <c r="C78" s="611" t="s">
        <v>1811</v>
      </c>
      <c r="D78" s="611" t="s">
        <v>1816</v>
      </c>
      <c r="E78" s="611" t="s">
        <v>1817</v>
      </c>
      <c r="F78" s="614">
        <v>93</v>
      </c>
      <c r="G78" s="614">
        <v>22106.5</v>
      </c>
      <c r="H78" s="614">
        <v>1</v>
      </c>
      <c r="I78" s="614">
        <v>237.70430107526883</v>
      </c>
      <c r="J78" s="614">
        <v>56</v>
      </c>
      <c r="K78" s="614">
        <v>13366.080000000002</v>
      </c>
      <c r="L78" s="614">
        <v>0.60462216995001483</v>
      </c>
      <c r="M78" s="614">
        <v>238.68000000000004</v>
      </c>
      <c r="N78" s="614">
        <v>86</v>
      </c>
      <c r="O78" s="614">
        <v>20526.480000000003</v>
      </c>
      <c r="P78" s="627">
        <v>0.92852690385180847</v>
      </c>
      <c r="Q78" s="615">
        <v>238.68000000000004</v>
      </c>
    </row>
    <row r="79" spans="1:17" ht="14.4" customHeight="1" x14ac:dyDescent="0.3">
      <c r="A79" s="610" t="s">
        <v>538</v>
      </c>
      <c r="B79" s="611" t="s">
        <v>1781</v>
      </c>
      <c r="C79" s="611" t="s">
        <v>1811</v>
      </c>
      <c r="D79" s="611" t="s">
        <v>1879</v>
      </c>
      <c r="E79" s="611" t="s">
        <v>1880</v>
      </c>
      <c r="F79" s="614">
        <v>1</v>
      </c>
      <c r="G79" s="614">
        <v>9686.1</v>
      </c>
      <c r="H79" s="614">
        <v>1</v>
      </c>
      <c r="I79" s="614">
        <v>9686.1</v>
      </c>
      <c r="J79" s="614"/>
      <c r="K79" s="614"/>
      <c r="L79" s="614"/>
      <c r="M79" s="614"/>
      <c r="N79" s="614"/>
      <c r="O79" s="614"/>
      <c r="P79" s="627"/>
      <c r="Q79" s="615"/>
    </row>
    <row r="80" spans="1:17" ht="14.4" customHeight="1" x14ac:dyDescent="0.3">
      <c r="A80" s="610" t="s">
        <v>538</v>
      </c>
      <c r="B80" s="611" t="s">
        <v>1781</v>
      </c>
      <c r="C80" s="611" t="s">
        <v>1881</v>
      </c>
      <c r="D80" s="611" t="s">
        <v>1882</v>
      </c>
      <c r="E80" s="611" t="s">
        <v>1883</v>
      </c>
      <c r="F80" s="614"/>
      <c r="G80" s="614"/>
      <c r="H80" s="614"/>
      <c r="I80" s="614"/>
      <c r="J80" s="614">
        <v>1</v>
      </c>
      <c r="K80" s="614">
        <v>5440.91</v>
      </c>
      <c r="L80" s="614"/>
      <c r="M80" s="614">
        <v>5440.91</v>
      </c>
      <c r="N80" s="614"/>
      <c r="O80" s="614"/>
      <c r="P80" s="627"/>
      <c r="Q80" s="615"/>
    </row>
    <row r="81" spans="1:17" ht="14.4" customHeight="1" x14ac:dyDescent="0.3">
      <c r="A81" s="610" t="s">
        <v>538</v>
      </c>
      <c r="B81" s="611" t="s">
        <v>1781</v>
      </c>
      <c r="C81" s="611" t="s">
        <v>1881</v>
      </c>
      <c r="D81" s="611" t="s">
        <v>1884</v>
      </c>
      <c r="E81" s="611" t="s">
        <v>1885</v>
      </c>
      <c r="F81" s="614"/>
      <c r="G81" s="614"/>
      <c r="H81" s="614"/>
      <c r="I81" s="614"/>
      <c r="J81" s="614">
        <v>1</v>
      </c>
      <c r="K81" s="614">
        <v>61920</v>
      </c>
      <c r="L81" s="614"/>
      <c r="M81" s="614">
        <v>61920</v>
      </c>
      <c r="N81" s="614"/>
      <c r="O81" s="614"/>
      <c r="P81" s="627"/>
      <c r="Q81" s="615"/>
    </row>
    <row r="82" spans="1:17" ht="14.4" customHeight="1" x14ac:dyDescent="0.3">
      <c r="A82" s="610" t="s">
        <v>538</v>
      </c>
      <c r="B82" s="611" t="s">
        <v>1781</v>
      </c>
      <c r="C82" s="611" t="s">
        <v>1881</v>
      </c>
      <c r="D82" s="611" t="s">
        <v>1886</v>
      </c>
      <c r="E82" s="611" t="s">
        <v>1887</v>
      </c>
      <c r="F82" s="614"/>
      <c r="G82" s="614"/>
      <c r="H82" s="614"/>
      <c r="I82" s="614"/>
      <c r="J82" s="614">
        <v>1</v>
      </c>
      <c r="K82" s="614">
        <v>8073</v>
      </c>
      <c r="L82" s="614"/>
      <c r="M82" s="614">
        <v>8073</v>
      </c>
      <c r="N82" s="614"/>
      <c r="O82" s="614"/>
      <c r="P82" s="627"/>
      <c r="Q82" s="615"/>
    </row>
    <row r="83" spans="1:17" ht="14.4" customHeight="1" x14ac:dyDescent="0.3">
      <c r="A83" s="610" t="s">
        <v>538</v>
      </c>
      <c r="B83" s="611" t="s">
        <v>1781</v>
      </c>
      <c r="C83" s="611" t="s">
        <v>1881</v>
      </c>
      <c r="D83" s="611" t="s">
        <v>1888</v>
      </c>
      <c r="E83" s="611" t="s">
        <v>1889</v>
      </c>
      <c r="F83" s="614"/>
      <c r="G83" s="614"/>
      <c r="H83" s="614"/>
      <c r="I83" s="614"/>
      <c r="J83" s="614">
        <v>1</v>
      </c>
      <c r="K83" s="614">
        <v>5610</v>
      </c>
      <c r="L83" s="614"/>
      <c r="M83" s="614">
        <v>5610</v>
      </c>
      <c r="N83" s="614"/>
      <c r="O83" s="614"/>
      <c r="P83" s="627"/>
      <c r="Q83" s="615"/>
    </row>
    <row r="84" spans="1:17" ht="14.4" customHeight="1" x14ac:dyDescent="0.3">
      <c r="A84" s="610" t="s">
        <v>538</v>
      </c>
      <c r="B84" s="611" t="s">
        <v>1781</v>
      </c>
      <c r="C84" s="611" t="s">
        <v>1782</v>
      </c>
      <c r="D84" s="611" t="s">
        <v>1890</v>
      </c>
      <c r="E84" s="611" t="s">
        <v>1891</v>
      </c>
      <c r="F84" s="614">
        <v>241</v>
      </c>
      <c r="G84" s="614">
        <v>6980499</v>
      </c>
      <c r="H84" s="614">
        <v>1</v>
      </c>
      <c r="I84" s="614">
        <v>28964.726141078838</v>
      </c>
      <c r="J84" s="614">
        <v>155</v>
      </c>
      <c r="K84" s="614">
        <v>4489575</v>
      </c>
      <c r="L84" s="614">
        <v>0.64315960793060778</v>
      </c>
      <c r="M84" s="614">
        <v>28965</v>
      </c>
      <c r="N84" s="614">
        <v>240</v>
      </c>
      <c r="O84" s="614">
        <v>6951600</v>
      </c>
      <c r="P84" s="627">
        <v>0.99586003808610246</v>
      </c>
      <c r="Q84" s="615">
        <v>28965</v>
      </c>
    </row>
    <row r="85" spans="1:17" ht="14.4" customHeight="1" x14ac:dyDescent="0.3">
      <c r="A85" s="610" t="s">
        <v>538</v>
      </c>
      <c r="B85" s="611" t="s">
        <v>1781</v>
      </c>
      <c r="C85" s="611" t="s">
        <v>1782</v>
      </c>
      <c r="D85" s="611" t="s">
        <v>1892</v>
      </c>
      <c r="E85" s="611" t="s">
        <v>1893</v>
      </c>
      <c r="F85" s="614">
        <v>476</v>
      </c>
      <c r="G85" s="614">
        <v>6507702</v>
      </c>
      <c r="H85" s="614">
        <v>1</v>
      </c>
      <c r="I85" s="614">
        <v>13671.642857142857</v>
      </c>
      <c r="J85" s="614">
        <v>390</v>
      </c>
      <c r="K85" s="614">
        <v>5304736</v>
      </c>
      <c r="L85" s="614">
        <v>0.81514734387038623</v>
      </c>
      <c r="M85" s="614">
        <v>13601.887179487179</v>
      </c>
      <c r="N85" s="614">
        <v>313</v>
      </c>
      <c r="O85" s="614">
        <v>4279336</v>
      </c>
      <c r="P85" s="627">
        <v>0.65758020265832706</v>
      </c>
      <c r="Q85" s="615">
        <v>13672</v>
      </c>
    </row>
    <row r="86" spans="1:17" ht="14.4" customHeight="1" x14ac:dyDescent="0.3">
      <c r="A86" s="610" t="s">
        <v>538</v>
      </c>
      <c r="B86" s="611" t="s">
        <v>1781</v>
      </c>
      <c r="C86" s="611" t="s">
        <v>1782</v>
      </c>
      <c r="D86" s="611" t="s">
        <v>1824</v>
      </c>
      <c r="E86" s="611" t="s">
        <v>1825</v>
      </c>
      <c r="F86" s="614">
        <v>0</v>
      </c>
      <c r="G86" s="614">
        <v>0</v>
      </c>
      <c r="H86" s="614"/>
      <c r="I86" s="614"/>
      <c r="J86" s="614">
        <v>0</v>
      </c>
      <c r="K86" s="614">
        <v>0</v>
      </c>
      <c r="L86" s="614"/>
      <c r="M86" s="614"/>
      <c r="N86" s="614">
        <v>0</v>
      </c>
      <c r="O86" s="614">
        <v>0</v>
      </c>
      <c r="P86" s="627"/>
      <c r="Q86" s="615"/>
    </row>
    <row r="87" spans="1:17" ht="14.4" customHeight="1" x14ac:dyDescent="0.3">
      <c r="A87" s="610" t="s">
        <v>538</v>
      </c>
      <c r="B87" s="611" t="s">
        <v>1781</v>
      </c>
      <c r="C87" s="611" t="s">
        <v>1782</v>
      </c>
      <c r="D87" s="611" t="s">
        <v>1826</v>
      </c>
      <c r="E87" s="611" t="s">
        <v>1827</v>
      </c>
      <c r="F87" s="614">
        <v>1623</v>
      </c>
      <c r="G87" s="614">
        <v>0</v>
      </c>
      <c r="H87" s="614"/>
      <c r="I87" s="614">
        <v>0</v>
      </c>
      <c r="J87" s="614">
        <v>1121</v>
      </c>
      <c r="K87" s="614">
        <v>0</v>
      </c>
      <c r="L87" s="614"/>
      <c r="M87" s="614">
        <v>0</v>
      </c>
      <c r="N87" s="614">
        <v>1015</v>
      </c>
      <c r="O87" s="614">
        <v>0</v>
      </c>
      <c r="P87" s="627"/>
      <c r="Q87" s="615">
        <v>0</v>
      </c>
    </row>
    <row r="88" spans="1:17" ht="14.4" customHeight="1" x14ac:dyDescent="0.3">
      <c r="A88" s="610" t="s">
        <v>538</v>
      </c>
      <c r="B88" s="611" t="s">
        <v>1781</v>
      </c>
      <c r="C88" s="611" t="s">
        <v>1782</v>
      </c>
      <c r="D88" s="611" t="s">
        <v>1894</v>
      </c>
      <c r="E88" s="611" t="s">
        <v>1895</v>
      </c>
      <c r="F88" s="614">
        <v>7</v>
      </c>
      <c r="G88" s="614">
        <v>0</v>
      </c>
      <c r="H88" s="614"/>
      <c r="I88" s="614">
        <v>0</v>
      </c>
      <c r="J88" s="614"/>
      <c r="K88" s="614"/>
      <c r="L88" s="614"/>
      <c r="M88" s="614"/>
      <c r="N88" s="614"/>
      <c r="O88" s="614"/>
      <c r="P88" s="627"/>
      <c r="Q88" s="615"/>
    </row>
    <row r="89" spans="1:17" ht="14.4" customHeight="1" x14ac:dyDescent="0.3">
      <c r="A89" s="610" t="s">
        <v>538</v>
      </c>
      <c r="B89" s="611" t="s">
        <v>1781</v>
      </c>
      <c r="C89" s="611" t="s">
        <v>1782</v>
      </c>
      <c r="D89" s="611" t="s">
        <v>1896</v>
      </c>
      <c r="E89" s="611" t="s">
        <v>1897</v>
      </c>
      <c r="F89" s="614">
        <v>11</v>
      </c>
      <c r="G89" s="614">
        <v>0</v>
      </c>
      <c r="H89" s="614"/>
      <c r="I89" s="614">
        <v>0</v>
      </c>
      <c r="J89" s="614">
        <v>3</v>
      </c>
      <c r="K89" s="614">
        <v>0</v>
      </c>
      <c r="L89" s="614"/>
      <c r="M89" s="614">
        <v>0</v>
      </c>
      <c r="N89" s="614"/>
      <c r="O89" s="614"/>
      <c r="P89" s="627"/>
      <c r="Q89" s="615"/>
    </row>
    <row r="90" spans="1:17" ht="14.4" customHeight="1" x14ac:dyDescent="0.3">
      <c r="A90" s="610" t="s">
        <v>538</v>
      </c>
      <c r="B90" s="611" t="s">
        <v>1781</v>
      </c>
      <c r="C90" s="611" t="s">
        <v>1782</v>
      </c>
      <c r="D90" s="611" t="s">
        <v>1898</v>
      </c>
      <c r="E90" s="611" t="s">
        <v>1899</v>
      </c>
      <c r="F90" s="614">
        <v>26</v>
      </c>
      <c r="G90" s="614">
        <v>0</v>
      </c>
      <c r="H90" s="614"/>
      <c r="I90" s="614">
        <v>0</v>
      </c>
      <c r="J90" s="614">
        <v>11</v>
      </c>
      <c r="K90" s="614">
        <v>0</v>
      </c>
      <c r="L90" s="614"/>
      <c r="M90" s="614">
        <v>0</v>
      </c>
      <c r="N90" s="614"/>
      <c r="O90" s="614"/>
      <c r="P90" s="627"/>
      <c r="Q90" s="615"/>
    </row>
    <row r="91" spans="1:17" ht="14.4" customHeight="1" x14ac:dyDescent="0.3">
      <c r="A91" s="610" t="s">
        <v>538</v>
      </c>
      <c r="B91" s="611" t="s">
        <v>1781</v>
      </c>
      <c r="C91" s="611" t="s">
        <v>1782</v>
      </c>
      <c r="D91" s="611" t="s">
        <v>1828</v>
      </c>
      <c r="E91" s="611" t="s">
        <v>1829</v>
      </c>
      <c r="F91" s="614">
        <v>22</v>
      </c>
      <c r="G91" s="614">
        <v>0</v>
      </c>
      <c r="H91" s="614"/>
      <c r="I91" s="614">
        <v>0</v>
      </c>
      <c r="J91" s="614">
        <v>32</v>
      </c>
      <c r="K91" s="614">
        <v>0</v>
      </c>
      <c r="L91" s="614"/>
      <c r="M91" s="614">
        <v>0</v>
      </c>
      <c r="N91" s="614">
        <v>29</v>
      </c>
      <c r="O91" s="614">
        <v>0</v>
      </c>
      <c r="P91" s="627"/>
      <c r="Q91" s="615">
        <v>0</v>
      </c>
    </row>
    <row r="92" spans="1:17" ht="14.4" customHeight="1" x14ac:dyDescent="0.3">
      <c r="A92" s="610" t="s">
        <v>538</v>
      </c>
      <c r="B92" s="611" t="s">
        <v>1781</v>
      </c>
      <c r="C92" s="611" t="s">
        <v>1782</v>
      </c>
      <c r="D92" s="611" t="s">
        <v>1830</v>
      </c>
      <c r="E92" s="611" t="s">
        <v>1831</v>
      </c>
      <c r="F92" s="614">
        <v>7</v>
      </c>
      <c r="G92" s="614">
        <v>0</v>
      </c>
      <c r="H92" s="614"/>
      <c r="I92" s="614">
        <v>0</v>
      </c>
      <c r="J92" s="614">
        <v>5</v>
      </c>
      <c r="K92" s="614">
        <v>0</v>
      </c>
      <c r="L92" s="614"/>
      <c r="M92" s="614">
        <v>0</v>
      </c>
      <c r="N92" s="614">
        <v>8</v>
      </c>
      <c r="O92" s="614">
        <v>0</v>
      </c>
      <c r="P92" s="627"/>
      <c r="Q92" s="615">
        <v>0</v>
      </c>
    </row>
    <row r="93" spans="1:17" ht="14.4" customHeight="1" x14ac:dyDescent="0.3">
      <c r="A93" s="610" t="s">
        <v>538</v>
      </c>
      <c r="B93" s="611" t="s">
        <v>1781</v>
      </c>
      <c r="C93" s="611" t="s">
        <v>1782</v>
      </c>
      <c r="D93" s="611" t="s">
        <v>1832</v>
      </c>
      <c r="E93" s="611" t="s">
        <v>1833</v>
      </c>
      <c r="F93" s="614">
        <v>36</v>
      </c>
      <c r="G93" s="614">
        <v>0</v>
      </c>
      <c r="H93" s="614"/>
      <c r="I93" s="614">
        <v>0</v>
      </c>
      <c r="J93" s="614">
        <v>37</v>
      </c>
      <c r="K93" s="614">
        <v>0</v>
      </c>
      <c r="L93" s="614"/>
      <c r="M93" s="614">
        <v>0</v>
      </c>
      <c r="N93" s="614">
        <v>41</v>
      </c>
      <c r="O93" s="614">
        <v>0</v>
      </c>
      <c r="P93" s="627"/>
      <c r="Q93" s="615">
        <v>0</v>
      </c>
    </row>
    <row r="94" spans="1:17" ht="14.4" customHeight="1" x14ac:dyDescent="0.3">
      <c r="A94" s="610" t="s">
        <v>538</v>
      </c>
      <c r="B94" s="611" t="s">
        <v>1781</v>
      </c>
      <c r="C94" s="611" t="s">
        <v>1782</v>
      </c>
      <c r="D94" s="611" t="s">
        <v>1900</v>
      </c>
      <c r="E94" s="611" t="s">
        <v>1901</v>
      </c>
      <c r="F94" s="614">
        <v>5</v>
      </c>
      <c r="G94" s="614">
        <v>0</v>
      </c>
      <c r="H94" s="614"/>
      <c r="I94" s="614">
        <v>0</v>
      </c>
      <c r="J94" s="614"/>
      <c r="K94" s="614"/>
      <c r="L94" s="614"/>
      <c r="M94" s="614"/>
      <c r="N94" s="614"/>
      <c r="O94" s="614"/>
      <c r="P94" s="627"/>
      <c r="Q94" s="615"/>
    </row>
    <row r="95" spans="1:17" ht="14.4" customHeight="1" x14ac:dyDescent="0.3">
      <c r="A95" s="610" t="s">
        <v>538</v>
      </c>
      <c r="B95" s="611" t="s">
        <v>1781</v>
      </c>
      <c r="C95" s="611" t="s">
        <v>1782</v>
      </c>
      <c r="D95" s="611" t="s">
        <v>1902</v>
      </c>
      <c r="E95" s="611" t="s">
        <v>1899</v>
      </c>
      <c r="F95" s="614"/>
      <c r="G95" s="614"/>
      <c r="H95" s="614"/>
      <c r="I95" s="614"/>
      <c r="J95" s="614">
        <v>2</v>
      </c>
      <c r="K95" s="614">
        <v>0</v>
      </c>
      <c r="L95" s="614"/>
      <c r="M95" s="614">
        <v>0</v>
      </c>
      <c r="N95" s="614"/>
      <c r="O95" s="614"/>
      <c r="P95" s="627"/>
      <c r="Q95" s="615"/>
    </row>
    <row r="96" spans="1:17" ht="14.4" customHeight="1" x14ac:dyDescent="0.3">
      <c r="A96" s="610" t="s">
        <v>538</v>
      </c>
      <c r="B96" s="611" t="s">
        <v>1781</v>
      </c>
      <c r="C96" s="611" t="s">
        <v>1782</v>
      </c>
      <c r="D96" s="611" t="s">
        <v>1903</v>
      </c>
      <c r="E96" s="611" t="s">
        <v>1899</v>
      </c>
      <c r="F96" s="614">
        <v>1</v>
      </c>
      <c r="G96" s="614">
        <v>0</v>
      </c>
      <c r="H96" s="614"/>
      <c r="I96" s="614">
        <v>0</v>
      </c>
      <c r="J96" s="614">
        <v>2</v>
      </c>
      <c r="K96" s="614">
        <v>0</v>
      </c>
      <c r="L96" s="614"/>
      <c r="M96" s="614">
        <v>0</v>
      </c>
      <c r="N96" s="614"/>
      <c r="O96" s="614"/>
      <c r="P96" s="627"/>
      <c r="Q96" s="615"/>
    </row>
    <row r="97" spans="1:17" ht="14.4" customHeight="1" x14ac:dyDescent="0.3">
      <c r="A97" s="610" t="s">
        <v>538</v>
      </c>
      <c r="B97" s="611" t="s">
        <v>1781</v>
      </c>
      <c r="C97" s="611" t="s">
        <v>1782</v>
      </c>
      <c r="D97" s="611" t="s">
        <v>1783</v>
      </c>
      <c r="E97" s="611" t="s">
        <v>1784</v>
      </c>
      <c r="F97" s="614">
        <v>359</v>
      </c>
      <c r="G97" s="614">
        <v>0</v>
      </c>
      <c r="H97" s="614"/>
      <c r="I97" s="614">
        <v>0</v>
      </c>
      <c r="J97" s="614"/>
      <c r="K97" s="614"/>
      <c r="L97" s="614"/>
      <c r="M97" s="614"/>
      <c r="N97" s="614"/>
      <c r="O97" s="614"/>
      <c r="P97" s="627"/>
      <c r="Q97" s="615"/>
    </row>
    <row r="98" spans="1:17" ht="14.4" customHeight="1" x14ac:dyDescent="0.3">
      <c r="A98" s="610" t="s">
        <v>538</v>
      </c>
      <c r="B98" s="611" t="s">
        <v>1781</v>
      </c>
      <c r="C98" s="611" t="s">
        <v>1782</v>
      </c>
      <c r="D98" s="611" t="s">
        <v>1834</v>
      </c>
      <c r="E98" s="611" t="s">
        <v>1835</v>
      </c>
      <c r="F98" s="614">
        <v>41</v>
      </c>
      <c r="G98" s="614">
        <v>13408</v>
      </c>
      <c r="H98" s="614">
        <v>1</v>
      </c>
      <c r="I98" s="614">
        <v>327.02439024390242</v>
      </c>
      <c r="J98" s="614">
        <v>42</v>
      </c>
      <c r="K98" s="614">
        <v>12489</v>
      </c>
      <c r="L98" s="614">
        <v>0.93145883054892598</v>
      </c>
      <c r="M98" s="614">
        <v>297.35714285714283</v>
      </c>
      <c r="N98" s="614">
        <v>50</v>
      </c>
      <c r="O98" s="614">
        <v>16549</v>
      </c>
      <c r="P98" s="627">
        <v>1.2342631264916468</v>
      </c>
      <c r="Q98" s="615">
        <v>330.98</v>
      </c>
    </row>
    <row r="99" spans="1:17" ht="14.4" customHeight="1" x14ac:dyDescent="0.3">
      <c r="A99" s="610" t="s">
        <v>538</v>
      </c>
      <c r="B99" s="611" t="s">
        <v>1781</v>
      </c>
      <c r="C99" s="611" t="s">
        <v>1782</v>
      </c>
      <c r="D99" s="611" t="s">
        <v>1904</v>
      </c>
      <c r="E99" s="611" t="s">
        <v>1899</v>
      </c>
      <c r="F99" s="614">
        <v>14</v>
      </c>
      <c r="G99" s="614">
        <v>0</v>
      </c>
      <c r="H99" s="614"/>
      <c r="I99" s="614">
        <v>0</v>
      </c>
      <c r="J99" s="614">
        <v>10</v>
      </c>
      <c r="K99" s="614">
        <v>0</v>
      </c>
      <c r="L99" s="614"/>
      <c r="M99" s="614">
        <v>0</v>
      </c>
      <c r="N99" s="614"/>
      <c r="O99" s="614"/>
      <c r="P99" s="627"/>
      <c r="Q99" s="615"/>
    </row>
    <row r="100" spans="1:17" ht="14.4" customHeight="1" x14ac:dyDescent="0.3">
      <c r="A100" s="610" t="s">
        <v>538</v>
      </c>
      <c r="B100" s="611" t="s">
        <v>1781</v>
      </c>
      <c r="C100" s="611" t="s">
        <v>1782</v>
      </c>
      <c r="D100" s="611" t="s">
        <v>1836</v>
      </c>
      <c r="E100" s="611" t="s">
        <v>1837</v>
      </c>
      <c r="F100" s="614">
        <v>130</v>
      </c>
      <c r="G100" s="614">
        <v>83842</v>
      </c>
      <c r="H100" s="614">
        <v>1</v>
      </c>
      <c r="I100" s="614">
        <v>644.93846153846152</v>
      </c>
      <c r="J100" s="614">
        <v>127</v>
      </c>
      <c r="K100" s="614">
        <v>79809</v>
      </c>
      <c r="L100" s="614">
        <v>0.9518976169461606</v>
      </c>
      <c r="M100" s="614">
        <v>628.41732283464569</v>
      </c>
      <c r="N100" s="614">
        <v>147</v>
      </c>
      <c r="O100" s="614">
        <v>95977</v>
      </c>
      <c r="P100" s="627">
        <v>1.1447365282316739</v>
      </c>
      <c r="Q100" s="615">
        <v>652.90476190476193</v>
      </c>
    </row>
    <row r="101" spans="1:17" ht="14.4" customHeight="1" x14ac:dyDescent="0.3">
      <c r="A101" s="610" t="s">
        <v>538</v>
      </c>
      <c r="B101" s="611" t="s">
        <v>1781</v>
      </c>
      <c r="C101" s="611" t="s">
        <v>1782</v>
      </c>
      <c r="D101" s="611" t="s">
        <v>1905</v>
      </c>
      <c r="E101" s="611" t="s">
        <v>1899</v>
      </c>
      <c r="F101" s="614">
        <v>4</v>
      </c>
      <c r="G101" s="614">
        <v>0</v>
      </c>
      <c r="H101" s="614"/>
      <c r="I101" s="614">
        <v>0</v>
      </c>
      <c r="J101" s="614">
        <v>6</v>
      </c>
      <c r="K101" s="614">
        <v>0</v>
      </c>
      <c r="L101" s="614"/>
      <c r="M101" s="614">
        <v>0</v>
      </c>
      <c r="N101" s="614"/>
      <c r="O101" s="614"/>
      <c r="P101" s="627"/>
      <c r="Q101" s="615"/>
    </row>
    <row r="102" spans="1:17" ht="14.4" customHeight="1" x14ac:dyDescent="0.3">
      <c r="A102" s="610" t="s">
        <v>538</v>
      </c>
      <c r="B102" s="611" t="s">
        <v>1781</v>
      </c>
      <c r="C102" s="611" t="s">
        <v>1782</v>
      </c>
      <c r="D102" s="611" t="s">
        <v>1906</v>
      </c>
      <c r="E102" s="611" t="s">
        <v>1907</v>
      </c>
      <c r="F102" s="614">
        <v>1376</v>
      </c>
      <c r="G102" s="614">
        <v>8685068</v>
      </c>
      <c r="H102" s="614">
        <v>1</v>
      </c>
      <c r="I102" s="614">
        <v>6311.8226744186049</v>
      </c>
      <c r="J102" s="614">
        <v>1448</v>
      </c>
      <c r="K102" s="614">
        <v>8925168</v>
      </c>
      <c r="L102" s="614">
        <v>1.0276451491226091</v>
      </c>
      <c r="M102" s="614">
        <v>6163.790055248619</v>
      </c>
      <c r="N102" s="614">
        <v>1468</v>
      </c>
      <c r="O102" s="614">
        <v>9266016</v>
      </c>
      <c r="P102" s="627">
        <v>1.0668904377029633</v>
      </c>
      <c r="Q102" s="615">
        <v>6312</v>
      </c>
    </row>
    <row r="103" spans="1:17" ht="14.4" customHeight="1" x14ac:dyDescent="0.3">
      <c r="A103" s="610" t="s">
        <v>538</v>
      </c>
      <c r="B103" s="611" t="s">
        <v>1781</v>
      </c>
      <c r="C103" s="611" t="s">
        <v>1782</v>
      </c>
      <c r="D103" s="611" t="s">
        <v>1840</v>
      </c>
      <c r="E103" s="611" t="s">
        <v>1841</v>
      </c>
      <c r="F103" s="614">
        <v>36</v>
      </c>
      <c r="G103" s="614">
        <v>0</v>
      </c>
      <c r="H103" s="614"/>
      <c r="I103" s="614">
        <v>0</v>
      </c>
      <c r="J103" s="614">
        <v>21</v>
      </c>
      <c r="K103" s="614">
        <v>0</v>
      </c>
      <c r="L103" s="614"/>
      <c r="M103" s="614">
        <v>0</v>
      </c>
      <c r="N103" s="614">
        <v>43</v>
      </c>
      <c r="O103" s="614">
        <v>0</v>
      </c>
      <c r="P103" s="627"/>
      <c r="Q103" s="615">
        <v>0</v>
      </c>
    </row>
    <row r="104" spans="1:17" ht="14.4" customHeight="1" x14ac:dyDescent="0.3">
      <c r="A104" s="610" t="s">
        <v>538</v>
      </c>
      <c r="B104" s="611" t="s">
        <v>1781</v>
      </c>
      <c r="C104" s="611" t="s">
        <v>1782</v>
      </c>
      <c r="D104" s="611" t="s">
        <v>1908</v>
      </c>
      <c r="E104" s="611" t="s">
        <v>1909</v>
      </c>
      <c r="F104" s="614">
        <v>658</v>
      </c>
      <c r="G104" s="614">
        <v>16275368</v>
      </c>
      <c r="H104" s="614">
        <v>1</v>
      </c>
      <c r="I104" s="614">
        <v>24734.601823708206</v>
      </c>
      <c r="J104" s="614">
        <v>676</v>
      </c>
      <c r="K104" s="614">
        <v>16572450</v>
      </c>
      <c r="L104" s="614">
        <v>1.0182534735927322</v>
      </c>
      <c r="M104" s="614">
        <v>24515.458579881655</v>
      </c>
      <c r="N104" s="614">
        <v>682</v>
      </c>
      <c r="O104" s="614">
        <v>16869270</v>
      </c>
      <c r="P104" s="627">
        <v>1.0364908492391693</v>
      </c>
      <c r="Q104" s="615">
        <v>24735</v>
      </c>
    </row>
    <row r="105" spans="1:17" ht="14.4" customHeight="1" x14ac:dyDescent="0.3">
      <c r="A105" s="610" t="s">
        <v>538</v>
      </c>
      <c r="B105" s="611" t="s">
        <v>1781</v>
      </c>
      <c r="C105" s="611" t="s">
        <v>1782</v>
      </c>
      <c r="D105" s="611" t="s">
        <v>1846</v>
      </c>
      <c r="E105" s="611" t="s">
        <v>1847</v>
      </c>
      <c r="F105" s="614">
        <v>25</v>
      </c>
      <c r="G105" s="614">
        <v>0</v>
      </c>
      <c r="H105" s="614"/>
      <c r="I105" s="614">
        <v>0</v>
      </c>
      <c r="J105" s="614">
        <v>25</v>
      </c>
      <c r="K105" s="614">
        <v>0</v>
      </c>
      <c r="L105" s="614"/>
      <c r="M105" s="614">
        <v>0</v>
      </c>
      <c r="N105" s="614">
        <v>27</v>
      </c>
      <c r="O105" s="614">
        <v>0</v>
      </c>
      <c r="P105" s="627"/>
      <c r="Q105" s="615">
        <v>0</v>
      </c>
    </row>
    <row r="106" spans="1:17" ht="14.4" customHeight="1" x14ac:dyDescent="0.3">
      <c r="A106" s="610" t="s">
        <v>538</v>
      </c>
      <c r="B106" s="611" t="s">
        <v>1781</v>
      </c>
      <c r="C106" s="611" t="s">
        <v>1782</v>
      </c>
      <c r="D106" s="611" t="s">
        <v>1910</v>
      </c>
      <c r="E106" s="611" t="s">
        <v>1911</v>
      </c>
      <c r="F106" s="614"/>
      <c r="G106" s="614"/>
      <c r="H106" s="614"/>
      <c r="I106" s="614"/>
      <c r="J106" s="614">
        <v>2</v>
      </c>
      <c r="K106" s="614">
        <v>1048</v>
      </c>
      <c r="L106" s="614"/>
      <c r="M106" s="614">
        <v>524</v>
      </c>
      <c r="N106" s="614"/>
      <c r="O106" s="614"/>
      <c r="P106" s="627"/>
      <c r="Q106" s="615"/>
    </row>
    <row r="107" spans="1:17" ht="14.4" customHeight="1" x14ac:dyDescent="0.3">
      <c r="A107" s="610" t="s">
        <v>538</v>
      </c>
      <c r="B107" s="611" t="s">
        <v>1781</v>
      </c>
      <c r="C107" s="611" t="s">
        <v>1782</v>
      </c>
      <c r="D107" s="611" t="s">
        <v>1912</v>
      </c>
      <c r="E107" s="611" t="s">
        <v>1899</v>
      </c>
      <c r="F107" s="614">
        <v>5</v>
      </c>
      <c r="G107" s="614">
        <v>0</v>
      </c>
      <c r="H107" s="614"/>
      <c r="I107" s="614">
        <v>0</v>
      </c>
      <c r="J107" s="614">
        <v>4</v>
      </c>
      <c r="K107" s="614">
        <v>0</v>
      </c>
      <c r="L107" s="614"/>
      <c r="M107" s="614">
        <v>0</v>
      </c>
      <c r="N107" s="614"/>
      <c r="O107" s="614"/>
      <c r="P107" s="627"/>
      <c r="Q107" s="615"/>
    </row>
    <row r="108" spans="1:17" ht="14.4" customHeight="1" x14ac:dyDescent="0.3">
      <c r="A108" s="610" t="s">
        <v>538</v>
      </c>
      <c r="B108" s="611" t="s">
        <v>1781</v>
      </c>
      <c r="C108" s="611" t="s">
        <v>1782</v>
      </c>
      <c r="D108" s="611" t="s">
        <v>1848</v>
      </c>
      <c r="E108" s="611" t="s">
        <v>1849</v>
      </c>
      <c r="F108" s="614">
        <v>15</v>
      </c>
      <c r="G108" s="614">
        <v>0</v>
      </c>
      <c r="H108" s="614"/>
      <c r="I108" s="614">
        <v>0</v>
      </c>
      <c r="J108" s="614">
        <v>16</v>
      </c>
      <c r="K108" s="614">
        <v>0</v>
      </c>
      <c r="L108" s="614"/>
      <c r="M108" s="614">
        <v>0</v>
      </c>
      <c r="N108" s="614">
        <v>13</v>
      </c>
      <c r="O108" s="614">
        <v>0</v>
      </c>
      <c r="P108" s="627"/>
      <c r="Q108" s="615">
        <v>0</v>
      </c>
    </row>
    <row r="109" spans="1:17" ht="14.4" customHeight="1" x14ac:dyDescent="0.3">
      <c r="A109" s="610" t="s">
        <v>538</v>
      </c>
      <c r="B109" s="611" t="s">
        <v>1781</v>
      </c>
      <c r="C109" s="611" t="s">
        <v>1782</v>
      </c>
      <c r="D109" s="611" t="s">
        <v>1913</v>
      </c>
      <c r="E109" s="611" t="s">
        <v>1914</v>
      </c>
      <c r="F109" s="614">
        <v>2</v>
      </c>
      <c r="G109" s="614">
        <v>206</v>
      </c>
      <c r="H109" s="614">
        <v>1</v>
      </c>
      <c r="I109" s="614">
        <v>103</v>
      </c>
      <c r="J109" s="614"/>
      <c r="K109" s="614"/>
      <c r="L109" s="614"/>
      <c r="M109" s="614"/>
      <c r="N109" s="614"/>
      <c r="O109" s="614"/>
      <c r="P109" s="627"/>
      <c r="Q109" s="615"/>
    </row>
    <row r="110" spans="1:17" ht="14.4" customHeight="1" x14ac:dyDescent="0.3">
      <c r="A110" s="610" t="s">
        <v>538</v>
      </c>
      <c r="B110" s="611" t="s">
        <v>1781</v>
      </c>
      <c r="C110" s="611" t="s">
        <v>1782</v>
      </c>
      <c r="D110" s="611" t="s">
        <v>1915</v>
      </c>
      <c r="E110" s="611" t="s">
        <v>1916</v>
      </c>
      <c r="F110" s="614"/>
      <c r="G110" s="614"/>
      <c r="H110" s="614"/>
      <c r="I110" s="614"/>
      <c r="J110" s="614">
        <v>2</v>
      </c>
      <c r="K110" s="614">
        <v>0</v>
      </c>
      <c r="L110" s="614"/>
      <c r="M110" s="614">
        <v>0</v>
      </c>
      <c r="N110" s="614">
        <v>912</v>
      </c>
      <c r="O110" s="614">
        <v>0</v>
      </c>
      <c r="P110" s="627"/>
      <c r="Q110" s="615">
        <v>0</v>
      </c>
    </row>
    <row r="111" spans="1:17" ht="14.4" customHeight="1" x14ac:dyDescent="0.3">
      <c r="A111" s="610" t="s">
        <v>538</v>
      </c>
      <c r="B111" s="611" t="s">
        <v>1917</v>
      </c>
      <c r="C111" s="611" t="s">
        <v>1782</v>
      </c>
      <c r="D111" s="611" t="s">
        <v>1918</v>
      </c>
      <c r="E111" s="611" t="s">
        <v>1919</v>
      </c>
      <c r="F111" s="614">
        <v>1</v>
      </c>
      <c r="G111" s="614">
        <v>3459</v>
      </c>
      <c r="H111" s="614">
        <v>1</v>
      </c>
      <c r="I111" s="614">
        <v>3459</v>
      </c>
      <c r="J111" s="614"/>
      <c r="K111" s="614"/>
      <c r="L111" s="614"/>
      <c r="M111" s="614"/>
      <c r="N111" s="614"/>
      <c r="O111" s="614"/>
      <c r="P111" s="627"/>
      <c r="Q111" s="615"/>
    </row>
    <row r="112" spans="1:17" ht="14.4" customHeight="1" x14ac:dyDescent="0.3">
      <c r="A112" s="610" t="s">
        <v>538</v>
      </c>
      <c r="B112" s="611" t="s">
        <v>1917</v>
      </c>
      <c r="C112" s="611" t="s">
        <v>1782</v>
      </c>
      <c r="D112" s="611" t="s">
        <v>858</v>
      </c>
      <c r="E112" s="611" t="s">
        <v>1920</v>
      </c>
      <c r="F112" s="614">
        <v>1</v>
      </c>
      <c r="G112" s="614">
        <v>1892</v>
      </c>
      <c r="H112" s="614">
        <v>1</v>
      </c>
      <c r="I112" s="614">
        <v>1892</v>
      </c>
      <c r="J112" s="614"/>
      <c r="K112" s="614"/>
      <c r="L112" s="614"/>
      <c r="M112" s="614"/>
      <c r="N112" s="614"/>
      <c r="O112" s="614"/>
      <c r="P112" s="627"/>
      <c r="Q112" s="615"/>
    </row>
    <row r="113" spans="1:17" ht="14.4" customHeight="1" x14ac:dyDescent="0.3">
      <c r="A113" s="610" t="s">
        <v>538</v>
      </c>
      <c r="B113" s="611" t="s">
        <v>1917</v>
      </c>
      <c r="C113" s="611" t="s">
        <v>1782</v>
      </c>
      <c r="D113" s="611" t="s">
        <v>1921</v>
      </c>
      <c r="E113" s="611" t="s">
        <v>1922</v>
      </c>
      <c r="F113" s="614">
        <v>1</v>
      </c>
      <c r="G113" s="614">
        <v>5390</v>
      </c>
      <c r="H113" s="614">
        <v>1</v>
      </c>
      <c r="I113" s="614">
        <v>5390</v>
      </c>
      <c r="J113" s="614"/>
      <c r="K113" s="614"/>
      <c r="L113" s="614"/>
      <c r="M113" s="614"/>
      <c r="N113" s="614"/>
      <c r="O113" s="614"/>
      <c r="P113" s="627"/>
      <c r="Q113" s="615"/>
    </row>
    <row r="114" spans="1:17" ht="14.4" customHeight="1" x14ac:dyDescent="0.3">
      <c r="A114" s="610" t="s">
        <v>538</v>
      </c>
      <c r="B114" s="611" t="s">
        <v>1923</v>
      </c>
      <c r="C114" s="611" t="s">
        <v>1782</v>
      </c>
      <c r="D114" s="611" t="s">
        <v>1924</v>
      </c>
      <c r="E114" s="611" t="s">
        <v>1925</v>
      </c>
      <c r="F114" s="614">
        <v>1</v>
      </c>
      <c r="G114" s="614">
        <v>2678</v>
      </c>
      <c r="H114" s="614">
        <v>1</v>
      </c>
      <c r="I114" s="614">
        <v>2678</v>
      </c>
      <c r="J114" s="614">
        <v>3</v>
      </c>
      <c r="K114" s="614">
        <v>8048</v>
      </c>
      <c r="L114" s="614">
        <v>3.0052277819268109</v>
      </c>
      <c r="M114" s="614">
        <v>2682.6666666666665</v>
      </c>
      <c r="N114" s="614">
        <v>4</v>
      </c>
      <c r="O114" s="614">
        <v>10780</v>
      </c>
      <c r="P114" s="627">
        <v>4.025392083644511</v>
      </c>
      <c r="Q114" s="615">
        <v>2695</v>
      </c>
    </row>
    <row r="115" spans="1:17" ht="14.4" customHeight="1" x14ac:dyDescent="0.3">
      <c r="A115" s="610" t="s">
        <v>538</v>
      </c>
      <c r="B115" s="611" t="s">
        <v>1923</v>
      </c>
      <c r="C115" s="611" t="s">
        <v>1782</v>
      </c>
      <c r="D115" s="611" t="s">
        <v>1926</v>
      </c>
      <c r="E115" s="611" t="s">
        <v>1927</v>
      </c>
      <c r="F115" s="614">
        <v>1</v>
      </c>
      <c r="G115" s="614">
        <v>5940</v>
      </c>
      <c r="H115" s="614">
        <v>1</v>
      </c>
      <c r="I115" s="614">
        <v>5940</v>
      </c>
      <c r="J115" s="614">
        <v>1</v>
      </c>
      <c r="K115" s="614">
        <v>5940</v>
      </c>
      <c r="L115" s="614">
        <v>1</v>
      </c>
      <c r="M115" s="614">
        <v>5940</v>
      </c>
      <c r="N115" s="614">
        <v>2</v>
      </c>
      <c r="O115" s="614">
        <v>11963</v>
      </c>
      <c r="P115" s="627">
        <v>2.0139730639730642</v>
      </c>
      <c r="Q115" s="615">
        <v>5981.5</v>
      </c>
    </row>
    <row r="116" spans="1:17" ht="14.4" customHeight="1" x14ac:dyDescent="0.3">
      <c r="A116" s="610" t="s">
        <v>538</v>
      </c>
      <c r="B116" s="611" t="s">
        <v>1923</v>
      </c>
      <c r="C116" s="611" t="s">
        <v>1782</v>
      </c>
      <c r="D116" s="611" t="s">
        <v>1928</v>
      </c>
      <c r="E116" s="611" t="s">
        <v>1929</v>
      </c>
      <c r="F116" s="614">
        <v>1</v>
      </c>
      <c r="G116" s="614">
        <v>2370</v>
      </c>
      <c r="H116" s="614">
        <v>1</v>
      </c>
      <c r="I116" s="614">
        <v>2370</v>
      </c>
      <c r="J116" s="614">
        <v>1</v>
      </c>
      <c r="K116" s="614">
        <v>2384</v>
      </c>
      <c r="L116" s="614">
        <v>1.0059071729957807</v>
      </c>
      <c r="M116" s="614">
        <v>2384</v>
      </c>
      <c r="N116" s="614"/>
      <c r="O116" s="614"/>
      <c r="P116" s="627"/>
      <c r="Q116" s="615"/>
    </row>
    <row r="117" spans="1:17" ht="14.4" customHeight="1" x14ac:dyDescent="0.3">
      <c r="A117" s="610" t="s">
        <v>538</v>
      </c>
      <c r="B117" s="611" t="s">
        <v>1923</v>
      </c>
      <c r="C117" s="611" t="s">
        <v>1782</v>
      </c>
      <c r="D117" s="611" t="s">
        <v>1930</v>
      </c>
      <c r="E117" s="611" t="s">
        <v>1931</v>
      </c>
      <c r="F117" s="614"/>
      <c r="G117" s="614"/>
      <c r="H117" s="614"/>
      <c r="I117" s="614"/>
      <c r="J117" s="614">
        <v>1</v>
      </c>
      <c r="K117" s="614">
        <v>9851</v>
      </c>
      <c r="L117" s="614"/>
      <c r="M117" s="614">
        <v>9851</v>
      </c>
      <c r="N117" s="614"/>
      <c r="O117" s="614"/>
      <c r="P117" s="627"/>
      <c r="Q117" s="615"/>
    </row>
    <row r="118" spans="1:17" ht="14.4" customHeight="1" x14ac:dyDescent="0.3">
      <c r="A118" s="610" t="s">
        <v>538</v>
      </c>
      <c r="B118" s="611" t="s">
        <v>1923</v>
      </c>
      <c r="C118" s="611" t="s">
        <v>1782</v>
      </c>
      <c r="D118" s="611" t="s">
        <v>1932</v>
      </c>
      <c r="E118" s="611" t="s">
        <v>1933</v>
      </c>
      <c r="F118" s="614"/>
      <c r="G118" s="614"/>
      <c r="H118" s="614"/>
      <c r="I118" s="614"/>
      <c r="J118" s="614">
        <v>1</v>
      </c>
      <c r="K118" s="614">
        <v>3361</v>
      </c>
      <c r="L118" s="614"/>
      <c r="M118" s="614">
        <v>3361</v>
      </c>
      <c r="N118" s="614"/>
      <c r="O118" s="614"/>
      <c r="P118" s="627"/>
      <c r="Q118" s="615"/>
    </row>
    <row r="119" spans="1:17" ht="14.4" customHeight="1" x14ac:dyDescent="0.3">
      <c r="A119" s="610" t="s">
        <v>538</v>
      </c>
      <c r="B119" s="611" t="s">
        <v>1923</v>
      </c>
      <c r="C119" s="611" t="s">
        <v>1782</v>
      </c>
      <c r="D119" s="611" t="s">
        <v>1934</v>
      </c>
      <c r="E119" s="611" t="s">
        <v>1935</v>
      </c>
      <c r="F119" s="614"/>
      <c r="G119" s="614"/>
      <c r="H119" s="614"/>
      <c r="I119" s="614"/>
      <c r="J119" s="614"/>
      <c r="K119" s="614"/>
      <c r="L119" s="614"/>
      <c r="M119" s="614"/>
      <c r="N119" s="614">
        <v>1</v>
      </c>
      <c r="O119" s="614">
        <v>2073</v>
      </c>
      <c r="P119" s="627"/>
      <c r="Q119" s="615">
        <v>2073</v>
      </c>
    </row>
    <row r="120" spans="1:17" ht="14.4" customHeight="1" x14ac:dyDescent="0.3">
      <c r="A120" s="610" t="s">
        <v>538</v>
      </c>
      <c r="B120" s="611" t="s">
        <v>1923</v>
      </c>
      <c r="C120" s="611" t="s">
        <v>1782</v>
      </c>
      <c r="D120" s="611" t="s">
        <v>1936</v>
      </c>
      <c r="E120" s="611" t="s">
        <v>1937</v>
      </c>
      <c r="F120" s="614">
        <v>1</v>
      </c>
      <c r="G120" s="614">
        <v>5701</v>
      </c>
      <c r="H120" s="614">
        <v>1</v>
      </c>
      <c r="I120" s="614">
        <v>5701</v>
      </c>
      <c r="J120" s="614"/>
      <c r="K120" s="614"/>
      <c r="L120" s="614"/>
      <c r="M120" s="614"/>
      <c r="N120" s="614">
        <v>2</v>
      </c>
      <c r="O120" s="614">
        <v>11548</v>
      </c>
      <c r="P120" s="627">
        <v>2.0256095421855815</v>
      </c>
      <c r="Q120" s="615">
        <v>5774</v>
      </c>
    </row>
    <row r="121" spans="1:17" ht="14.4" customHeight="1" x14ac:dyDescent="0.3">
      <c r="A121" s="610" t="s">
        <v>538</v>
      </c>
      <c r="B121" s="611" t="s">
        <v>1923</v>
      </c>
      <c r="C121" s="611" t="s">
        <v>1782</v>
      </c>
      <c r="D121" s="611" t="s">
        <v>1938</v>
      </c>
      <c r="E121" s="611" t="s">
        <v>1939</v>
      </c>
      <c r="F121" s="614"/>
      <c r="G121" s="614"/>
      <c r="H121" s="614"/>
      <c r="I121" s="614"/>
      <c r="J121" s="614"/>
      <c r="K121" s="614"/>
      <c r="L121" s="614"/>
      <c r="M121" s="614"/>
      <c r="N121" s="614">
        <v>1</v>
      </c>
      <c r="O121" s="614">
        <v>1048</v>
      </c>
      <c r="P121" s="627"/>
      <c r="Q121" s="615">
        <v>1048</v>
      </c>
    </row>
    <row r="122" spans="1:17" ht="14.4" customHeight="1" x14ac:dyDescent="0.3">
      <c r="A122" s="610" t="s">
        <v>538</v>
      </c>
      <c r="B122" s="611" t="s">
        <v>1923</v>
      </c>
      <c r="C122" s="611" t="s">
        <v>1782</v>
      </c>
      <c r="D122" s="611" t="s">
        <v>1918</v>
      </c>
      <c r="E122" s="611" t="s">
        <v>1919</v>
      </c>
      <c r="F122" s="614">
        <v>1</v>
      </c>
      <c r="G122" s="614">
        <v>3459</v>
      </c>
      <c r="H122" s="614">
        <v>1</v>
      </c>
      <c r="I122" s="614">
        <v>3459</v>
      </c>
      <c r="J122" s="614">
        <v>2</v>
      </c>
      <c r="K122" s="614">
        <v>6941</v>
      </c>
      <c r="L122" s="614">
        <v>2.0066493206128939</v>
      </c>
      <c r="M122" s="614">
        <v>3470.5</v>
      </c>
      <c r="N122" s="614">
        <v>2</v>
      </c>
      <c r="O122" s="614">
        <v>6984</v>
      </c>
      <c r="P122" s="627">
        <v>2.0190806591500432</v>
      </c>
      <c r="Q122" s="615">
        <v>3492</v>
      </c>
    </row>
    <row r="123" spans="1:17" ht="14.4" customHeight="1" x14ac:dyDescent="0.3">
      <c r="A123" s="610" t="s">
        <v>538</v>
      </c>
      <c r="B123" s="611" t="s">
        <v>1923</v>
      </c>
      <c r="C123" s="611" t="s">
        <v>1782</v>
      </c>
      <c r="D123" s="611" t="s">
        <v>858</v>
      </c>
      <c r="E123" s="611" t="s">
        <v>1920</v>
      </c>
      <c r="F123" s="614">
        <v>2</v>
      </c>
      <c r="G123" s="614">
        <v>3784</v>
      </c>
      <c r="H123" s="614">
        <v>1</v>
      </c>
      <c r="I123" s="614">
        <v>1892</v>
      </c>
      <c r="J123" s="614">
        <v>2</v>
      </c>
      <c r="K123" s="614">
        <v>3798</v>
      </c>
      <c r="L123" s="614">
        <v>1.0036997885835095</v>
      </c>
      <c r="M123" s="614">
        <v>1899</v>
      </c>
      <c r="N123" s="614">
        <v>2</v>
      </c>
      <c r="O123" s="614">
        <v>3824</v>
      </c>
      <c r="P123" s="627">
        <v>1.0105708245243128</v>
      </c>
      <c r="Q123" s="615">
        <v>1912</v>
      </c>
    </row>
    <row r="124" spans="1:17" ht="14.4" customHeight="1" x14ac:dyDescent="0.3">
      <c r="A124" s="610" t="s">
        <v>538</v>
      </c>
      <c r="B124" s="611" t="s">
        <v>1923</v>
      </c>
      <c r="C124" s="611" t="s">
        <v>1782</v>
      </c>
      <c r="D124" s="611" t="s">
        <v>1940</v>
      </c>
      <c r="E124" s="611" t="s">
        <v>1941</v>
      </c>
      <c r="F124" s="614"/>
      <c r="G124" s="614"/>
      <c r="H124" s="614"/>
      <c r="I124" s="614"/>
      <c r="J124" s="614"/>
      <c r="K124" s="614"/>
      <c r="L124" s="614"/>
      <c r="M124" s="614"/>
      <c r="N124" s="614">
        <v>1</v>
      </c>
      <c r="O124" s="614">
        <v>635</v>
      </c>
      <c r="P124" s="627"/>
      <c r="Q124" s="615">
        <v>635</v>
      </c>
    </row>
    <row r="125" spans="1:17" ht="14.4" customHeight="1" x14ac:dyDescent="0.3">
      <c r="A125" s="610" t="s">
        <v>538</v>
      </c>
      <c r="B125" s="611" t="s">
        <v>1923</v>
      </c>
      <c r="C125" s="611" t="s">
        <v>1782</v>
      </c>
      <c r="D125" s="611" t="s">
        <v>1942</v>
      </c>
      <c r="E125" s="611" t="s">
        <v>1943</v>
      </c>
      <c r="F125" s="614"/>
      <c r="G125" s="614"/>
      <c r="H125" s="614"/>
      <c r="I125" s="614"/>
      <c r="J125" s="614"/>
      <c r="K125" s="614"/>
      <c r="L125" s="614"/>
      <c r="M125" s="614"/>
      <c r="N125" s="614">
        <v>1</v>
      </c>
      <c r="O125" s="614">
        <v>3225</v>
      </c>
      <c r="P125" s="627"/>
      <c r="Q125" s="615">
        <v>3225</v>
      </c>
    </row>
    <row r="126" spans="1:17" ht="14.4" customHeight="1" x14ac:dyDescent="0.3">
      <c r="A126" s="610" t="s">
        <v>538</v>
      </c>
      <c r="B126" s="611" t="s">
        <v>1923</v>
      </c>
      <c r="C126" s="611" t="s">
        <v>1782</v>
      </c>
      <c r="D126" s="611" t="s">
        <v>1944</v>
      </c>
      <c r="E126" s="611" t="s">
        <v>1945</v>
      </c>
      <c r="F126" s="614"/>
      <c r="G126" s="614"/>
      <c r="H126" s="614"/>
      <c r="I126" s="614"/>
      <c r="J126" s="614"/>
      <c r="K126" s="614"/>
      <c r="L126" s="614"/>
      <c r="M126" s="614"/>
      <c r="N126" s="614">
        <v>4</v>
      </c>
      <c r="O126" s="614">
        <v>4940</v>
      </c>
      <c r="P126" s="627"/>
      <c r="Q126" s="615">
        <v>1235</v>
      </c>
    </row>
    <row r="127" spans="1:17" ht="14.4" customHeight="1" x14ac:dyDescent="0.3">
      <c r="A127" s="610" t="s">
        <v>538</v>
      </c>
      <c r="B127" s="611" t="s">
        <v>1923</v>
      </c>
      <c r="C127" s="611" t="s">
        <v>1782</v>
      </c>
      <c r="D127" s="611" t="s">
        <v>1921</v>
      </c>
      <c r="E127" s="611" t="s">
        <v>1922</v>
      </c>
      <c r="F127" s="614">
        <v>2</v>
      </c>
      <c r="G127" s="614">
        <v>10780</v>
      </c>
      <c r="H127" s="614">
        <v>1</v>
      </c>
      <c r="I127" s="614">
        <v>5390</v>
      </c>
      <c r="J127" s="614">
        <v>3</v>
      </c>
      <c r="K127" s="614">
        <v>16294</v>
      </c>
      <c r="L127" s="614">
        <v>1.5115027829313543</v>
      </c>
      <c r="M127" s="614">
        <v>5431.333333333333</v>
      </c>
      <c r="N127" s="614">
        <v>4</v>
      </c>
      <c r="O127" s="614">
        <v>21862</v>
      </c>
      <c r="P127" s="627">
        <v>2.0280148423005566</v>
      </c>
      <c r="Q127" s="615">
        <v>5465.5</v>
      </c>
    </row>
    <row r="128" spans="1:17" ht="14.4" customHeight="1" x14ac:dyDescent="0.3">
      <c r="A128" s="610" t="s">
        <v>538</v>
      </c>
      <c r="B128" s="611" t="s">
        <v>1946</v>
      </c>
      <c r="C128" s="611" t="s">
        <v>1782</v>
      </c>
      <c r="D128" s="611" t="s">
        <v>1947</v>
      </c>
      <c r="E128" s="611" t="s">
        <v>1948</v>
      </c>
      <c r="F128" s="614"/>
      <c r="G128" s="614"/>
      <c r="H128" s="614"/>
      <c r="I128" s="614"/>
      <c r="J128" s="614">
        <v>2</v>
      </c>
      <c r="K128" s="614">
        <v>4416</v>
      </c>
      <c r="L128" s="614"/>
      <c r="M128" s="614">
        <v>2208</v>
      </c>
      <c r="N128" s="614"/>
      <c r="O128" s="614"/>
      <c r="P128" s="627"/>
      <c r="Q128" s="615"/>
    </row>
    <row r="129" spans="1:17" ht="14.4" customHeight="1" x14ac:dyDescent="0.3">
      <c r="A129" s="610" t="s">
        <v>538</v>
      </c>
      <c r="B129" s="611" t="s">
        <v>1946</v>
      </c>
      <c r="C129" s="611" t="s">
        <v>1782</v>
      </c>
      <c r="D129" s="611" t="s">
        <v>1949</v>
      </c>
      <c r="E129" s="611" t="s">
        <v>1950</v>
      </c>
      <c r="F129" s="614"/>
      <c r="G129" s="614"/>
      <c r="H129" s="614"/>
      <c r="I129" s="614"/>
      <c r="J129" s="614">
        <v>1</v>
      </c>
      <c r="K129" s="614">
        <v>4421</v>
      </c>
      <c r="L129" s="614"/>
      <c r="M129" s="614">
        <v>4421</v>
      </c>
      <c r="N129" s="614"/>
      <c r="O129" s="614"/>
      <c r="P129" s="627"/>
      <c r="Q129" s="615"/>
    </row>
    <row r="130" spans="1:17" ht="14.4" customHeight="1" x14ac:dyDescent="0.3">
      <c r="A130" s="610" t="s">
        <v>538</v>
      </c>
      <c r="B130" s="611" t="s">
        <v>1951</v>
      </c>
      <c r="C130" s="611" t="s">
        <v>1782</v>
      </c>
      <c r="D130" s="611" t="s">
        <v>1952</v>
      </c>
      <c r="E130" s="611" t="s">
        <v>1953</v>
      </c>
      <c r="F130" s="614">
        <v>1</v>
      </c>
      <c r="G130" s="614">
        <v>344</v>
      </c>
      <c r="H130" s="614">
        <v>1</v>
      </c>
      <c r="I130" s="614">
        <v>344</v>
      </c>
      <c r="J130" s="614"/>
      <c r="K130" s="614"/>
      <c r="L130" s="614"/>
      <c r="M130" s="614"/>
      <c r="N130" s="614"/>
      <c r="O130" s="614"/>
      <c r="P130" s="627"/>
      <c r="Q130" s="615"/>
    </row>
    <row r="131" spans="1:17" ht="14.4" customHeight="1" x14ac:dyDescent="0.3">
      <c r="A131" s="610" t="s">
        <v>538</v>
      </c>
      <c r="B131" s="611" t="s">
        <v>1951</v>
      </c>
      <c r="C131" s="611" t="s">
        <v>1782</v>
      </c>
      <c r="D131" s="611" t="s">
        <v>1954</v>
      </c>
      <c r="E131" s="611" t="s">
        <v>1955</v>
      </c>
      <c r="F131" s="614">
        <v>963</v>
      </c>
      <c r="G131" s="614">
        <v>188745</v>
      </c>
      <c r="H131" s="614">
        <v>1</v>
      </c>
      <c r="I131" s="614">
        <v>195.99688473520249</v>
      </c>
      <c r="J131" s="614">
        <v>1040</v>
      </c>
      <c r="K131" s="614">
        <v>197409</v>
      </c>
      <c r="L131" s="614">
        <v>1.0459032027338473</v>
      </c>
      <c r="M131" s="614">
        <v>189.81634615384615</v>
      </c>
      <c r="N131" s="614">
        <v>935</v>
      </c>
      <c r="O131" s="614">
        <v>185127</v>
      </c>
      <c r="P131" s="627">
        <v>0.98083128029881583</v>
      </c>
      <c r="Q131" s="615">
        <v>197.99679144385027</v>
      </c>
    </row>
    <row r="132" spans="1:17" ht="14.4" customHeight="1" thickBot="1" x14ac:dyDescent="0.35">
      <c r="A132" s="616" t="s">
        <v>538</v>
      </c>
      <c r="B132" s="617" t="s">
        <v>1956</v>
      </c>
      <c r="C132" s="617" t="s">
        <v>1782</v>
      </c>
      <c r="D132" s="617" t="s">
        <v>1957</v>
      </c>
      <c r="E132" s="617" t="s">
        <v>1958</v>
      </c>
      <c r="F132" s="620"/>
      <c r="G132" s="620"/>
      <c r="H132" s="620"/>
      <c r="I132" s="620"/>
      <c r="J132" s="620"/>
      <c r="K132" s="620"/>
      <c r="L132" s="620"/>
      <c r="M132" s="620"/>
      <c r="N132" s="620">
        <v>1</v>
      </c>
      <c r="O132" s="620">
        <v>3032</v>
      </c>
      <c r="P132" s="628"/>
      <c r="Q132" s="621">
        <v>3032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8" customWidth="1"/>
    <col min="2" max="4" width="7.88671875" style="338" customWidth="1"/>
    <col min="5" max="5" width="7.88671875" style="347" customWidth="1"/>
    <col min="6" max="8" width="7.88671875" style="338" customWidth="1"/>
    <col min="9" max="9" width="7.88671875" style="348" customWidth="1"/>
    <col min="10" max="13" width="7.88671875" style="338" customWidth="1"/>
    <col min="14" max="16384" width="9.33203125" style="338"/>
  </cols>
  <sheetData>
    <row r="1" spans="1:13" ht="18.600000000000001" customHeight="1" thickBot="1" x14ac:dyDescent="0.4">
      <c r="A1" s="527" t="s">
        <v>122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3" ht="14.4" customHeight="1" thickBot="1" x14ac:dyDescent="0.35">
      <c r="A2" s="360" t="s">
        <v>306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3" ht="14.4" customHeight="1" thickBot="1" x14ac:dyDescent="0.35">
      <c r="A3" s="528" t="s">
        <v>57</v>
      </c>
      <c r="B3" s="510" t="s">
        <v>58</v>
      </c>
      <c r="C3" s="511"/>
      <c r="D3" s="511"/>
      <c r="E3" s="512"/>
      <c r="F3" s="510" t="s">
        <v>265</v>
      </c>
      <c r="G3" s="511"/>
      <c r="H3" s="511"/>
      <c r="I3" s="512"/>
      <c r="J3" s="108"/>
      <c r="K3" s="109"/>
      <c r="L3" s="108"/>
      <c r="M3" s="110"/>
    </row>
    <row r="4" spans="1:13" ht="14.4" customHeight="1" thickBot="1" x14ac:dyDescent="0.35">
      <c r="A4" s="529"/>
      <c r="B4" s="111">
        <v>2013</v>
      </c>
      <c r="C4" s="112">
        <v>2014</v>
      </c>
      <c r="D4" s="112">
        <v>2015</v>
      </c>
      <c r="E4" s="113" t="s">
        <v>2</v>
      </c>
      <c r="F4" s="112">
        <v>2013</v>
      </c>
      <c r="G4" s="112">
        <v>2014</v>
      </c>
      <c r="H4" s="112">
        <v>2015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382.12700000000001</v>
      </c>
      <c r="C5" s="99">
        <v>359.29</v>
      </c>
      <c r="D5" s="99">
        <v>318.73399999999998</v>
      </c>
      <c r="E5" s="116">
        <v>0.83410489182915626</v>
      </c>
      <c r="F5" s="117">
        <v>346</v>
      </c>
      <c r="G5" s="99">
        <v>332</v>
      </c>
      <c r="H5" s="99">
        <v>344</v>
      </c>
      <c r="I5" s="118">
        <v>0.9942196531791907</v>
      </c>
      <c r="J5" s="108"/>
      <c r="K5" s="108"/>
      <c r="L5" s="7">
        <f>D5-B5</f>
        <v>-63.393000000000029</v>
      </c>
      <c r="M5" s="8">
        <f>H5-F5</f>
        <v>-2</v>
      </c>
    </row>
    <row r="6" spans="1:13" ht="14.4" hidden="1" customHeight="1" outlineLevel="1" x14ac:dyDescent="0.3">
      <c r="A6" s="104" t="s">
        <v>151</v>
      </c>
      <c r="B6" s="107">
        <v>157.279</v>
      </c>
      <c r="C6" s="98">
        <v>138.11699999999999</v>
      </c>
      <c r="D6" s="98">
        <v>163.51400000000001</v>
      </c>
      <c r="E6" s="119">
        <v>1.0396429275364163</v>
      </c>
      <c r="F6" s="120">
        <v>164</v>
      </c>
      <c r="G6" s="98">
        <v>158</v>
      </c>
      <c r="H6" s="98">
        <v>173</v>
      </c>
      <c r="I6" s="121">
        <v>1.0548780487804879</v>
      </c>
      <c r="J6" s="108"/>
      <c r="K6" s="108"/>
      <c r="L6" s="5">
        <f t="shared" ref="L6:L11" si="0">D6-B6</f>
        <v>6.2350000000000136</v>
      </c>
      <c r="M6" s="6">
        <f t="shared" ref="M6:M13" si="1">H6-F6</f>
        <v>9</v>
      </c>
    </row>
    <row r="7" spans="1:13" ht="14.4" hidden="1" customHeight="1" outlineLevel="1" x14ac:dyDescent="0.3">
      <c r="A7" s="104" t="s">
        <v>152</v>
      </c>
      <c r="B7" s="107">
        <v>455.11200000000002</v>
      </c>
      <c r="C7" s="98">
        <v>399.81700000000001</v>
      </c>
      <c r="D7" s="98">
        <v>631.71600000000001</v>
      </c>
      <c r="E7" s="119">
        <v>1.3880451405368348</v>
      </c>
      <c r="F7" s="120">
        <v>581</v>
      </c>
      <c r="G7" s="98">
        <v>671</v>
      </c>
      <c r="H7" s="98">
        <v>577</v>
      </c>
      <c r="I7" s="121">
        <v>0.99311531841652323</v>
      </c>
      <c r="J7" s="108"/>
      <c r="K7" s="108"/>
      <c r="L7" s="5">
        <f t="shared" si="0"/>
        <v>176.60399999999998</v>
      </c>
      <c r="M7" s="6">
        <f t="shared" si="1"/>
        <v>-4</v>
      </c>
    </row>
    <row r="8" spans="1:13" ht="14.4" hidden="1" customHeight="1" outlineLevel="1" x14ac:dyDescent="0.3">
      <c r="A8" s="104" t="s">
        <v>153</v>
      </c>
      <c r="B8" s="107">
        <v>44.33</v>
      </c>
      <c r="C8" s="98">
        <v>41.954000000000001</v>
      </c>
      <c r="D8" s="98">
        <v>59.207000000000001</v>
      </c>
      <c r="E8" s="119">
        <v>1.3355966614031132</v>
      </c>
      <c r="F8" s="120">
        <v>45</v>
      </c>
      <c r="G8" s="98">
        <v>52</v>
      </c>
      <c r="H8" s="98">
        <v>54</v>
      </c>
      <c r="I8" s="121">
        <v>1.2</v>
      </c>
      <c r="J8" s="108"/>
      <c r="K8" s="108"/>
      <c r="L8" s="5">
        <f t="shared" si="0"/>
        <v>14.877000000000002</v>
      </c>
      <c r="M8" s="6">
        <f t="shared" si="1"/>
        <v>9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540</v>
      </c>
      <c r="F9" s="120">
        <v>0</v>
      </c>
      <c r="G9" s="98">
        <v>0</v>
      </c>
      <c r="H9" s="98">
        <v>0</v>
      </c>
      <c r="I9" s="121" t="s">
        <v>540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109.98099999999999</v>
      </c>
      <c r="C10" s="98">
        <v>146.29300000000001</v>
      </c>
      <c r="D10" s="98">
        <v>132.16800000000001</v>
      </c>
      <c r="E10" s="119">
        <v>1.2017348451096099</v>
      </c>
      <c r="F10" s="120">
        <v>176</v>
      </c>
      <c r="G10" s="98">
        <v>208</v>
      </c>
      <c r="H10" s="98">
        <v>192</v>
      </c>
      <c r="I10" s="121">
        <v>1.0909090909090908</v>
      </c>
      <c r="J10" s="108"/>
      <c r="K10" s="108"/>
      <c r="L10" s="5">
        <f t="shared" si="0"/>
        <v>22.187000000000012</v>
      </c>
      <c r="M10" s="6">
        <f t="shared" si="1"/>
        <v>16</v>
      </c>
    </row>
    <row r="11" spans="1:13" ht="14.4" hidden="1" customHeight="1" outlineLevel="1" x14ac:dyDescent="0.3">
      <c r="A11" s="104" t="s">
        <v>156</v>
      </c>
      <c r="B11" s="107">
        <v>4.9409999999999998</v>
      </c>
      <c r="C11" s="98">
        <v>76.015000000000001</v>
      </c>
      <c r="D11" s="98">
        <v>86.852999999999994</v>
      </c>
      <c r="E11" s="119">
        <v>17.578020643594414</v>
      </c>
      <c r="F11" s="120">
        <v>14</v>
      </c>
      <c r="G11" s="98">
        <v>23</v>
      </c>
      <c r="H11" s="98">
        <v>39</v>
      </c>
      <c r="I11" s="121">
        <v>2.7857142857142856</v>
      </c>
      <c r="J11" s="108"/>
      <c r="K11" s="108"/>
      <c r="L11" s="5">
        <f t="shared" si="0"/>
        <v>81.911999999999992</v>
      </c>
      <c r="M11" s="6">
        <f t="shared" si="1"/>
        <v>25</v>
      </c>
    </row>
    <row r="12" spans="1:13" ht="14.4" hidden="1" customHeight="1" outlineLevel="1" thickBot="1" x14ac:dyDescent="0.35">
      <c r="A12" s="228" t="s">
        <v>187</v>
      </c>
      <c r="B12" s="229">
        <v>1.99</v>
      </c>
      <c r="C12" s="230">
        <v>14.148</v>
      </c>
      <c r="D12" s="230">
        <v>0.82099999999999995</v>
      </c>
      <c r="E12" s="231"/>
      <c r="F12" s="232">
        <v>6</v>
      </c>
      <c r="G12" s="230">
        <v>7</v>
      </c>
      <c r="H12" s="230">
        <v>4</v>
      </c>
      <c r="I12" s="233"/>
      <c r="J12" s="108"/>
      <c r="K12" s="108"/>
      <c r="L12" s="234">
        <f>D12-B12</f>
        <v>-1.169</v>
      </c>
      <c r="M12" s="235">
        <f>H12-F12</f>
        <v>-2</v>
      </c>
    </row>
    <row r="13" spans="1:13" ht="14.4" customHeight="1" collapsed="1" thickBot="1" x14ac:dyDescent="0.35">
      <c r="A13" s="105" t="s">
        <v>3</v>
      </c>
      <c r="B13" s="100">
        <f>SUM(B5:B12)</f>
        <v>1155.76</v>
      </c>
      <c r="C13" s="101">
        <f>SUM(C5:C12)</f>
        <v>1175.634</v>
      </c>
      <c r="D13" s="101">
        <f>SUM(D5:D12)</f>
        <v>1393.0129999999999</v>
      </c>
      <c r="E13" s="122">
        <f>IF(OR(D13=0,B13=0),0,D13/B13)</f>
        <v>1.205278777600886</v>
      </c>
      <c r="F13" s="123">
        <f>SUM(F5:F12)</f>
        <v>1332</v>
      </c>
      <c r="G13" s="101">
        <f>SUM(G5:G12)</f>
        <v>1451</v>
      </c>
      <c r="H13" s="101">
        <f>SUM(H5:H12)</f>
        <v>1383</v>
      </c>
      <c r="I13" s="124">
        <f>IF(OR(H13=0,F13=0),0,H13/F13)</f>
        <v>1.0382882882882882</v>
      </c>
      <c r="J13" s="108"/>
      <c r="K13" s="108"/>
      <c r="L13" s="114">
        <f>D13-B13</f>
        <v>237.25299999999993</v>
      </c>
      <c r="M13" s="125">
        <f t="shared" si="1"/>
        <v>51</v>
      </c>
    </row>
    <row r="14" spans="1:13" ht="14.4" customHeight="1" x14ac:dyDescent="0.3">
      <c r="A14" s="126"/>
      <c r="B14" s="530"/>
      <c r="C14" s="530"/>
      <c r="D14" s="530"/>
      <c r="E14" s="530"/>
      <c r="F14" s="530"/>
      <c r="G14" s="530"/>
      <c r="H14" s="530"/>
      <c r="I14" s="530"/>
      <c r="J14" s="108"/>
      <c r="K14" s="108"/>
      <c r="L14" s="108"/>
      <c r="M14" s="110"/>
    </row>
    <row r="15" spans="1:13" ht="14.4" customHeight="1" thickBot="1" x14ac:dyDescent="0.35">
      <c r="A15" s="126"/>
      <c r="B15" s="340"/>
      <c r="C15" s="341"/>
      <c r="D15" s="341"/>
      <c r="E15" s="341"/>
      <c r="F15" s="340"/>
      <c r="G15" s="341"/>
      <c r="H15" s="341"/>
      <c r="I15" s="341"/>
      <c r="J15" s="108"/>
      <c r="K15" s="108"/>
      <c r="L15" s="108"/>
      <c r="M15" s="110"/>
    </row>
    <row r="16" spans="1:13" ht="14.4" customHeight="1" thickBot="1" x14ac:dyDescent="0.35">
      <c r="A16" s="536" t="s">
        <v>183</v>
      </c>
      <c r="B16" s="538" t="s">
        <v>58</v>
      </c>
      <c r="C16" s="539"/>
      <c r="D16" s="539"/>
      <c r="E16" s="540"/>
      <c r="F16" s="538" t="s">
        <v>265</v>
      </c>
      <c r="G16" s="539"/>
      <c r="H16" s="539"/>
      <c r="I16" s="540"/>
      <c r="J16" s="521" t="s">
        <v>160</v>
      </c>
      <c r="K16" s="522"/>
      <c r="L16" s="143"/>
      <c r="M16" s="143"/>
    </row>
    <row r="17" spans="1:13" ht="14.4" customHeight="1" thickBot="1" x14ac:dyDescent="0.35">
      <c r="A17" s="537"/>
      <c r="B17" s="127">
        <v>2013</v>
      </c>
      <c r="C17" s="128">
        <v>2014</v>
      </c>
      <c r="D17" s="128">
        <v>2015</v>
      </c>
      <c r="E17" s="129" t="s">
        <v>2</v>
      </c>
      <c r="F17" s="127">
        <v>2013</v>
      </c>
      <c r="G17" s="128">
        <v>2014</v>
      </c>
      <c r="H17" s="128">
        <v>2015</v>
      </c>
      <c r="I17" s="129" t="s">
        <v>2</v>
      </c>
      <c r="J17" s="523" t="s">
        <v>161</v>
      </c>
      <c r="K17" s="524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382.12700000000001</v>
      </c>
      <c r="C18" s="99">
        <v>359.29</v>
      </c>
      <c r="D18" s="99">
        <v>318.73399999999998</v>
      </c>
      <c r="E18" s="116">
        <v>0.83410489182915626</v>
      </c>
      <c r="F18" s="106">
        <v>346</v>
      </c>
      <c r="G18" s="99">
        <v>332</v>
      </c>
      <c r="H18" s="99">
        <v>344</v>
      </c>
      <c r="I18" s="118">
        <v>0.9942196531791907</v>
      </c>
      <c r="J18" s="525">
        <v>0.91871999999999998</v>
      </c>
      <c r="K18" s="526"/>
      <c r="L18" s="132">
        <f>D18-B18</f>
        <v>-63.393000000000029</v>
      </c>
      <c r="M18" s="133">
        <f>H18-F18</f>
        <v>-2</v>
      </c>
    </row>
    <row r="19" spans="1:13" ht="14.4" hidden="1" customHeight="1" outlineLevel="1" x14ac:dyDescent="0.3">
      <c r="A19" s="104" t="s">
        <v>151</v>
      </c>
      <c r="B19" s="107">
        <v>157.279</v>
      </c>
      <c r="C19" s="98">
        <v>138.11699999999999</v>
      </c>
      <c r="D19" s="98">
        <v>163.51400000000001</v>
      </c>
      <c r="E19" s="119">
        <v>1.0396429275364163</v>
      </c>
      <c r="F19" s="107">
        <v>164</v>
      </c>
      <c r="G19" s="98">
        <v>158</v>
      </c>
      <c r="H19" s="98">
        <v>173</v>
      </c>
      <c r="I19" s="121">
        <v>1.0548780487804879</v>
      </c>
      <c r="J19" s="525">
        <v>0.99456</v>
      </c>
      <c r="K19" s="526"/>
      <c r="L19" s="134">
        <f t="shared" ref="L19:L26" si="2">D19-B19</f>
        <v>6.2350000000000136</v>
      </c>
      <c r="M19" s="135">
        <f t="shared" ref="M19:M26" si="3">H19-F19</f>
        <v>9</v>
      </c>
    </row>
    <row r="20" spans="1:13" ht="14.4" hidden="1" customHeight="1" outlineLevel="1" x14ac:dyDescent="0.3">
      <c r="A20" s="104" t="s">
        <v>152</v>
      </c>
      <c r="B20" s="107">
        <v>455.11200000000002</v>
      </c>
      <c r="C20" s="98">
        <v>399.81700000000001</v>
      </c>
      <c r="D20" s="98">
        <v>631.71600000000001</v>
      </c>
      <c r="E20" s="119">
        <v>1.3880451405368348</v>
      </c>
      <c r="F20" s="107">
        <v>581</v>
      </c>
      <c r="G20" s="98">
        <v>671</v>
      </c>
      <c r="H20" s="98">
        <v>577</v>
      </c>
      <c r="I20" s="121">
        <v>0.99311531841652323</v>
      </c>
      <c r="J20" s="525">
        <v>0.96671999999999991</v>
      </c>
      <c r="K20" s="526"/>
      <c r="L20" s="134">
        <f t="shared" si="2"/>
        <v>176.60399999999998</v>
      </c>
      <c r="M20" s="135">
        <f t="shared" si="3"/>
        <v>-4</v>
      </c>
    </row>
    <row r="21" spans="1:13" ht="14.4" hidden="1" customHeight="1" outlineLevel="1" x14ac:dyDescent="0.3">
      <c r="A21" s="104" t="s">
        <v>153</v>
      </c>
      <c r="B21" s="107">
        <v>44.33</v>
      </c>
      <c r="C21" s="98">
        <v>41.954000000000001</v>
      </c>
      <c r="D21" s="98">
        <v>59.207000000000001</v>
      </c>
      <c r="E21" s="119">
        <v>1.3355966614031132</v>
      </c>
      <c r="F21" s="107">
        <v>45</v>
      </c>
      <c r="G21" s="98">
        <v>52</v>
      </c>
      <c r="H21" s="98">
        <v>54</v>
      </c>
      <c r="I21" s="121">
        <v>1.2</v>
      </c>
      <c r="J21" s="525">
        <v>1.11744</v>
      </c>
      <c r="K21" s="526"/>
      <c r="L21" s="134">
        <f t="shared" si="2"/>
        <v>14.877000000000002</v>
      </c>
      <c r="M21" s="135">
        <f t="shared" si="3"/>
        <v>9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540</v>
      </c>
      <c r="F22" s="107">
        <v>0</v>
      </c>
      <c r="G22" s="98">
        <v>0</v>
      </c>
      <c r="H22" s="98">
        <v>0</v>
      </c>
      <c r="I22" s="121" t="s">
        <v>540</v>
      </c>
      <c r="J22" s="525">
        <v>0.96</v>
      </c>
      <c r="K22" s="526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109.98099999999999</v>
      </c>
      <c r="C23" s="98">
        <v>146.29300000000001</v>
      </c>
      <c r="D23" s="98">
        <v>132.16800000000001</v>
      </c>
      <c r="E23" s="119">
        <v>1.2017348451096099</v>
      </c>
      <c r="F23" s="107">
        <v>176</v>
      </c>
      <c r="G23" s="98">
        <v>208</v>
      </c>
      <c r="H23" s="98">
        <v>192</v>
      </c>
      <c r="I23" s="121">
        <v>1.0909090909090908</v>
      </c>
      <c r="J23" s="525">
        <v>0.98495999999999995</v>
      </c>
      <c r="K23" s="526"/>
      <c r="L23" s="134">
        <f t="shared" si="2"/>
        <v>22.187000000000012</v>
      </c>
      <c r="M23" s="135">
        <f t="shared" si="3"/>
        <v>16</v>
      </c>
    </row>
    <row r="24" spans="1:13" ht="14.4" hidden="1" customHeight="1" outlineLevel="1" x14ac:dyDescent="0.3">
      <c r="A24" s="104" t="s">
        <v>156</v>
      </c>
      <c r="B24" s="107">
        <v>4.9409999999999998</v>
      </c>
      <c r="C24" s="98">
        <v>76.015000000000001</v>
      </c>
      <c r="D24" s="98">
        <v>86.852999999999994</v>
      </c>
      <c r="E24" s="119">
        <v>17.578020643594414</v>
      </c>
      <c r="F24" s="107">
        <v>14</v>
      </c>
      <c r="G24" s="98">
        <v>23</v>
      </c>
      <c r="H24" s="98">
        <v>39</v>
      </c>
      <c r="I24" s="121">
        <v>2.7857142857142856</v>
      </c>
      <c r="J24" s="525">
        <v>1.0147199999999998</v>
      </c>
      <c r="K24" s="526"/>
      <c r="L24" s="134">
        <f t="shared" si="2"/>
        <v>81.911999999999992</v>
      </c>
      <c r="M24" s="135">
        <f t="shared" si="3"/>
        <v>25</v>
      </c>
    </row>
    <row r="25" spans="1:13" ht="14.4" hidden="1" customHeight="1" outlineLevel="1" thickBot="1" x14ac:dyDescent="0.35">
      <c r="A25" s="228" t="s">
        <v>187</v>
      </c>
      <c r="B25" s="229">
        <v>1.99</v>
      </c>
      <c r="C25" s="230">
        <v>14.148</v>
      </c>
      <c r="D25" s="230">
        <v>0.82099999999999995</v>
      </c>
      <c r="E25" s="231"/>
      <c r="F25" s="229">
        <v>6</v>
      </c>
      <c r="G25" s="230">
        <v>7</v>
      </c>
      <c r="H25" s="230">
        <v>4</v>
      </c>
      <c r="I25" s="233"/>
      <c r="J25" s="342"/>
      <c r="K25" s="343"/>
      <c r="L25" s="236">
        <f>D25-B25</f>
        <v>-1.169</v>
      </c>
      <c r="M25" s="237">
        <f>H25-F25</f>
        <v>-2</v>
      </c>
    </row>
    <row r="26" spans="1:13" ht="14.4" customHeight="1" collapsed="1" thickBot="1" x14ac:dyDescent="0.35">
      <c r="A26" s="136" t="s">
        <v>3</v>
      </c>
      <c r="B26" s="137">
        <f>SUM(B18:B25)</f>
        <v>1155.76</v>
      </c>
      <c r="C26" s="138">
        <f>SUM(C18:C25)</f>
        <v>1175.634</v>
      </c>
      <c r="D26" s="138">
        <f>SUM(D18:D25)</f>
        <v>1393.0129999999999</v>
      </c>
      <c r="E26" s="139">
        <f>IF(OR(D26=0,B26=0),0,D26/B26)</f>
        <v>1.205278777600886</v>
      </c>
      <c r="F26" s="137">
        <f>SUM(F18:F25)</f>
        <v>1332</v>
      </c>
      <c r="G26" s="138">
        <f>SUM(G18:G25)</f>
        <v>1451</v>
      </c>
      <c r="H26" s="138">
        <f>SUM(H18:H25)</f>
        <v>1383</v>
      </c>
      <c r="I26" s="140">
        <f>IF(OR(H26=0,F26=0),0,H26/F26)</f>
        <v>1.0382882882882882</v>
      </c>
      <c r="J26" s="108"/>
      <c r="K26" s="108"/>
      <c r="L26" s="130">
        <f t="shared" si="2"/>
        <v>237.25299999999993</v>
      </c>
      <c r="M26" s="141">
        <f t="shared" si="3"/>
        <v>51</v>
      </c>
    </row>
    <row r="27" spans="1:13" ht="14.4" customHeight="1" x14ac:dyDescent="0.3">
      <c r="A27" s="142"/>
      <c r="B27" s="530" t="s">
        <v>185</v>
      </c>
      <c r="C27" s="541"/>
      <c r="D27" s="541"/>
      <c r="E27" s="541"/>
      <c r="F27" s="530" t="s">
        <v>186</v>
      </c>
      <c r="G27" s="541"/>
      <c r="H27" s="541"/>
      <c r="I27" s="541"/>
      <c r="J27" s="143"/>
      <c r="K27" s="143"/>
      <c r="L27" s="143"/>
      <c r="M27" s="144"/>
    </row>
    <row r="28" spans="1:13" ht="14.4" customHeight="1" thickBot="1" x14ac:dyDescent="0.35">
      <c r="A28" s="142"/>
      <c r="B28" s="340"/>
      <c r="C28" s="341"/>
      <c r="D28" s="341"/>
      <c r="E28" s="341"/>
      <c r="F28" s="340"/>
      <c r="G28" s="341"/>
      <c r="H28" s="341"/>
      <c r="I28" s="341"/>
      <c r="J28" s="143"/>
      <c r="K28" s="143"/>
      <c r="L28" s="143"/>
      <c r="M28" s="144"/>
    </row>
    <row r="29" spans="1:13" ht="14.4" customHeight="1" thickBot="1" x14ac:dyDescent="0.35">
      <c r="A29" s="531" t="s">
        <v>184</v>
      </c>
      <c r="B29" s="533" t="s">
        <v>58</v>
      </c>
      <c r="C29" s="534"/>
      <c r="D29" s="534"/>
      <c r="E29" s="535"/>
      <c r="F29" s="534" t="s">
        <v>265</v>
      </c>
      <c r="G29" s="534"/>
      <c r="H29" s="534"/>
      <c r="I29" s="535"/>
      <c r="J29" s="143"/>
      <c r="K29" s="143"/>
      <c r="L29" s="143"/>
      <c r="M29" s="144"/>
    </row>
    <row r="30" spans="1:13" ht="14.4" customHeight="1" thickBot="1" x14ac:dyDescent="0.35">
      <c r="A30" s="532"/>
      <c r="B30" s="145">
        <v>2013</v>
      </c>
      <c r="C30" s="146">
        <v>2014</v>
      </c>
      <c r="D30" s="146">
        <v>2015</v>
      </c>
      <c r="E30" s="147" t="s">
        <v>2</v>
      </c>
      <c r="F30" s="146">
        <v>2013</v>
      </c>
      <c r="G30" s="146">
        <v>2014</v>
      </c>
      <c r="H30" s="146">
        <v>2015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540</v>
      </c>
      <c r="F31" s="117">
        <v>0</v>
      </c>
      <c r="G31" s="99">
        <v>0</v>
      </c>
      <c r="H31" s="99">
        <v>0</v>
      </c>
      <c r="I31" s="118" t="s">
        <v>540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540</v>
      </c>
      <c r="F32" s="120">
        <v>0</v>
      </c>
      <c r="G32" s="98">
        <v>0</v>
      </c>
      <c r="H32" s="98">
        <v>0</v>
      </c>
      <c r="I32" s="121" t="s">
        <v>540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540</v>
      </c>
      <c r="F33" s="120">
        <v>0</v>
      </c>
      <c r="G33" s="98">
        <v>0</v>
      </c>
      <c r="H33" s="98">
        <v>0</v>
      </c>
      <c r="I33" s="121" t="s">
        <v>540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540</v>
      </c>
      <c r="F34" s="120">
        <v>0</v>
      </c>
      <c r="G34" s="98">
        <v>0</v>
      </c>
      <c r="H34" s="98">
        <v>0</v>
      </c>
      <c r="I34" s="121" t="s">
        <v>540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540</v>
      </c>
      <c r="F35" s="120">
        <v>0</v>
      </c>
      <c r="G35" s="98">
        <v>0</v>
      </c>
      <c r="H35" s="98">
        <v>0</v>
      </c>
      <c r="I35" s="121" t="s">
        <v>540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540</v>
      </c>
      <c r="F36" s="120">
        <v>0</v>
      </c>
      <c r="G36" s="98">
        <v>0</v>
      </c>
      <c r="H36" s="98">
        <v>0</v>
      </c>
      <c r="I36" s="121" t="s">
        <v>540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540</v>
      </c>
      <c r="F37" s="120">
        <v>0</v>
      </c>
      <c r="G37" s="98">
        <v>0</v>
      </c>
      <c r="H37" s="98">
        <v>0</v>
      </c>
      <c r="I37" s="121" t="s">
        <v>540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187</v>
      </c>
      <c r="B38" s="229">
        <v>0</v>
      </c>
      <c r="C38" s="230">
        <v>0</v>
      </c>
      <c r="D38" s="230">
        <v>0</v>
      </c>
      <c r="E38" s="231" t="s">
        <v>540</v>
      </c>
      <c r="F38" s="232">
        <v>0</v>
      </c>
      <c r="G38" s="230">
        <v>0</v>
      </c>
      <c r="H38" s="230">
        <v>0</v>
      </c>
      <c r="I38" s="233" t="s">
        <v>540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4"/>
      <c r="B40" s="344"/>
      <c r="C40" s="344"/>
      <c r="D40" s="344"/>
      <c r="E40" s="345"/>
      <c r="F40" s="344"/>
      <c r="G40" s="344"/>
      <c r="H40" s="344"/>
      <c r="I40" s="346"/>
      <c r="J40" s="344"/>
      <c r="K40" s="344"/>
      <c r="L40" s="344"/>
      <c r="M40" s="344"/>
    </row>
    <row r="41" spans="1:13" ht="14.4" customHeight="1" x14ac:dyDescent="0.3">
      <c r="A41" s="246" t="s">
        <v>266</v>
      </c>
      <c r="B41" s="344"/>
      <c r="C41" s="344"/>
      <c r="D41" s="344"/>
      <c r="E41" s="345"/>
      <c r="F41" s="344"/>
      <c r="G41" s="344"/>
      <c r="H41" s="344"/>
      <c r="I41" s="346"/>
      <c r="J41" s="344"/>
      <c r="K41" s="344"/>
      <c r="L41" s="344"/>
      <c r="M41" s="344"/>
    </row>
    <row r="42" spans="1:13" ht="14.4" customHeight="1" x14ac:dyDescent="0.25">
      <c r="A42" s="426" t="s">
        <v>302</v>
      </c>
    </row>
    <row r="43" spans="1:13" ht="14.4" customHeight="1" x14ac:dyDescent="0.25">
      <c r="A43" s="427" t="s">
        <v>303</v>
      </c>
    </row>
    <row r="44" spans="1:13" ht="14.4" customHeight="1" x14ac:dyDescent="0.25">
      <c r="A44" s="426" t="s">
        <v>304</v>
      </c>
    </row>
    <row r="45" spans="1:13" ht="14.4" customHeight="1" x14ac:dyDescent="0.25">
      <c r="A45" s="427" t="s">
        <v>305</v>
      </c>
    </row>
    <row r="46" spans="1:13" ht="14.4" customHeight="1" x14ac:dyDescent="0.3">
      <c r="A46" s="227" t="s">
        <v>267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1" t="s">
        <v>102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</row>
    <row r="2" spans="1:13" ht="14.4" customHeight="1" x14ac:dyDescent="0.3">
      <c r="A2" s="360" t="s">
        <v>306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9"/>
      <c r="C3" s="349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9"/>
      <c r="C4" s="349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9"/>
      <c r="C5" s="349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9"/>
      <c r="C6" s="349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9"/>
      <c r="C7" s="349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9"/>
      <c r="C8" s="349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9"/>
      <c r="C9" s="349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9"/>
      <c r="C10" s="349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9"/>
      <c r="C11" s="349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9"/>
      <c r="C12" s="349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9"/>
      <c r="C13" s="349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9"/>
      <c r="C14" s="349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9"/>
      <c r="C15" s="349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9"/>
      <c r="C16" s="349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9"/>
      <c r="C17" s="349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9"/>
      <c r="C18" s="349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9"/>
      <c r="C19" s="349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9"/>
      <c r="C20" s="349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9"/>
      <c r="C21" s="349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9"/>
      <c r="C22" s="349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9"/>
      <c r="C23" s="349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9"/>
      <c r="C24" s="349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9"/>
      <c r="C25" s="349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9"/>
      <c r="C26" s="349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9"/>
      <c r="C27" s="349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9"/>
      <c r="C28" s="349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9"/>
      <c r="C29" s="349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9"/>
      <c r="C30" s="349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2" t="s">
        <v>70</v>
      </c>
      <c r="C31" s="543"/>
      <c r="D31" s="543"/>
      <c r="E31" s="544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0"/>
      <c r="H32" s="350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1299.6199999999999</v>
      </c>
      <c r="C33" s="188">
        <v>1306</v>
      </c>
      <c r="D33" s="75">
        <f>IF(C33="","",C33-B33)</f>
        <v>6.3800000000001091</v>
      </c>
      <c r="E33" s="76">
        <f>IF(C33="","",C33/B33)</f>
        <v>1.0049091272833599</v>
      </c>
      <c r="F33" s="77">
        <v>181.23</v>
      </c>
      <c r="G33" s="350">
        <v>0</v>
      </c>
      <c r="H33" s="351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2754.29</v>
      </c>
      <c r="C34" s="189">
        <v>2642</v>
      </c>
      <c r="D34" s="78">
        <f t="shared" ref="D34:D45" si="0">IF(C34="","",C34-B34)</f>
        <v>-112.28999999999996</v>
      </c>
      <c r="E34" s="79">
        <f t="shared" ref="E34:E45" si="1">IF(C34="","",C34/B34)</f>
        <v>0.95923087256606965</v>
      </c>
      <c r="F34" s="80">
        <v>333.5</v>
      </c>
      <c r="G34" s="350">
        <v>1</v>
      </c>
      <c r="H34" s="351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3943.23</v>
      </c>
      <c r="C35" s="189">
        <v>3800</v>
      </c>
      <c r="D35" s="78">
        <f t="shared" si="0"/>
        <v>-143.23000000000002</v>
      </c>
      <c r="E35" s="79">
        <f t="shared" si="1"/>
        <v>0.96367698561838899</v>
      </c>
      <c r="F35" s="80">
        <v>503.06</v>
      </c>
      <c r="G35" s="352"/>
      <c r="H35" s="352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5472.64</v>
      </c>
      <c r="C36" s="189">
        <v>5222</v>
      </c>
      <c r="D36" s="78">
        <f t="shared" si="0"/>
        <v>-250.64000000000033</v>
      </c>
      <c r="E36" s="79">
        <f t="shared" si="1"/>
        <v>0.95420126301017416</v>
      </c>
      <c r="F36" s="80">
        <v>651.95000000000005</v>
      </c>
      <c r="G36" s="352"/>
      <c r="H36" s="352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7355.28</v>
      </c>
      <c r="C37" s="189">
        <v>6886</v>
      </c>
      <c r="D37" s="78">
        <f t="shared" si="0"/>
        <v>-469.27999999999975</v>
      </c>
      <c r="E37" s="79">
        <f t="shared" si="1"/>
        <v>0.93619821407206794</v>
      </c>
      <c r="F37" s="80">
        <v>770.1</v>
      </c>
      <c r="G37" s="352"/>
      <c r="H37" s="352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>
        <v>9290.4699999999993</v>
      </c>
      <c r="C38" s="189">
        <v>8687</v>
      </c>
      <c r="D38" s="78">
        <f t="shared" si="0"/>
        <v>-603.46999999999935</v>
      </c>
      <c r="E38" s="79">
        <f t="shared" si="1"/>
        <v>0.93504419044461695</v>
      </c>
      <c r="F38" s="80">
        <v>991.72</v>
      </c>
      <c r="G38" s="352"/>
      <c r="H38" s="352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>
        <v>11138.2</v>
      </c>
      <c r="C39" s="189">
        <v>10348</v>
      </c>
      <c r="D39" s="78">
        <f t="shared" si="0"/>
        <v>-790.20000000000073</v>
      </c>
      <c r="E39" s="79">
        <f t="shared" si="1"/>
        <v>0.92905496399777332</v>
      </c>
      <c r="F39" s="80">
        <v>1137.82</v>
      </c>
      <c r="G39" s="352"/>
      <c r="H39" s="352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2"/>
      <c r="H40" s="352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2"/>
      <c r="H41" s="352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2"/>
      <c r="H42" s="352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2"/>
      <c r="H43" s="352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2"/>
      <c r="H44" s="352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2"/>
      <c r="H45" s="352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1" t="s">
        <v>136</v>
      </c>
      <c r="B1" s="451"/>
      <c r="C1" s="452"/>
      <c r="D1" s="452"/>
      <c r="E1" s="452"/>
    </row>
    <row r="2" spans="1:5" ht="14.4" customHeight="1" thickBot="1" x14ac:dyDescent="0.35">
      <c r="A2" s="360" t="s">
        <v>306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32735.470404915941</v>
      </c>
      <c r="D4" s="269">
        <f ca="1">IF(ISERROR(VLOOKUP("Náklady celkem",INDIRECT("HI!$A:$G"),5,0)),0,VLOOKUP("Náklady celkem",INDIRECT("HI!$A:$G"),5,0))</f>
        <v>36002.386440000017</v>
      </c>
      <c r="E4" s="270">
        <f ca="1">IF(C4=0,0,D4/C4)</f>
        <v>1.0997974366848713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1502.4138596200837</v>
      </c>
      <c r="D7" s="277">
        <f>IF(ISERROR(HI!E5),"",HI!E5)</f>
        <v>1521.8170299999999</v>
      </c>
      <c r="E7" s="274">
        <f t="shared" ref="E7:E13" si="0">IF(C7=0,0,D7/C7)</f>
        <v>1.012914664129112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76" t="s">
        <v>167</v>
      </c>
      <c r="C8" s="278">
        <v>0.9</v>
      </c>
      <c r="D8" s="278">
        <f>IF(ISERROR(VLOOKUP("celkem",'LŽ PL'!$A:$F,5,0)),0,VLOOKUP("celkem",'LŽ PL'!$A:$F,5,0))</f>
        <v>0.88830633270635162</v>
      </c>
      <c r="E8" s="274">
        <f t="shared" si="0"/>
        <v>0.98700703634039066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278</v>
      </c>
      <c r="C9" s="441">
        <v>0.3</v>
      </c>
      <c r="D9" s="441">
        <f>IF('LŽ Statim'!G3="",0,'LŽ Statim'!G3)</f>
        <v>0.11086474501108648</v>
      </c>
      <c r="E9" s="274">
        <f>IF(C9=0,0,D9/C9)</f>
        <v>0.36954915003695493</v>
      </c>
    </row>
    <row r="10" spans="1:5" ht="14.4" customHeight="1" x14ac:dyDescent="0.3">
      <c r="A10" s="279" t="s">
        <v>170</v>
      </c>
      <c r="B10" s="276"/>
      <c r="C10" s="277"/>
      <c r="D10" s="277"/>
      <c r="E10" s="274"/>
    </row>
    <row r="11" spans="1:5" ht="14.4" customHeight="1" x14ac:dyDescent="0.3">
      <c r="A11" s="279" t="s">
        <v>171</v>
      </c>
      <c r="B11" s="276"/>
      <c r="C11" s="277"/>
      <c r="D11" s="277"/>
      <c r="E11" s="274"/>
    </row>
    <row r="12" spans="1:5" ht="14.4" customHeight="1" x14ac:dyDescent="0.3">
      <c r="A12" s="280" t="s">
        <v>175</v>
      </c>
      <c r="B12" s="276"/>
      <c r="C12" s="273"/>
      <c r="D12" s="273"/>
      <c r="E12" s="274"/>
    </row>
    <row r="13" spans="1:5" ht="14.4" customHeight="1" x14ac:dyDescent="0.3">
      <c r="A13" s="2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2541.8720144967824</v>
      </c>
      <c r="D13" s="277">
        <f>IF(ISERROR(HI!E6),"",HI!E6)</f>
        <v>2853.5839300000011</v>
      </c>
      <c r="E13" s="274">
        <f t="shared" si="0"/>
        <v>1.1226308459770855</v>
      </c>
    </row>
    <row r="14" spans="1:5" ht="14.4" customHeight="1" thickBot="1" x14ac:dyDescent="0.35">
      <c r="A14" s="282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23745.749286994607</v>
      </c>
      <c r="D14" s="273">
        <f ca="1">IF(ISERROR(VLOOKUP("Osobní náklady (Kč) *",INDIRECT("HI!$A:$G"),5,0)),0,VLOOKUP("Osobní náklady (Kč) *",INDIRECT("HI!$A:$G"),5,0))</f>
        <v>26248.992400000003</v>
      </c>
      <c r="E14" s="274">
        <f ca="1">IF(C14=0,0,D14/C14)</f>
        <v>1.105418577563118</v>
      </c>
    </row>
    <row r="15" spans="1:5" ht="14.4" customHeight="1" thickBot="1" x14ac:dyDescent="0.35">
      <c r="A15" s="286"/>
      <c r="B15" s="287"/>
      <c r="C15" s="288"/>
      <c r="D15" s="288"/>
      <c r="E15" s="289"/>
    </row>
    <row r="16" spans="1:5" ht="14.4" customHeight="1" thickBot="1" x14ac:dyDescent="0.35">
      <c r="A16" s="290" t="str">
        <f>HYPERLINK("#HI!A1","VÝNOSY CELKEM (v tisících)")</f>
        <v>VÝNOSY CELKEM (v tisících)</v>
      </c>
      <c r="B16" s="291"/>
      <c r="C16" s="292">
        <f ca="1">IF(ISERROR(VLOOKUP("Výnosy celkem",INDIRECT("HI!$A:$G"),6,0)),0,VLOOKUP("Výnosy celkem",INDIRECT("HI!$A:$G"),6,0))</f>
        <v>34672.800000000003</v>
      </c>
      <c r="D16" s="292">
        <f ca="1">IF(ISERROR(VLOOKUP("Výnosy celkem",INDIRECT("HI!$A:$G"),5,0)),0,VLOOKUP("Výnosy celkem",INDIRECT("HI!$A:$G"),5,0))</f>
        <v>41790.39</v>
      </c>
      <c r="E16" s="293">
        <f t="shared" ref="E16:E25" ca="1" si="1">IF(C16=0,0,D16/C16)</f>
        <v>1.205278777600886</v>
      </c>
    </row>
    <row r="17" spans="1:5" ht="14.4" customHeight="1" x14ac:dyDescent="0.3">
      <c r="A17" s="294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5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8">
        <v>0.85</v>
      </c>
      <c r="D18" s="278">
        <f>IF(ISERROR(VLOOKUP("Celkem:",'ZV Vykáz.-H'!$A:$S,7,0)),"",VLOOKUP("Celkem:",'ZV Vykáz.-H'!$A:$S,7,0))</f>
        <v>0.98203651373850953</v>
      </c>
      <c r="E18" s="274">
        <f t="shared" si="1"/>
        <v>1.1553370749864817</v>
      </c>
    </row>
    <row r="19" spans="1:5" ht="14.4" customHeight="1" x14ac:dyDescent="0.3">
      <c r="A19" s="296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34672.800000000003</v>
      </c>
      <c r="D19" s="273">
        <f ca="1">IF(ISERROR(VLOOKUP("Hospitalizace *",INDIRECT("HI!$A:$G"),5,0)),0,VLOOKUP("Hospitalizace *",INDIRECT("HI!$A:$G"),5,0))</f>
        <v>41790.39</v>
      </c>
      <c r="E19" s="274">
        <f ca="1">IF(C19=0,0,D19/C19)</f>
        <v>1.205278777600886</v>
      </c>
    </row>
    <row r="20" spans="1:5" ht="14.4" customHeight="1" x14ac:dyDescent="0.3">
      <c r="A20" s="295" t="str">
        <f>HYPERLINK("#'CaseMix'!A1","Casemix (min. 100 %)")</f>
        <v>Casemix (min. 100 %)</v>
      </c>
      <c r="B20" s="276" t="s">
        <v>58</v>
      </c>
      <c r="C20" s="278">
        <v>1</v>
      </c>
      <c r="D20" s="278">
        <f>IF(ISERROR(VLOOKUP("Celkem",CaseMix!A:M,5,0)),0,VLOOKUP("Celkem",CaseMix!A:M,5,0))</f>
        <v>1.205278777600886</v>
      </c>
      <c r="E20" s="274">
        <f t="shared" si="1"/>
        <v>1.205278777600886</v>
      </c>
    </row>
    <row r="21" spans="1:5" ht="14.4" customHeight="1" x14ac:dyDescent="0.3">
      <c r="A21" s="297" t="str">
        <f>HYPERLINK("#'CaseMix'!A1","DRG mimo vyjmenované baze")</f>
        <v>DRG mimo vyjmenované baze</v>
      </c>
      <c r="B21" s="276" t="s">
        <v>58</v>
      </c>
      <c r="C21" s="278">
        <v>1</v>
      </c>
      <c r="D21" s="278">
        <f>IF(ISERROR(CaseMix!E26),"",CaseMix!E26)</f>
        <v>1.205278777600886</v>
      </c>
      <c r="E21" s="274">
        <f t="shared" si="1"/>
        <v>1.205278777600886</v>
      </c>
    </row>
    <row r="22" spans="1:5" ht="14.4" customHeight="1" x14ac:dyDescent="0.3">
      <c r="A22" s="297" t="str">
        <f>HYPERLINK("#'CaseMix'!A1","Vyjmenované baze DRG")</f>
        <v>Vyjmenované baze DRG</v>
      </c>
      <c r="B22" s="276" t="s">
        <v>58</v>
      </c>
      <c r="C22" s="278">
        <v>1</v>
      </c>
      <c r="D22" s="278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5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8">
        <v>0.95</v>
      </c>
      <c r="D23" s="278">
        <f>IF(ISERROR(CaseMix!I13),"",CaseMix!I13)</f>
        <v>1.0382882882882882</v>
      </c>
      <c r="E23" s="274">
        <f t="shared" si="1"/>
        <v>1.0929350403034614</v>
      </c>
    </row>
    <row r="24" spans="1:5" ht="14.4" customHeight="1" x14ac:dyDescent="0.3">
      <c r="A24" s="295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8">
        <v>1</v>
      </c>
      <c r="D24" s="298">
        <f>IF(ISERROR(INDEX(ALOS!$E:$E,COUNT(ALOS!$E:$E)+32)),0,INDEX(ALOS!$E:$E,COUNT(ALOS!$E:$E)+32))</f>
        <v>0.92905496399777332</v>
      </c>
      <c r="E24" s="274">
        <f t="shared" si="1"/>
        <v>0.92905496399777332</v>
      </c>
    </row>
    <row r="25" spans="1:5" ht="27.6" x14ac:dyDescent="0.3">
      <c r="A25" s="29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8">
        <f>IF(E20&gt;1,95%,95%-2*ABS(C20-D20))</f>
        <v>0.95</v>
      </c>
      <c r="D25" s="278">
        <f>IF(ISERROR(VLOOKUP("Celkem:",'ZV Vyžád.'!$A:$M,7,0)),"",VLOOKUP("Celkem:",'ZV Vyžád.'!$A:$M,7,0))</f>
        <v>0.98063512134373854</v>
      </c>
      <c r="E25" s="274">
        <f t="shared" si="1"/>
        <v>1.0322474961513037</v>
      </c>
    </row>
    <row r="26" spans="1:5" ht="14.4" customHeight="1" thickBot="1" x14ac:dyDescent="0.35">
      <c r="A26" s="300" t="s">
        <v>172</v>
      </c>
      <c r="B26" s="283"/>
      <c r="C26" s="284"/>
      <c r="D26" s="284"/>
      <c r="E26" s="285"/>
    </row>
    <row r="27" spans="1:5" ht="14.4" customHeight="1" thickBot="1" x14ac:dyDescent="0.35">
      <c r="A27" s="301"/>
      <c r="B27" s="302"/>
      <c r="C27" s="303"/>
      <c r="D27" s="303"/>
      <c r="E27" s="304"/>
    </row>
    <row r="28" spans="1:5" ht="14.4" customHeight="1" thickBot="1" x14ac:dyDescent="0.35">
      <c r="A28" s="305" t="s">
        <v>173</v>
      </c>
      <c r="B28" s="306"/>
      <c r="C28" s="307"/>
      <c r="D28" s="307"/>
      <c r="E28" s="308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2" customFormat="1" ht="18.600000000000001" customHeight="1" thickBot="1" x14ac:dyDescent="0.4">
      <c r="A1" s="505" t="s">
        <v>2033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</row>
    <row r="2" spans="1:23" ht="14.4" customHeight="1" thickBot="1" x14ac:dyDescent="0.35">
      <c r="A2" s="360" t="s">
        <v>306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3"/>
      <c r="Q2" s="353"/>
      <c r="R2" s="353"/>
      <c r="S2" s="354"/>
      <c r="T2" s="354"/>
      <c r="U2" s="354"/>
      <c r="V2" s="353"/>
      <c r="W2" s="355"/>
    </row>
    <row r="3" spans="1:23" s="85" customFormat="1" ht="14.4" customHeight="1" x14ac:dyDescent="0.3">
      <c r="A3" s="551" t="s">
        <v>62</v>
      </c>
      <c r="B3" s="552">
        <v>2013</v>
      </c>
      <c r="C3" s="553"/>
      <c r="D3" s="554"/>
      <c r="E3" s="552">
        <v>2014</v>
      </c>
      <c r="F3" s="553"/>
      <c r="G3" s="554"/>
      <c r="H3" s="552">
        <v>2015</v>
      </c>
      <c r="I3" s="553"/>
      <c r="J3" s="554"/>
      <c r="K3" s="555" t="s">
        <v>63</v>
      </c>
      <c r="L3" s="547" t="s">
        <v>64</v>
      </c>
      <c r="M3" s="547" t="s">
        <v>65</v>
      </c>
      <c r="N3" s="547" t="s">
        <v>66</v>
      </c>
      <c r="O3" s="252" t="s">
        <v>67</v>
      </c>
      <c r="P3" s="548" t="s">
        <v>68</v>
      </c>
      <c r="Q3" s="549" t="s">
        <v>69</v>
      </c>
      <c r="R3" s="550"/>
      <c r="S3" s="545" t="s">
        <v>70</v>
      </c>
      <c r="T3" s="546"/>
      <c r="U3" s="546"/>
      <c r="V3" s="546"/>
      <c r="W3" s="202" t="s">
        <v>70</v>
      </c>
    </row>
    <row r="4" spans="1:23" s="86" customFormat="1" ht="14.4" customHeight="1" thickBot="1" x14ac:dyDescent="0.35">
      <c r="A4" s="735"/>
      <c r="B4" s="736" t="s">
        <v>71</v>
      </c>
      <c r="C4" s="737" t="s">
        <v>59</v>
      </c>
      <c r="D4" s="738" t="s">
        <v>72</v>
      </c>
      <c r="E4" s="736" t="s">
        <v>71</v>
      </c>
      <c r="F4" s="737" t="s">
        <v>59</v>
      </c>
      <c r="G4" s="738" t="s">
        <v>72</v>
      </c>
      <c r="H4" s="736" t="s">
        <v>71</v>
      </c>
      <c r="I4" s="737" t="s">
        <v>59</v>
      </c>
      <c r="J4" s="738" t="s">
        <v>72</v>
      </c>
      <c r="K4" s="739"/>
      <c r="L4" s="740"/>
      <c r="M4" s="740"/>
      <c r="N4" s="740"/>
      <c r="O4" s="741"/>
      <c r="P4" s="742"/>
      <c r="Q4" s="743" t="s">
        <v>60</v>
      </c>
      <c r="R4" s="744" t="s">
        <v>59</v>
      </c>
      <c r="S4" s="745" t="s">
        <v>73</v>
      </c>
      <c r="T4" s="746" t="s">
        <v>74</v>
      </c>
      <c r="U4" s="746" t="s">
        <v>75</v>
      </c>
      <c r="V4" s="747" t="s">
        <v>2</v>
      </c>
      <c r="W4" s="748" t="s">
        <v>76</v>
      </c>
    </row>
    <row r="5" spans="1:23" ht="14.4" customHeight="1" x14ac:dyDescent="0.3">
      <c r="A5" s="775" t="s">
        <v>1960</v>
      </c>
      <c r="B5" s="378"/>
      <c r="C5" s="749"/>
      <c r="D5" s="750"/>
      <c r="E5" s="751">
        <v>1</v>
      </c>
      <c r="F5" s="752">
        <v>0.53</v>
      </c>
      <c r="G5" s="753">
        <v>3</v>
      </c>
      <c r="H5" s="754"/>
      <c r="I5" s="755"/>
      <c r="J5" s="756"/>
      <c r="K5" s="757">
        <v>0.53</v>
      </c>
      <c r="L5" s="754">
        <v>3</v>
      </c>
      <c r="M5" s="754">
        <v>23</v>
      </c>
      <c r="N5" s="758">
        <v>7.6</v>
      </c>
      <c r="O5" s="754" t="s">
        <v>1961</v>
      </c>
      <c r="P5" s="759" t="s">
        <v>1962</v>
      </c>
      <c r="Q5" s="760">
        <f>H5-B5</f>
        <v>0</v>
      </c>
      <c r="R5" s="760">
        <f>I5-C5</f>
        <v>0</v>
      </c>
      <c r="S5" s="378" t="str">
        <f>IF(H5=0,"",H5*N5)</f>
        <v/>
      </c>
      <c r="T5" s="378" t="str">
        <f>IF(H5=0,"",H5*J5)</f>
        <v/>
      </c>
      <c r="U5" s="378" t="str">
        <f>IF(H5=0,"",T5-S5)</f>
        <v/>
      </c>
      <c r="V5" s="761" t="str">
        <f>IF(H5=0,"",T5/S5)</f>
        <v/>
      </c>
      <c r="W5" s="762"/>
    </row>
    <row r="6" spans="1:23" ht="14.4" customHeight="1" x14ac:dyDescent="0.3">
      <c r="A6" s="776" t="s">
        <v>1963</v>
      </c>
      <c r="B6" s="728">
        <v>3</v>
      </c>
      <c r="C6" s="729">
        <v>0.36</v>
      </c>
      <c r="D6" s="730">
        <v>3.3</v>
      </c>
      <c r="E6" s="733"/>
      <c r="F6" s="714"/>
      <c r="G6" s="715"/>
      <c r="H6" s="710">
        <v>8</v>
      </c>
      <c r="I6" s="711">
        <v>0.96</v>
      </c>
      <c r="J6" s="720">
        <v>2.4</v>
      </c>
      <c r="K6" s="716">
        <v>0.12</v>
      </c>
      <c r="L6" s="713">
        <v>1</v>
      </c>
      <c r="M6" s="713">
        <v>5</v>
      </c>
      <c r="N6" s="717">
        <v>1.71</v>
      </c>
      <c r="O6" s="713" t="s">
        <v>1961</v>
      </c>
      <c r="P6" s="731" t="s">
        <v>1964</v>
      </c>
      <c r="Q6" s="718">
        <f t="shared" ref="Q6:R40" si="0">H6-B6</f>
        <v>5</v>
      </c>
      <c r="R6" s="718">
        <f t="shared" si="0"/>
        <v>0.6</v>
      </c>
      <c r="S6" s="728">
        <f t="shared" ref="S6:S40" si="1">IF(H6=0,"",H6*N6)</f>
        <v>13.68</v>
      </c>
      <c r="T6" s="728">
        <f t="shared" ref="T6:T40" si="2">IF(H6=0,"",H6*J6)</f>
        <v>19.2</v>
      </c>
      <c r="U6" s="728">
        <f t="shared" ref="U6:U40" si="3">IF(H6=0,"",T6-S6)</f>
        <v>5.52</v>
      </c>
      <c r="V6" s="732">
        <f t="shared" ref="V6:V40" si="4">IF(H6=0,"",T6/S6)</f>
        <v>1.4035087719298245</v>
      </c>
      <c r="W6" s="719">
        <v>6.03</v>
      </c>
    </row>
    <row r="7" spans="1:23" ht="14.4" customHeight="1" x14ac:dyDescent="0.3">
      <c r="A7" s="777" t="s">
        <v>1965</v>
      </c>
      <c r="B7" s="763">
        <v>1</v>
      </c>
      <c r="C7" s="764">
        <v>0.18</v>
      </c>
      <c r="D7" s="734">
        <v>3</v>
      </c>
      <c r="E7" s="765">
        <v>2</v>
      </c>
      <c r="F7" s="766">
        <v>0.36</v>
      </c>
      <c r="G7" s="721">
        <v>2</v>
      </c>
      <c r="H7" s="767">
        <v>5</v>
      </c>
      <c r="I7" s="768">
        <v>1.47</v>
      </c>
      <c r="J7" s="722">
        <v>3.4</v>
      </c>
      <c r="K7" s="769">
        <v>0.18</v>
      </c>
      <c r="L7" s="770">
        <v>1</v>
      </c>
      <c r="M7" s="770">
        <v>6</v>
      </c>
      <c r="N7" s="771">
        <v>1.93</v>
      </c>
      <c r="O7" s="770" t="s">
        <v>1961</v>
      </c>
      <c r="P7" s="772" t="s">
        <v>1966</v>
      </c>
      <c r="Q7" s="773">
        <f t="shared" si="0"/>
        <v>4</v>
      </c>
      <c r="R7" s="773">
        <f t="shared" si="0"/>
        <v>1.29</v>
      </c>
      <c r="S7" s="763">
        <f t="shared" si="1"/>
        <v>9.65</v>
      </c>
      <c r="T7" s="763">
        <f t="shared" si="2"/>
        <v>17</v>
      </c>
      <c r="U7" s="763">
        <f t="shared" si="3"/>
        <v>7.35</v>
      </c>
      <c r="V7" s="774">
        <f t="shared" si="4"/>
        <v>1.7616580310880829</v>
      </c>
      <c r="W7" s="723">
        <v>7.35</v>
      </c>
    </row>
    <row r="8" spans="1:23" ht="14.4" customHeight="1" x14ac:dyDescent="0.3">
      <c r="A8" s="777" t="s">
        <v>1967</v>
      </c>
      <c r="B8" s="763">
        <v>6</v>
      </c>
      <c r="C8" s="764">
        <v>3.32</v>
      </c>
      <c r="D8" s="734">
        <v>2.7</v>
      </c>
      <c r="E8" s="765">
        <v>2</v>
      </c>
      <c r="F8" s="766">
        <v>0.96</v>
      </c>
      <c r="G8" s="721">
        <v>2.5</v>
      </c>
      <c r="H8" s="767">
        <v>4</v>
      </c>
      <c r="I8" s="768">
        <v>1.39</v>
      </c>
      <c r="J8" s="722">
        <v>1.8</v>
      </c>
      <c r="K8" s="769">
        <v>0.31</v>
      </c>
      <c r="L8" s="770">
        <v>1</v>
      </c>
      <c r="M8" s="770">
        <v>5</v>
      </c>
      <c r="N8" s="771">
        <v>1.54</v>
      </c>
      <c r="O8" s="770" t="s">
        <v>1961</v>
      </c>
      <c r="P8" s="772" t="s">
        <v>1968</v>
      </c>
      <c r="Q8" s="773">
        <f t="shared" si="0"/>
        <v>-2</v>
      </c>
      <c r="R8" s="773">
        <f t="shared" si="0"/>
        <v>-1.93</v>
      </c>
      <c r="S8" s="763">
        <f t="shared" si="1"/>
        <v>6.16</v>
      </c>
      <c r="T8" s="763">
        <f t="shared" si="2"/>
        <v>7.2</v>
      </c>
      <c r="U8" s="763">
        <f t="shared" si="3"/>
        <v>1.04</v>
      </c>
      <c r="V8" s="774">
        <f t="shared" si="4"/>
        <v>1.1688311688311688</v>
      </c>
      <c r="W8" s="723">
        <v>1.38</v>
      </c>
    </row>
    <row r="9" spans="1:23" ht="14.4" customHeight="1" x14ac:dyDescent="0.3">
      <c r="A9" s="776" t="s">
        <v>1969</v>
      </c>
      <c r="B9" s="728">
        <v>2</v>
      </c>
      <c r="C9" s="729">
        <v>45.93</v>
      </c>
      <c r="D9" s="730">
        <v>16.5</v>
      </c>
      <c r="E9" s="710">
        <v>2</v>
      </c>
      <c r="F9" s="711">
        <v>76.22</v>
      </c>
      <c r="G9" s="712">
        <v>65.5</v>
      </c>
      <c r="H9" s="713">
        <v>1</v>
      </c>
      <c r="I9" s="714">
        <v>24.94</v>
      </c>
      <c r="J9" s="715">
        <v>18</v>
      </c>
      <c r="K9" s="716">
        <v>38.11</v>
      </c>
      <c r="L9" s="713">
        <v>28</v>
      </c>
      <c r="M9" s="713">
        <v>253</v>
      </c>
      <c r="N9" s="717">
        <v>84.26</v>
      </c>
      <c r="O9" s="713" t="s">
        <v>1961</v>
      </c>
      <c r="P9" s="731" t="s">
        <v>1970</v>
      </c>
      <c r="Q9" s="718">
        <f t="shared" si="0"/>
        <v>-1</v>
      </c>
      <c r="R9" s="718">
        <f t="shared" si="0"/>
        <v>-20.99</v>
      </c>
      <c r="S9" s="728">
        <f t="shared" si="1"/>
        <v>84.26</v>
      </c>
      <c r="T9" s="728">
        <f t="shared" si="2"/>
        <v>18</v>
      </c>
      <c r="U9" s="728">
        <f t="shared" si="3"/>
        <v>-66.260000000000005</v>
      </c>
      <c r="V9" s="732">
        <f t="shared" si="4"/>
        <v>0.21362449560882979</v>
      </c>
      <c r="W9" s="719"/>
    </row>
    <row r="10" spans="1:23" ht="14.4" customHeight="1" x14ac:dyDescent="0.3">
      <c r="A10" s="776" t="s">
        <v>1971</v>
      </c>
      <c r="B10" s="728">
        <v>2</v>
      </c>
      <c r="C10" s="729">
        <v>20.420000000000002</v>
      </c>
      <c r="D10" s="730">
        <v>36</v>
      </c>
      <c r="E10" s="733"/>
      <c r="F10" s="714"/>
      <c r="G10" s="715"/>
      <c r="H10" s="710"/>
      <c r="I10" s="711"/>
      <c r="J10" s="712"/>
      <c r="K10" s="716">
        <v>12.72</v>
      </c>
      <c r="L10" s="713">
        <v>9</v>
      </c>
      <c r="M10" s="713">
        <v>77</v>
      </c>
      <c r="N10" s="717">
        <v>25.67</v>
      </c>
      <c r="O10" s="713" t="s">
        <v>1961</v>
      </c>
      <c r="P10" s="731" t="s">
        <v>1972</v>
      </c>
      <c r="Q10" s="718">
        <f t="shared" si="0"/>
        <v>-2</v>
      </c>
      <c r="R10" s="718">
        <f t="shared" si="0"/>
        <v>-20.420000000000002</v>
      </c>
      <c r="S10" s="728" t="str">
        <f t="shared" si="1"/>
        <v/>
      </c>
      <c r="T10" s="728" t="str">
        <f t="shared" si="2"/>
        <v/>
      </c>
      <c r="U10" s="728" t="str">
        <f t="shared" si="3"/>
        <v/>
      </c>
      <c r="V10" s="732" t="str">
        <f t="shared" si="4"/>
        <v/>
      </c>
      <c r="W10" s="719"/>
    </row>
    <row r="11" spans="1:23" ht="14.4" customHeight="1" x14ac:dyDescent="0.3">
      <c r="A11" s="777" t="s">
        <v>1973</v>
      </c>
      <c r="B11" s="763">
        <v>12</v>
      </c>
      <c r="C11" s="764">
        <v>265.51</v>
      </c>
      <c r="D11" s="734">
        <v>79.599999999999994</v>
      </c>
      <c r="E11" s="765">
        <v>14</v>
      </c>
      <c r="F11" s="766">
        <v>309.51</v>
      </c>
      <c r="G11" s="721">
        <v>55.4</v>
      </c>
      <c r="H11" s="767">
        <v>17</v>
      </c>
      <c r="I11" s="768">
        <v>381.4</v>
      </c>
      <c r="J11" s="724">
        <v>65.7</v>
      </c>
      <c r="K11" s="769">
        <v>23.14</v>
      </c>
      <c r="L11" s="770">
        <v>22</v>
      </c>
      <c r="M11" s="770">
        <v>198</v>
      </c>
      <c r="N11" s="771">
        <v>65.87</v>
      </c>
      <c r="O11" s="770" t="s">
        <v>1961</v>
      </c>
      <c r="P11" s="772" t="s">
        <v>1974</v>
      </c>
      <c r="Q11" s="773">
        <f t="shared" si="0"/>
        <v>5</v>
      </c>
      <c r="R11" s="773">
        <f t="shared" si="0"/>
        <v>115.88999999999999</v>
      </c>
      <c r="S11" s="763">
        <f t="shared" si="1"/>
        <v>1119.79</v>
      </c>
      <c r="T11" s="763">
        <f t="shared" si="2"/>
        <v>1116.9000000000001</v>
      </c>
      <c r="U11" s="763">
        <f t="shared" si="3"/>
        <v>-2.8899999999998727</v>
      </c>
      <c r="V11" s="774">
        <f t="shared" si="4"/>
        <v>0.99741915894944599</v>
      </c>
      <c r="W11" s="723">
        <v>196.3</v>
      </c>
    </row>
    <row r="12" spans="1:23" ht="14.4" customHeight="1" x14ac:dyDescent="0.3">
      <c r="A12" s="776" t="s">
        <v>1975</v>
      </c>
      <c r="B12" s="728"/>
      <c r="C12" s="729"/>
      <c r="D12" s="730"/>
      <c r="E12" s="733">
        <v>1</v>
      </c>
      <c r="F12" s="714">
        <v>12.19</v>
      </c>
      <c r="G12" s="715">
        <v>17</v>
      </c>
      <c r="H12" s="710">
        <v>1</v>
      </c>
      <c r="I12" s="711">
        <v>12.13</v>
      </c>
      <c r="J12" s="720">
        <v>69</v>
      </c>
      <c r="K12" s="716">
        <v>12.13</v>
      </c>
      <c r="L12" s="713">
        <v>10</v>
      </c>
      <c r="M12" s="713">
        <v>92</v>
      </c>
      <c r="N12" s="717">
        <v>30.67</v>
      </c>
      <c r="O12" s="713" t="s">
        <v>1961</v>
      </c>
      <c r="P12" s="731" t="s">
        <v>1976</v>
      </c>
      <c r="Q12" s="718">
        <f t="shared" si="0"/>
        <v>1</v>
      </c>
      <c r="R12" s="718">
        <f t="shared" si="0"/>
        <v>12.13</v>
      </c>
      <c r="S12" s="728">
        <f t="shared" si="1"/>
        <v>30.67</v>
      </c>
      <c r="T12" s="728">
        <f t="shared" si="2"/>
        <v>69</v>
      </c>
      <c r="U12" s="728">
        <f t="shared" si="3"/>
        <v>38.33</v>
      </c>
      <c r="V12" s="732">
        <f t="shared" si="4"/>
        <v>2.2497554613628954</v>
      </c>
      <c r="W12" s="719">
        <v>38.33</v>
      </c>
    </row>
    <row r="13" spans="1:23" ht="14.4" customHeight="1" x14ac:dyDescent="0.3">
      <c r="A13" s="776" t="s">
        <v>1977</v>
      </c>
      <c r="B13" s="728">
        <v>4</v>
      </c>
      <c r="C13" s="729">
        <v>17.059999999999999</v>
      </c>
      <c r="D13" s="730">
        <v>37</v>
      </c>
      <c r="E13" s="733">
        <v>5</v>
      </c>
      <c r="F13" s="714">
        <v>21.2</v>
      </c>
      <c r="G13" s="715">
        <v>33.799999999999997</v>
      </c>
      <c r="H13" s="710">
        <v>2</v>
      </c>
      <c r="I13" s="711">
        <v>8.48</v>
      </c>
      <c r="J13" s="720">
        <v>27.5</v>
      </c>
      <c r="K13" s="716">
        <v>4.24</v>
      </c>
      <c r="L13" s="713">
        <v>9</v>
      </c>
      <c r="M13" s="713">
        <v>82</v>
      </c>
      <c r="N13" s="717">
        <v>27.28</v>
      </c>
      <c r="O13" s="713" t="s">
        <v>1961</v>
      </c>
      <c r="P13" s="731" t="s">
        <v>1978</v>
      </c>
      <c r="Q13" s="718">
        <f t="shared" si="0"/>
        <v>-2</v>
      </c>
      <c r="R13" s="718">
        <f t="shared" si="0"/>
        <v>-8.5799999999999983</v>
      </c>
      <c r="S13" s="728">
        <f t="shared" si="1"/>
        <v>54.56</v>
      </c>
      <c r="T13" s="728">
        <f t="shared" si="2"/>
        <v>55</v>
      </c>
      <c r="U13" s="728">
        <f t="shared" si="3"/>
        <v>0.43999999999999773</v>
      </c>
      <c r="V13" s="732">
        <f t="shared" si="4"/>
        <v>1.0080645161290323</v>
      </c>
      <c r="W13" s="719">
        <v>1.72</v>
      </c>
    </row>
    <row r="14" spans="1:23" ht="14.4" customHeight="1" x14ac:dyDescent="0.3">
      <c r="A14" s="777" t="s">
        <v>1979</v>
      </c>
      <c r="B14" s="763">
        <v>23</v>
      </c>
      <c r="C14" s="764">
        <v>227.17</v>
      </c>
      <c r="D14" s="734">
        <v>42.5</v>
      </c>
      <c r="E14" s="765">
        <v>19</v>
      </c>
      <c r="F14" s="766">
        <v>188.15</v>
      </c>
      <c r="G14" s="721">
        <v>43.8</v>
      </c>
      <c r="H14" s="767">
        <v>27</v>
      </c>
      <c r="I14" s="768">
        <v>256.12</v>
      </c>
      <c r="J14" s="724">
        <v>32.9</v>
      </c>
      <c r="K14" s="769">
        <v>9.8699999999999992</v>
      </c>
      <c r="L14" s="770">
        <v>14</v>
      </c>
      <c r="M14" s="770">
        <v>124</v>
      </c>
      <c r="N14" s="771">
        <v>41.33</v>
      </c>
      <c r="O14" s="770" t="s">
        <v>1961</v>
      </c>
      <c r="P14" s="772" t="s">
        <v>1980</v>
      </c>
      <c r="Q14" s="773">
        <f t="shared" si="0"/>
        <v>4</v>
      </c>
      <c r="R14" s="773">
        <f t="shared" si="0"/>
        <v>28.950000000000017</v>
      </c>
      <c r="S14" s="763">
        <f t="shared" si="1"/>
        <v>1115.9099999999999</v>
      </c>
      <c r="T14" s="763">
        <f t="shared" si="2"/>
        <v>888.3</v>
      </c>
      <c r="U14" s="763">
        <f t="shared" si="3"/>
        <v>-227.6099999999999</v>
      </c>
      <c r="V14" s="774">
        <f t="shared" si="4"/>
        <v>0.79603193805952099</v>
      </c>
      <c r="W14" s="723">
        <v>42.36</v>
      </c>
    </row>
    <row r="15" spans="1:23" ht="14.4" customHeight="1" x14ac:dyDescent="0.3">
      <c r="A15" s="776" t="s">
        <v>1981</v>
      </c>
      <c r="B15" s="728"/>
      <c r="C15" s="729"/>
      <c r="D15" s="730"/>
      <c r="E15" s="733"/>
      <c r="F15" s="714"/>
      <c r="G15" s="715"/>
      <c r="H15" s="710">
        <v>2</v>
      </c>
      <c r="I15" s="711">
        <v>37.1</v>
      </c>
      <c r="J15" s="712">
        <v>39</v>
      </c>
      <c r="K15" s="716">
        <v>18.55</v>
      </c>
      <c r="L15" s="713">
        <v>14</v>
      </c>
      <c r="M15" s="713">
        <v>126</v>
      </c>
      <c r="N15" s="717">
        <v>42.04</v>
      </c>
      <c r="O15" s="713" t="s">
        <v>1961</v>
      </c>
      <c r="P15" s="731" t="s">
        <v>1982</v>
      </c>
      <c r="Q15" s="718">
        <f t="shared" si="0"/>
        <v>2</v>
      </c>
      <c r="R15" s="718">
        <f t="shared" si="0"/>
        <v>37.1</v>
      </c>
      <c r="S15" s="728">
        <f t="shared" si="1"/>
        <v>84.08</v>
      </c>
      <c r="T15" s="728">
        <f t="shared" si="2"/>
        <v>78</v>
      </c>
      <c r="U15" s="728">
        <f t="shared" si="3"/>
        <v>-6.0799999999999983</v>
      </c>
      <c r="V15" s="732">
        <f t="shared" si="4"/>
        <v>0.92768791627021885</v>
      </c>
      <c r="W15" s="719">
        <v>4.96</v>
      </c>
    </row>
    <row r="16" spans="1:23" ht="14.4" customHeight="1" x14ac:dyDescent="0.3">
      <c r="A16" s="777" t="s">
        <v>1983</v>
      </c>
      <c r="B16" s="763"/>
      <c r="C16" s="764"/>
      <c r="D16" s="734"/>
      <c r="E16" s="765">
        <v>1</v>
      </c>
      <c r="F16" s="766">
        <v>18.55</v>
      </c>
      <c r="G16" s="721">
        <v>49</v>
      </c>
      <c r="H16" s="767"/>
      <c r="I16" s="768"/>
      <c r="J16" s="724"/>
      <c r="K16" s="769">
        <v>18.55</v>
      </c>
      <c r="L16" s="770">
        <v>14</v>
      </c>
      <c r="M16" s="770">
        <v>126</v>
      </c>
      <c r="N16" s="771">
        <v>42.04</v>
      </c>
      <c r="O16" s="770" t="s">
        <v>1961</v>
      </c>
      <c r="P16" s="772" t="s">
        <v>1984</v>
      </c>
      <c r="Q16" s="773">
        <f t="shared" si="0"/>
        <v>0</v>
      </c>
      <c r="R16" s="773">
        <f t="shared" si="0"/>
        <v>0</v>
      </c>
      <c r="S16" s="763" t="str">
        <f t="shared" si="1"/>
        <v/>
      </c>
      <c r="T16" s="763" t="str">
        <f t="shared" si="2"/>
        <v/>
      </c>
      <c r="U16" s="763" t="str">
        <f t="shared" si="3"/>
        <v/>
      </c>
      <c r="V16" s="774" t="str">
        <f t="shared" si="4"/>
        <v/>
      </c>
      <c r="W16" s="723"/>
    </row>
    <row r="17" spans="1:23" ht="14.4" customHeight="1" x14ac:dyDescent="0.3">
      <c r="A17" s="776" t="s">
        <v>1985</v>
      </c>
      <c r="B17" s="728">
        <v>3</v>
      </c>
      <c r="C17" s="729">
        <v>5.8</v>
      </c>
      <c r="D17" s="730">
        <v>16.7</v>
      </c>
      <c r="E17" s="733">
        <v>1</v>
      </c>
      <c r="F17" s="714">
        <v>1.93</v>
      </c>
      <c r="G17" s="715">
        <v>11</v>
      </c>
      <c r="H17" s="710">
        <v>4</v>
      </c>
      <c r="I17" s="711">
        <v>7.35</v>
      </c>
      <c r="J17" s="712">
        <v>11</v>
      </c>
      <c r="K17" s="716">
        <v>1.93</v>
      </c>
      <c r="L17" s="713">
        <v>5</v>
      </c>
      <c r="M17" s="713">
        <v>47</v>
      </c>
      <c r="N17" s="717">
        <v>15.59</v>
      </c>
      <c r="O17" s="713" t="s">
        <v>1961</v>
      </c>
      <c r="P17" s="731" t="s">
        <v>1986</v>
      </c>
      <c r="Q17" s="718">
        <f t="shared" si="0"/>
        <v>1</v>
      </c>
      <c r="R17" s="718">
        <f t="shared" si="0"/>
        <v>1.5499999999999998</v>
      </c>
      <c r="S17" s="728">
        <f t="shared" si="1"/>
        <v>62.36</v>
      </c>
      <c r="T17" s="728">
        <f t="shared" si="2"/>
        <v>44</v>
      </c>
      <c r="U17" s="728">
        <f t="shared" si="3"/>
        <v>-18.36</v>
      </c>
      <c r="V17" s="732">
        <f t="shared" si="4"/>
        <v>0.7055805003207184</v>
      </c>
      <c r="W17" s="719">
        <v>8.41</v>
      </c>
    </row>
    <row r="18" spans="1:23" ht="14.4" customHeight="1" x14ac:dyDescent="0.3">
      <c r="A18" s="777" t="s">
        <v>1987</v>
      </c>
      <c r="B18" s="763">
        <v>26</v>
      </c>
      <c r="C18" s="764">
        <v>66.12</v>
      </c>
      <c r="D18" s="734">
        <v>18.5</v>
      </c>
      <c r="E18" s="765">
        <v>17</v>
      </c>
      <c r="F18" s="766">
        <v>43.1</v>
      </c>
      <c r="G18" s="721">
        <v>17.399999999999999</v>
      </c>
      <c r="H18" s="767">
        <v>28</v>
      </c>
      <c r="I18" s="768">
        <v>70.5</v>
      </c>
      <c r="J18" s="724">
        <v>14.9</v>
      </c>
      <c r="K18" s="769">
        <v>2.56</v>
      </c>
      <c r="L18" s="770">
        <v>7</v>
      </c>
      <c r="M18" s="770">
        <v>59</v>
      </c>
      <c r="N18" s="771">
        <v>19.600000000000001</v>
      </c>
      <c r="O18" s="770" t="s">
        <v>1961</v>
      </c>
      <c r="P18" s="772" t="s">
        <v>1988</v>
      </c>
      <c r="Q18" s="773">
        <f t="shared" si="0"/>
        <v>2</v>
      </c>
      <c r="R18" s="773">
        <f t="shared" si="0"/>
        <v>4.3799999999999955</v>
      </c>
      <c r="S18" s="763">
        <f t="shared" si="1"/>
        <v>548.80000000000007</v>
      </c>
      <c r="T18" s="763">
        <f t="shared" si="2"/>
        <v>417.2</v>
      </c>
      <c r="U18" s="763">
        <f t="shared" si="3"/>
        <v>-131.60000000000008</v>
      </c>
      <c r="V18" s="774">
        <f t="shared" si="4"/>
        <v>0.76020408163265296</v>
      </c>
      <c r="W18" s="723">
        <v>30.4</v>
      </c>
    </row>
    <row r="19" spans="1:23" ht="14.4" customHeight="1" x14ac:dyDescent="0.3">
      <c r="A19" s="777" t="s">
        <v>1989</v>
      </c>
      <c r="B19" s="763">
        <v>20</v>
      </c>
      <c r="C19" s="764">
        <v>96.44</v>
      </c>
      <c r="D19" s="734">
        <v>23.8</v>
      </c>
      <c r="E19" s="765">
        <v>12</v>
      </c>
      <c r="F19" s="766">
        <v>61.36</v>
      </c>
      <c r="G19" s="721">
        <v>26.5</v>
      </c>
      <c r="H19" s="767">
        <v>25</v>
      </c>
      <c r="I19" s="768">
        <v>123.37</v>
      </c>
      <c r="J19" s="724">
        <v>26</v>
      </c>
      <c r="K19" s="769">
        <v>5</v>
      </c>
      <c r="L19" s="770">
        <v>9</v>
      </c>
      <c r="M19" s="770">
        <v>81</v>
      </c>
      <c r="N19" s="771">
        <v>27.09</v>
      </c>
      <c r="O19" s="770" t="s">
        <v>1961</v>
      </c>
      <c r="P19" s="772" t="s">
        <v>1990</v>
      </c>
      <c r="Q19" s="773">
        <f t="shared" si="0"/>
        <v>5</v>
      </c>
      <c r="R19" s="773">
        <f t="shared" si="0"/>
        <v>26.930000000000007</v>
      </c>
      <c r="S19" s="763">
        <f t="shared" si="1"/>
        <v>677.25</v>
      </c>
      <c r="T19" s="763">
        <f t="shared" si="2"/>
        <v>650</v>
      </c>
      <c r="U19" s="763">
        <f t="shared" si="3"/>
        <v>-27.25</v>
      </c>
      <c r="V19" s="774">
        <f t="shared" si="4"/>
        <v>0.95976375046142492</v>
      </c>
      <c r="W19" s="723">
        <v>131.01</v>
      </c>
    </row>
    <row r="20" spans="1:23" ht="14.4" customHeight="1" x14ac:dyDescent="0.3">
      <c r="A20" s="776" t="s">
        <v>1991</v>
      </c>
      <c r="B20" s="728">
        <v>27</v>
      </c>
      <c r="C20" s="729">
        <v>11.24</v>
      </c>
      <c r="D20" s="730">
        <v>5.5</v>
      </c>
      <c r="E20" s="733">
        <v>27</v>
      </c>
      <c r="F20" s="714">
        <v>11.24</v>
      </c>
      <c r="G20" s="715">
        <v>6</v>
      </c>
      <c r="H20" s="710">
        <v>25</v>
      </c>
      <c r="I20" s="711">
        <v>10.41</v>
      </c>
      <c r="J20" s="712">
        <v>6.7</v>
      </c>
      <c r="K20" s="716">
        <v>0.42</v>
      </c>
      <c r="L20" s="713">
        <v>2</v>
      </c>
      <c r="M20" s="713">
        <v>22</v>
      </c>
      <c r="N20" s="717">
        <v>7.28</v>
      </c>
      <c r="O20" s="713" t="s">
        <v>1961</v>
      </c>
      <c r="P20" s="731" t="s">
        <v>1992</v>
      </c>
      <c r="Q20" s="718">
        <f t="shared" si="0"/>
        <v>-2</v>
      </c>
      <c r="R20" s="718">
        <f t="shared" si="0"/>
        <v>-0.83000000000000007</v>
      </c>
      <c r="S20" s="728">
        <f t="shared" si="1"/>
        <v>182</v>
      </c>
      <c r="T20" s="728">
        <f t="shared" si="2"/>
        <v>167.5</v>
      </c>
      <c r="U20" s="728">
        <f t="shared" si="3"/>
        <v>-14.5</v>
      </c>
      <c r="V20" s="732">
        <f t="shared" si="4"/>
        <v>0.92032967032967028</v>
      </c>
      <c r="W20" s="719">
        <v>25.32</v>
      </c>
    </row>
    <row r="21" spans="1:23" ht="14.4" customHeight="1" x14ac:dyDescent="0.3">
      <c r="A21" s="777" t="s">
        <v>1993</v>
      </c>
      <c r="B21" s="763">
        <v>53</v>
      </c>
      <c r="C21" s="764">
        <v>53.61</v>
      </c>
      <c r="D21" s="734">
        <v>10.199999999999999</v>
      </c>
      <c r="E21" s="765">
        <v>49</v>
      </c>
      <c r="F21" s="766">
        <v>49.52</v>
      </c>
      <c r="G21" s="721">
        <v>11.4</v>
      </c>
      <c r="H21" s="767">
        <v>57</v>
      </c>
      <c r="I21" s="768">
        <v>57.61</v>
      </c>
      <c r="J21" s="724">
        <v>10</v>
      </c>
      <c r="K21" s="769">
        <v>1.01</v>
      </c>
      <c r="L21" s="770">
        <v>4</v>
      </c>
      <c r="M21" s="770">
        <v>33</v>
      </c>
      <c r="N21" s="771">
        <v>11.1</v>
      </c>
      <c r="O21" s="770" t="s">
        <v>1961</v>
      </c>
      <c r="P21" s="772" t="s">
        <v>1994</v>
      </c>
      <c r="Q21" s="773">
        <f t="shared" si="0"/>
        <v>4</v>
      </c>
      <c r="R21" s="773">
        <f t="shared" si="0"/>
        <v>4</v>
      </c>
      <c r="S21" s="763">
        <f t="shared" si="1"/>
        <v>632.69999999999993</v>
      </c>
      <c r="T21" s="763">
        <f t="shared" si="2"/>
        <v>570</v>
      </c>
      <c r="U21" s="763">
        <f t="shared" si="3"/>
        <v>-62.699999999999932</v>
      </c>
      <c r="V21" s="774">
        <f t="shared" si="4"/>
        <v>0.90090090090090102</v>
      </c>
      <c r="W21" s="723">
        <v>96.3</v>
      </c>
    </row>
    <row r="22" spans="1:23" ht="14.4" customHeight="1" x14ac:dyDescent="0.3">
      <c r="A22" s="777" t="s">
        <v>1995</v>
      </c>
      <c r="B22" s="763">
        <v>6</v>
      </c>
      <c r="C22" s="764">
        <v>16.989999999999998</v>
      </c>
      <c r="D22" s="734">
        <v>23.8</v>
      </c>
      <c r="E22" s="765">
        <v>15</v>
      </c>
      <c r="F22" s="766">
        <v>41.74</v>
      </c>
      <c r="G22" s="721">
        <v>18.5</v>
      </c>
      <c r="H22" s="767">
        <v>14</v>
      </c>
      <c r="I22" s="768">
        <v>38.99</v>
      </c>
      <c r="J22" s="722">
        <v>18.2</v>
      </c>
      <c r="K22" s="769">
        <v>2.76</v>
      </c>
      <c r="L22" s="770">
        <v>6</v>
      </c>
      <c r="M22" s="770">
        <v>51</v>
      </c>
      <c r="N22" s="771">
        <v>17.14</v>
      </c>
      <c r="O22" s="770" t="s">
        <v>1961</v>
      </c>
      <c r="P22" s="772" t="s">
        <v>1996</v>
      </c>
      <c r="Q22" s="773">
        <f t="shared" si="0"/>
        <v>8</v>
      </c>
      <c r="R22" s="773">
        <f t="shared" si="0"/>
        <v>22.000000000000004</v>
      </c>
      <c r="S22" s="763">
        <f t="shared" si="1"/>
        <v>239.96</v>
      </c>
      <c r="T22" s="763">
        <f t="shared" si="2"/>
        <v>254.79999999999998</v>
      </c>
      <c r="U22" s="763">
        <f t="shared" si="3"/>
        <v>14.839999999999975</v>
      </c>
      <c r="V22" s="774">
        <f t="shared" si="4"/>
        <v>1.0618436406067677</v>
      </c>
      <c r="W22" s="723">
        <v>53.02</v>
      </c>
    </row>
    <row r="23" spans="1:23" ht="14.4" customHeight="1" x14ac:dyDescent="0.3">
      <c r="A23" s="776" t="s">
        <v>1997</v>
      </c>
      <c r="B23" s="728">
        <v>2</v>
      </c>
      <c r="C23" s="729">
        <v>8.07</v>
      </c>
      <c r="D23" s="730">
        <v>20</v>
      </c>
      <c r="E23" s="733">
        <v>1</v>
      </c>
      <c r="F23" s="714">
        <v>4.04</v>
      </c>
      <c r="G23" s="715">
        <v>38</v>
      </c>
      <c r="H23" s="710"/>
      <c r="I23" s="711"/>
      <c r="J23" s="712"/>
      <c r="K23" s="716">
        <v>4.04</v>
      </c>
      <c r="L23" s="713">
        <v>5</v>
      </c>
      <c r="M23" s="713">
        <v>46</v>
      </c>
      <c r="N23" s="717">
        <v>15.3</v>
      </c>
      <c r="O23" s="713" t="s">
        <v>1961</v>
      </c>
      <c r="P23" s="731" t="s">
        <v>1998</v>
      </c>
      <c r="Q23" s="718">
        <f t="shared" si="0"/>
        <v>-2</v>
      </c>
      <c r="R23" s="718">
        <f t="shared" si="0"/>
        <v>-8.07</v>
      </c>
      <c r="S23" s="728" t="str">
        <f t="shared" si="1"/>
        <v/>
      </c>
      <c r="T23" s="728" t="str">
        <f t="shared" si="2"/>
        <v/>
      </c>
      <c r="U23" s="728" t="str">
        <f t="shared" si="3"/>
        <v/>
      </c>
      <c r="V23" s="732" t="str">
        <f t="shared" si="4"/>
        <v/>
      </c>
      <c r="W23" s="719"/>
    </row>
    <row r="24" spans="1:23" ht="14.4" customHeight="1" x14ac:dyDescent="0.3">
      <c r="A24" s="777" t="s">
        <v>1999</v>
      </c>
      <c r="B24" s="763"/>
      <c r="C24" s="764"/>
      <c r="D24" s="734"/>
      <c r="E24" s="765"/>
      <c r="F24" s="766"/>
      <c r="G24" s="721"/>
      <c r="H24" s="767">
        <v>2</v>
      </c>
      <c r="I24" s="768">
        <v>24</v>
      </c>
      <c r="J24" s="724">
        <v>26.5</v>
      </c>
      <c r="K24" s="769">
        <v>12</v>
      </c>
      <c r="L24" s="770">
        <v>11</v>
      </c>
      <c r="M24" s="770">
        <v>99</v>
      </c>
      <c r="N24" s="771">
        <v>33.119999999999997</v>
      </c>
      <c r="O24" s="770" t="s">
        <v>1961</v>
      </c>
      <c r="P24" s="772" t="s">
        <v>2000</v>
      </c>
      <c r="Q24" s="773">
        <f t="shared" si="0"/>
        <v>2</v>
      </c>
      <c r="R24" s="773">
        <f t="shared" si="0"/>
        <v>24</v>
      </c>
      <c r="S24" s="763">
        <f t="shared" si="1"/>
        <v>66.239999999999995</v>
      </c>
      <c r="T24" s="763">
        <f t="shared" si="2"/>
        <v>53</v>
      </c>
      <c r="U24" s="763">
        <f t="shared" si="3"/>
        <v>-13.239999999999995</v>
      </c>
      <c r="V24" s="774">
        <f t="shared" si="4"/>
        <v>0.80012077294686001</v>
      </c>
      <c r="W24" s="723"/>
    </row>
    <row r="25" spans="1:23" ht="14.4" customHeight="1" x14ac:dyDescent="0.3">
      <c r="A25" s="776" t="s">
        <v>2001</v>
      </c>
      <c r="B25" s="728">
        <v>7</v>
      </c>
      <c r="C25" s="729">
        <v>1.99</v>
      </c>
      <c r="D25" s="730">
        <v>4.9000000000000004</v>
      </c>
      <c r="E25" s="710">
        <v>8</v>
      </c>
      <c r="F25" s="711">
        <v>2.2799999999999998</v>
      </c>
      <c r="G25" s="712">
        <v>4.5</v>
      </c>
      <c r="H25" s="713">
        <v>5</v>
      </c>
      <c r="I25" s="714">
        <v>1.42</v>
      </c>
      <c r="J25" s="715">
        <v>4.5999999999999996</v>
      </c>
      <c r="K25" s="716">
        <v>0.28000000000000003</v>
      </c>
      <c r="L25" s="713">
        <v>2</v>
      </c>
      <c r="M25" s="713">
        <v>16</v>
      </c>
      <c r="N25" s="717">
        <v>5.19</v>
      </c>
      <c r="O25" s="713" t="s">
        <v>1961</v>
      </c>
      <c r="P25" s="731" t="s">
        <v>2002</v>
      </c>
      <c r="Q25" s="718">
        <f t="shared" si="0"/>
        <v>-2</v>
      </c>
      <c r="R25" s="718">
        <f t="shared" si="0"/>
        <v>-0.57000000000000006</v>
      </c>
      <c r="S25" s="728">
        <f t="shared" si="1"/>
        <v>25.950000000000003</v>
      </c>
      <c r="T25" s="728">
        <f t="shared" si="2"/>
        <v>23</v>
      </c>
      <c r="U25" s="728">
        <f t="shared" si="3"/>
        <v>-2.9500000000000028</v>
      </c>
      <c r="V25" s="732">
        <f t="shared" si="4"/>
        <v>0.88631984585741797</v>
      </c>
      <c r="W25" s="719">
        <v>0.81</v>
      </c>
    </row>
    <row r="26" spans="1:23" ht="14.4" customHeight="1" x14ac:dyDescent="0.3">
      <c r="A26" s="777" t="s">
        <v>2003</v>
      </c>
      <c r="B26" s="763">
        <v>6</v>
      </c>
      <c r="C26" s="764">
        <v>3.69</v>
      </c>
      <c r="D26" s="734">
        <v>5.7</v>
      </c>
      <c r="E26" s="767">
        <v>8</v>
      </c>
      <c r="F26" s="768">
        <v>5.37</v>
      </c>
      <c r="G26" s="724">
        <v>11.1</v>
      </c>
      <c r="H26" s="770">
        <v>9</v>
      </c>
      <c r="I26" s="766">
        <v>5.22</v>
      </c>
      <c r="J26" s="722">
        <v>7.3</v>
      </c>
      <c r="K26" s="769">
        <v>0.61</v>
      </c>
      <c r="L26" s="770">
        <v>2</v>
      </c>
      <c r="M26" s="770">
        <v>22</v>
      </c>
      <c r="N26" s="771">
        <v>7.17</v>
      </c>
      <c r="O26" s="770" t="s">
        <v>1961</v>
      </c>
      <c r="P26" s="772" t="s">
        <v>2004</v>
      </c>
      <c r="Q26" s="773">
        <f t="shared" si="0"/>
        <v>3</v>
      </c>
      <c r="R26" s="773">
        <f t="shared" si="0"/>
        <v>1.5299999999999998</v>
      </c>
      <c r="S26" s="763">
        <f t="shared" si="1"/>
        <v>64.53</v>
      </c>
      <c r="T26" s="763">
        <f t="shared" si="2"/>
        <v>65.7</v>
      </c>
      <c r="U26" s="763">
        <f t="shared" si="3"/>
        <v>1.1700000000000017</v>
      </c>
      <c r="V26" s="774">
        <f t="shared" si="4"/>
        <v>1.0181311018131103</v>
      </c>
      <c r="W26" s="723">
        <v>12.15</v>
      </c>
    </row>
    <row r="27" spans="1:23" ht="14.4" customHeight="1" x14ac:dyDescent="0.3">
      <c r="A27" s="777" t="s">
        <v>2005</v>
      </c>
      <c r="B27" s="763"/>
      <c r="C27" s="764"/>
      <c r="D27" s="734"/>
      <c r="E27" s="767">
        <v>1</v>
      </c>
      <c r="F27" s="768">
        <v>2.33</v>
      </c>
      <c r="G27" s="724">
        <v>11</v>
      </c>
      <c r="H27" s="770"/>
      <c r="I27" s="766"/>
      <c r="J27" s="721"/>
      <c r="K27" s="769">
        <v>2.33</v>
      </c>
      <c r="L27" s="770">
        <v>5</v>
      </c>
      <c r="M27" s="770">
        <v>42</v>
      </c>
      <c r="N27" s="771">
        <v>14.11</v>
      </c>
      <c r="O27" s="770" t="s">
        <v>1961</v>
      </c>
      <c r="P27" s="772" t="s">
        <v>2006</v>
      </c>
      <c r="Q27" s="773">
        <f t="shared" si="0"/>
        <v>0</v>
      </c>
      <c r="R27" s="773">
        <f t="shared" si="0"/>
        <v>0</v>
      </c>
      <c r="S27" s="763" t="str">
        <f t="shared" si="1"/>
        <v/>
      </c>
      <c r="T27" s="763" t="str">
        <f t="shared" si="2"/>
        <v/>
      </c>
      <c r="U27" s="763" t="str">
        <f t="shared" si="3"/>
        <v/>
      </c>
      <c r="V27" s="774" t="str">
        <f t="shared" si="4"/>
        <v/>
      </c>
      <c r="W27" s="723"/>
    </row>
    <row r="28" spans="1:23" ht="14.4" customHeight="1" x14ac:dyDescent="0.3">
      <c r="A28" s="776" t="s">
        <v>2007</v>
      </c>
      <c r="B28" s="728">
        <v>12</v>
      </c>
      <c r="C28" s="729">
        <v>32.64</v>
      </c>
      <c r="D28" s="730">
        <v>20.8</v>
      </c>
      <c r="E28" s="733">
        <v>7</v>
      </c>
      <c r="F28" s="714">
        <v>17.63</v>
      </c>
      <c r="G28" s="715">
        <v>13</v>
      </c>
      <c r="H28" s="710">
        <v>12</v>
      </c>
      <c r="I28" s="711">
        <v>31.77</v>
      </c>
      <c r="J28" s="720">
        <v>15.9</v>
      </c>
      <c r="K28" s="716">
        <v>2.52</v>
      </c>
      <c r="L28" s="713">
        <v>4</v>
      </c>
      <c r="M28" s="713">
        <v>37</v>
      </c>
      <c r="N28" s="717">
        <v>12.42</v>
      </c>
      <c r="O28" s="713" t="s">
        <v>1961</v>
      </c>
      <c r="P28" s="731" t="s">
        <v>2008</v>
      </c>
      <c r="Q28" s="718">
        <f t="shared" si="0"/>
        <v>0</v>
      </c>
      <c r="R28" s="718">
        <f t="shared" si="0"/>
        <v>-0.87000000000000099</v>
      </c>
      <c r="S28" s="728">
        <f t="shared" si="1"/>
        <v>149.04</v>
      </c>
      <c r="T28" s="728">
        <f t="shared" si="2"/>
        <v>190.8</v>
      </c>
      <c r="U28" s="728">
        <f t="shared" si="3"/>
        <v>41.760000000000019</v>
      </c>
      <c r="V28" s="732">
        <f t="shared" si="4"/>
        <v>1.280193236714976</v>
      </c>
      <c r="W28" s="719">
        <v>66.48</v>
      </c>
    </row>
    <row r="29" spans="1:23" ht="14.4" customHeight="1" x14ac:dyDescent="0.3">
      <c r="A29" s="776" t="s">
        <v>2009</v>
      </c>
      <c r="B29" s="725">
        <v>1</v>
      </c>
      <c r="C29" s="726">
        <v>1.3</v>
      </c>
      <c r="D29" s="727">
        <v>11</v>
      </c>
      <c r="E29" s="733"/>
      <c r="F29" s="714"/>
      <c r="G29" s="715"/>
      <c r="H29" s="713"/>
      <c r="I29" s="714"/>
      <c r="J29" s="715"/>
      <c r="K29" s="716">
        <v>1.3</v>
      </c>
      <c r="L29" s="713">
        <v>3</v>
      </c>
      <c r="M29" s="713">
        <v>25</v>
      </c>
      <c r="N29" s="717">
        <v>8.2100000000000009</v>
      </c>
      <c r="O29" s="713" t="s">
        <v>1961</v>
      </c>
      <c r="P29" s="731" t="s">
        <v>2010</v>
      </c>
      <c r="Q29" s="718">
        <f t="shared" si="0"/>
        <v>-1</v>
      </c>
      <c r="R29" s="718">
        <f t="shared" si="0"/>
        <v>-1.3</v>
      </c>
      <c r="S29" s="728" t="str">
        <f t="shared" si="1"/>
        <v/>
      </c>
      <c r="T29" s="728" t="str">
        <f t="shared" si="2"/>
        <v/>
      </c>
      <c r="U29" s="728" t="str">
        <f t="shared" si="3"/>
        <v/>
      </c>
      <c r="V29" s="732" t="str">
        <f t="shared" si="4"/>
        <v/>
      </c>
      <c r="W29" s="719"/>
    </row>
    <row r="30" spans="1:23" ht="14.4" customHeight="1" x14ac:dyDescent="0.3">
      <c r="A30" s="776" t="s">
        <v>2011</v>
      </c>
      <c r="B30" s="728">
        <v>3</v>
      </c>
      <c r="C30" s="729">
        <v>2.0299999999999998</v>
      </c>
      <c r="D30" s="730">
        <v>10</v>
      </c>
      <c r="E30" s="710"/>
      <c r="F30" s="711"/>
      <c r="G30" s="712"/>
      <c r="H30" s="713"/>
      <c r="I30" s="714"/>
      <c r="J30" s="715"/>
      <c r="K30" s="716">
        <v>0.68</v>
      </c>
      <c r="L30" s="713">
        <v>3</v>
      </c>
      <c r="M30" s="713">
        <v>26</v>
      </c>
      <c r="N30" s="717">
        <v>8.5299999999999994</v>
      </c>
      <c r="O30" s="713" t="s">
        <v>1961</v>
      </c>
      <c r="P30" s="731" t="s">
        <v>2012</v>
      </c>
      <c r="Q30" s="718">
        <f t="shared" si="0"/>
        <v>-3</v>
      </c>
      <c r="R30" s="718">
        <f t="shared" si="0"/>
        <v>-2.0299999999999998</v>
      </c>
      <c r="S30" s="728" t="str">
        <f t="shared" si="1"/>
        <v/>
      </c>
      <c r="T30" s="728" t="str">
        <f t="shared" si="2"/>
        <v/>
      </c>
      <c r="U30" s="728" t="str">
        <f t="shared" si="3"/>
        <v/>
      </c>
      <c r="V30" s="732" t="str">
        <f t="shared" si="4"/>
        <v/>
      </c>
      <c r="W30" s="719"/>
    </row>
    <row r="31" spans="1:23" ht="14.4" customHeight="1" x14ac:dyDescent="0.3">
      <c r="A31" s="777" t="s">
        <v>2013</v>
      </c>
      <c r="B31" s="763">
        <v>14</v>
      </c>
      <c r="C31" s="764">
        <v>9.48</v>
      </c>
      <c r="D31" s="734">
        <v>9.8000000000000007</v>
      </c>
      <c r="E31" s="767">
        <v>25</v>
      </c>
      <c r="F31" s="768">
        <v>17.8</v>
      </c>
      <c r="G31" s="724">
        <v>11.6</v>
      </c>
      <c r="H31" s="770">
        <v>14</v>
      </c>
      <c r="I31" s="766">
        <v>9.7200000000000006</v>
      </c>
      <c r="J31" s="722">
        <v>11.1</v>
      </c>
      <c r="K31" s="769">
        <v>0.68</v>
      </c>
      <c r="L31" s="770">
        <v>3</v>
      </c>
      <c r="M31" s="770">
        <v>26</v>
      </c>
      <c r="N31" s="771">
        <v>8.5299999999999994</v>
      </c>
      <c r="O31" s="770" t="s">
        <v>1961</v>
      </c>
      <c r="P31" s="772" t="s">
        <v>2014</v>
      </c>
      <c r="Q31" s="773">
        <f t="shared" si="0"/>
        <v>0</v>
      </c>
      <c r="R31" s="773">
        <f t="shared" si="0"/>
        <v>0.24000000000000021</v>
      </c>
      <c r="S31" s="763">
        <f t="shared" si="1"/>
        <v>119.41999999999999</v>
      </c>
      <c r="T31" s="763">
        <f t="shared" si="2"/>
        <v>155.4</v>
      </c>
      <c r="U31" s="763">
        <f t="shared" si="3"/>
        <v>35.980000000000018</v>
      </c>
      <c r="V31" s="774">
        <f t="shared" si="4"/>
        <v>1.3012895662368114</v>
      </c>
      <c r="W31" s="723">
        <v>44.17</v>
      </c>
    </row>
    <row r="32" spans="1:23" ht="14.4" customHeight="1" x14ac:dyDescent="0.3">
      <c r="A32" s="777" t="s">
        <v>2015</v>
      </c>
      <c r="B32" s="763">
        <v>2</v>
      </c>
      <c r="C32" s="764">
        <v>3</v>
      </c>
      <c r="D32" s="734">
        <v>14.5</v>
      </c>
      <c r="E32" s="767">
        <v>3</v>
      </c>
      <c r="F32" s="768">
        <v>4.62</v>
      </c>
      <c r="G32" s="724">
        <v>22.3</v>
      </c>
      <c r="H32" s="770">
        <v>8</v>
      </c>
      <c r="I32" s="766">
        <v>11.82</v>
      </c>
      <c r="J32" s="722">
        <v>14</v>
      </c>
      <c r="K32" s="769">
        <v>1.46</v>
      </c>
      <c r="L32" s="770">
        <v>4</v>
      </c>
      <c r="M32" s="770">
        <v>32</v>
      </c>
      <c r="N32" s="771">
        <v>10.57</v>
      </c>
      <c r="O32" s="770" t="s">
        <v>1961</v>
      </c>
      <c r="P32" s="772" t="s">
        <v>2016</v>
      </c>
      <c r="Q32" s="773">
        <f t="shared" si="0"/>
        <v>6</v>
      </c>
      <c r="R32" s="773">
        <f t="shared" si="0"/>
        <v>8.82</v>
      </c>
      <c r="S32" s="763">
        <f t="shared" si="1"/>
        <v>84.56</v>
      </c>
      <c r="T32" s="763">
        <f t="shared" si="2"/>
        <v>112</v>
      </c>
      <c r="U32" s="763">
        <f t="shared" si="3"/>
        <v>27.439999999999998</v>
      </c>
      <c r="V32" s="774">
        <f t="shared" si="4"/>
        <v>1.324503311258278</v>
      </c>
      <c r="W32" s="723">
        <v>32.15</v>
      </c>
    </row>
    <row r="33" spans="1:23" ht="14.4" customHeight="1" x14ac:dyDescent="0.3">
      <c r="A33" s="776" t="s">
        <v>2017</v>
      </c>
      <c r="B33" s="728">
        <v>757</v>
      </c>
      <c r="C33" s="729">
        <v>167.34</v>
      </c>
      <c r="D33" s="730">
        <v>4.7</v>
      </c>
      <c r="E33" s="710">
        <v>1000</v>
      </c>
      <c r="F33" s="711">
        <v>221.25</v>
      </c>
      <c r="G33" s="712">
        <v>4.5999999999999996</v>
      </c>
      <c r="H33" s="713">
        <v>708</v>
      </c>
      <c r="I33" s="714">
        <v>156.28</v>
      </c>
      <c r="J33" s="715">
        <v>4.5</v>
      </c>
      <c r="K33" s="716">
        <v>0.22</v>
      </c>
      <c r="L33" s="713">
        <v>2</v>
      </c>
      <c r="M33" s="713">
        <v>15</v>
      </c>
      <c r="N33" s="717">
        <v>4.8600000000000003</v>
      </c>
      <c r="O33" s="713" t="s">
        <v>1961</v>
      </c>
      <c r="P33" s="731" t="s">
        <v>2018</v>
      </c>
      <c r="Q33" s="718">
        <f t="shared" si="0"/>
        <v>-49</v>
      </c>
      <c r="R33" s="718">
        <f t="shared" si="0"/>
        <v>-11.060000000000002</v>
      </c>
      <c r="S33" s="728">
        <f t="shared" si="1"/>
        <v>3440.88</v>
      </c>
      <c r="T33" s="728">
        <f t="shared" si="2"/>
        <v>3186</v>
      </c>
      <c r="U33" s="728">
        <f t="shared" si="3"/>
        <v>-254.88000000000011</v>
      </c>
      <c r="V33" s="732">
        <f t="shared" si="4"/>
        <v>0.92592592592592593</v>
      </c>
      <c r="W33" s="719">
        <v>119.22</v>
      </c>
    </row>
    <row r="34" spans="1:23" ht="14.4" customHeight="1" x14ac:dyDescent="0.3">
      <c r="A34" s="777" t="s">
        <v>2019</v>
      </c>
      <c r="B34" s="763">
        <v>306</v>
      </c>
      <c r="C34" s="764">
        <v>83.1</v>
      </c>
      <c r="D34" s="734">
        <v>5.6</v>
      </c>
      <c r="E34" s="767">
        <v>200</v>
      </c>
      <c r="F34" s="768">
        <v>53.89</v>
      </c>
      <c r="G34" s="724">
        <v>5.6</v>
      </c>
      <c r="H34" s="770">
        <v>335</v>
      </c>
      <c r="I34" s="766">
        <v>90.35</v>
      </c>
      <c r="J34" s="721">
        <v>5.0999999999999996</v>
      </c>
      <c r="K34" s="769">
        <v>0.27</v>
      </c>
      <c r="L34" s="770">
        <v>2</v>
      </c>
      <c r="M34" s="770">
        <v>17</v>
      </c>
      <c r="N34" s="771">
        <v>5.73</v>
      </c>
      <c r="O34" s="770" t="s">
        <v>1961</v>
      </c>
      <c r="P34" s="772" t="s">
        <v>2020</v>
      </c>
      <c r="Q34" s="773">
        <f t="shared" si="0"/>
        <v>29</v>
      </c>
      <c r="R34" s="773">
        <f t="shared" si="0"/>
        <v>7.25</v>
      </c>
      <c r="S34" s="763">
        <f t="shared" si="1"/>
        <v>1919.5500000000002</v>
      </c>
      <c r="T34" s="763">
        <f t="shared" si="2"/>
        <v>1708.4999999999998</v>
      </c>
      <c r="U34" s="763">
        <f t="shared" si="3"/>
        <v>-211.05000000000041</v>
      </c>
      <c r="V34" s="774">
        <f t="shared" si="4"/>
        <v>0.89005235602094224</v>
      </c>
      <c r="W34" s="723">
        <v>118.79</v>
      </c>
    </row>
    <row r="35" spans="1:23" ht="14.4" customHeight="1" x14ac:dyDescent="0.3">
      <c r="A35" s="777" t="s">
        <v>2021</v>
      </c>
      <c r="B35" s="763">
        <v>26</v>
      </c>
      <c r="C35" s="764">
        <v>9.73</v>
      </c>
      <c r="D35" s="734">
        <v>5.6</v>
      </c>
      <c r="E35" s="767">
        <v>21</v>
      </c>
      <c r="F35" s="768">
        <v>7.41</v>
      </c>
      <c r="G35" s="724">
        <v>6.3</v>
      </c>
      <c r="H35" s="770">
        <v>59</v>
      </c>
      <c r="I35" s="766">
        <v>22.02</v>
      </c>
      <c r="J35" s="721">
        <v>5.8</v>
      </c>
      <c r="K35" s="769">
        <v>0.35</v>
      </c>
      <c r="L35" s="770">
        <v>2</v>
      </c>
      <c r="M35" s="770">
        <v>18</v>
      </c>
      <c r="N35" s="771">
        <v>6.07</v>
      </c>
      <c r="O35" s="770" t="s">
        <v>1961</v>
      </c>
      <c r="P35" s="772" t="s">
        <v>2022</v>
      </c>
      <c r="Q35" s="773">
        <f t="shared" si="0"/>
        <v>33</v>
      </c>
      <c r="R35" s="773">
        <f t="shared" si="0"/>
        <v>12.29</v>
      </c>
      <c r="S35" s="763">
        <f t="shared" si="1"/>
        <v>358.13</v>
      </c>
      <c r="T35" s="763">
        <f t="shared" si="2"/>
        <v>342.2</v>
      </c>
      <c r="U35" s="763">
        <f t="shared" si="3"/>
        <v>-15.930000000000007</v>
      </c>
      <c r="V35" s="774">
        <f t="shared" si="4"/>
        <v>0.95551894563426687</v>
      </c>
      <c r="W35" s="723">
        <v>41.58</v>
      </c>
    </row>
    <row r="36" spans="1:23" ht="14.4" customHeight="1" x14ac:dyDescent="0.3">
      <c r="A36" s="776" t="s">
        <v>2023</v>
      </c>
      <c r="B36" s="728"/>
      <c r="C36" s="729"/>
      <c r="D36" s="730"/>
      <c r="E36" s="733"/>
      <c r="F36" s="714"/>
      <c r="G36" s="715"/>
      <c r="H36" s="710">
        <v>1</v>
      </c>
      <c r="I36" s="711">
        <v>5.27</v>
      </c>
      <c r="J36" s="720">
        <v>70</v>
      </c>
      <c r="K36" s="716">
        <v>2.17</v>
      </c>
      <c r="L36" s="713">
        <v>4</v>
      </c>
      <c r="M36" s="713">
        <v>38</v>
      </c>
      <c r="N36" s="717">
        <v>12.74</v>
      </c>
      <c r="O36" s="713" t="s">
        <v>1961</v>
      </c>
      <c r="P36" s="731" t="s">
        <v>2024</v>
      </c>
      <c r="Q36" s="718">
        <f t="shared" si="0"/>
        <v>1</v>
      </c>
      <c r="R36" s="718">
        <f t="shared" si="0"/>
        <v>5.27</v>
      </c>
      <c r="S36" s="728">
        <f t="shared" si="1"/>
        <v>12.74</v>
      </c>
      <c r="T36" s="728">
        <f t="shared" si="2"/>
        <v>70</v>
      </c>
      <c r="U36" s="728">
        <f t="shared" si="3"/>
        <v>57.26</v>
      </c>
      <c r="V36" s="732">
        <f t="shared" si="4"/>
        <v>5.4945054945054945</v>
      </c>
      <c r="W36" s="719">
        <v>57.26</v>
      </c>
    </row>
    <row r="37" spans="1:23" ht="14.4" customHeight="1" x14ac:dyDescent="0.3">
      <c r="A37" s="776" t="s">
        <v>2025</v>
      </c>
      <c r="B37" s="728">
        <v>4</v>
      </c>
      <c r="C37" s="729">
        <v>1.03</v>
      </c>
      <c r="D37" s="730">
        <v>2.8</v>
      </c>
      <c r="E37" s="733">
        <v>7</v>
      </c>
      <c r="F37" s="714">
        <v>1.8</v>
      </c>
      <c r="G37" s="715">
        <v>2.1</v>
      </c>
      <c r="H37" s="710">
        <v>8</v>
      </c>
      <c r="I37" s="711">
        <v>2.0499999999999998</v>
      </c>
      <c r="J37" s="712">
        <v>2.4</v>
      </c>
      <c r="K37" s="716">
        <v>0.26</v>
      </c>
      <c r="L37" s="713">
        <v>1</v>
      </c>
      <c r="M37" s="713">
        <v>9</v>
      </c>
      <c r="N37" s="717">
        <v>2.83</v>
      </c>
      <c r="O37" s="713" t="s">
        <v>1961</v>
      </c>
      <c r="P37" s="731" t="s">
        <v>2026</v>
      </c>
      <c r="Q37" s="718">
        <f t="shared" si="0"/>
        <v>4</v>
      </c>
      <c r="R37" s="718">
        <f t="shared" si="0"/>
        <v>1.0199999999999998</v>
      </c>
      <c r="S37" s="728">
        <f t="shared" si="1"/>
        <v>22.64</v>
      </c>
      <c r="T37" s="728">
        <f t="shared" si="2"/>
        <v>19.2</v>
      </c>
      <c r="U37" s="728">
        <f t="shared" si="3"/>
        <v>-3.4400000000000013</v>
      </c>
      <c r="V37" s="732">
        <f t="shared" si="4"/>
        <v>0.84805653710247342</v>
      </c>
      <c r="W37" s="719">
        <v>1.34</v>
      </c>
    </row>
    <row r="38" spans="1:23" ht="14.4" customHeight="1" x14ac:dyDescent="0.3">
      <c r="A38" s="777" t="s">
        <v>2027</v>
      </c>
      <c r="B38" s="763">
        <v>2</v>
      </c>
      <c r="C38" s="764">
        <v>2.13</v>
      </c>
      <c r="D38" s="734">
        <v>26.5</v>
      </c>
      <c r="E38" s="765">
        <v>1</v>
      </c>
      <c r="F38" s="766">
        <v>0.85</v>
      </c>
      <c r="G38" s="721">
        <v>11</v>
      </c>
      <c r="H38" s="767">
        <v>1</v>
      </c>
      <c r="I38" s="768">
        <v>0.85</v>
      </c>
      <c r="J38" s="724">
        <v>7</v>
      </c>
      <c r="K38" s="769">
        <v>0.85</v>
      </c>
      <c r="L38" s="770">
        <v>3</v>
      </c>
      <c r="M38" s="770">
        <v>23</v>
      </c>
      <c r="N38" s="771">
        <v>7.67</v>
      </c>
      <c r="O38" s="770" t="s">
        <v>1961</v>
      </c>
      <c r="P38" s="772" t="s">
        <v>2028</v>
      </c>
      <c r="Q38" s="773">
        <f t="shared" si="0"/>
        <v>-1</v>
      </c>
      <c r="R38" s="773">
        <f t="shared" si="0"/>
        <v>-1.2799999999999998</v>
      </c>
      <c r="S38" s="763">
        <f t="shared" si="1"/>
        <v>7.67</v>
      </c>
      <c r="T38" s="763">
        <f t="shared" si="2"/>
        <v>7</v>
      </c>
      <c r="U38" s="763">
        <f t="shared" si="3"/>
        <v>-0.66999999999999993</v>
      </c>
      <c r="V38" s="774">
        <f t="shared" si="4"/>
        <v>0.91264667535853983</v>
      </c>
      <c r="W38" s="723"/>
    </row>
    <row r="39" spans="1:23" ht="14.4" customHeight="1" x14ac:dyDescent="0.3">
      <c r="A39" s="776" t="s">
        <v>2029</v>
      </c>
      <c r="B39" s="728"/>
      <c r="C39" s="729"/>
      <c r="D39" s="730"/>
      <c r="E39" s="733"/>
      <c r="F39" s="714"/>
      <c r="G39" s="715"/>
      <c r="H39" s="710">
        <v>1</v>
      </c>
      <c r="I39" s="711">
        <v>0.11</v>
      </c>
      <c r="J39" s="720">
        <v>6</v>
      </c>
      <c r="K39" s="716">
        <v>0.11</v>
      </c>
      <c r="L39" s="713">
        <v>2</v>
      </c>
      <c r="M39" s="713">
        <v>15</v>
      </c>
      <c r="N39" s="717">
        <v>5.0199999999999996</v>
      </c>
      <c r="O39" s="713" t="s">
        <v>1961</v>
      </c>
      <c r="P39" s="731" t="s">
        <v>2030</v>
      </c>
      <c r="Q39" s="718">
        <f t="shared" si="0"/>
        <v>1</v>
      </c>
      <c r="R39" s="718">
        <f t="shared" si="0"/>
        <v>0.11</v>
      </c>
      <c r="S39" s="728">
        <f t="shared" si="1"/>
        <v>5.0199999999999996</v>
      </c>
      <c r="T39" s="728">
        <f t="shared" si="2"/>
        <v>6</v>
      </c>
      <c r="U39" s="728">
        <f t="shared" si="3"/>
        <v>0.98000000000000043</v>
      </c>
      <c r="V39" s="732">
        <f t="shared" si="4"/>
        <v>1.1952191235059761</v>
      </c>
      <c r="W39" s="719">
        <v>0.98</v>
      </c>
    </row>
    <row r="40" spans="1:23" ht="14.4" customHeight="1" thickBot="1" x14ac:dyDescent="0.35">
      <c r="A40" s="778" t="s">
        <v>2031</v>
      </c>
      <c r="B40" s="779">
        <v>2</v>
      </c>
      <c r="C40" s="780">
        <v>0.22</v>
      </c>
      <c r="D40" s="781">
        <v>7.5</v>
      </c>
      <c r="E40" s="782">
        <v>1</v>
      </c>
      <c r="F40" s="783">
        <v>0</v>
      </c>
      <c r="G40" s="784">
        <v>5</v>
      </c>
      <c r="H40" s="785"/>
      <c r="I40" s="783"/>
      <c r="J40" s="784"/>
      <c r="K40" s="786">
        <v>0.11</v>
      </c>
      <c r="L40" s="785">
        <v>2</v>
      </c>
      <c r="M40" s="785">
        <v>14</v>
      </c>
      <c r="N40" s="787">
        <v>4.79</v>
      </c>
      <c r="O40" s="785" t="s">
        <v>1961</v>
      </c>
      <c r="P40" s="788" t="s">
        <v>2032</v>
      </c>
      <c r="Q40" s="789">
        <f t="shared" si="0"/>
        <v>-2</v>
      </c>
      <c r="R40" s="789">
        <f t="shared" si="0"/>
        <v>-0.22</v>
      </c>
      <c r="S40" s="790" t="str">
        <f t="shared" si="1"/>
        <v/>
      </c>
      <c r="T40" s="790" t="str">
        <f t="shared" si="2"/>
        <v/>
      </c>
      <c r="U40" s="790" t="str">
        <f t="shared" si="3"/>
        <v/>
      </c>
      <c r="V40" s="791" t="str">
        <f t="shared" si="4"/>
        <v/>
      </c>
      <c r="W40" s="79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1:Q1048576">
    <cfRule type="cellIs" dxfId="12" priority="9" stopIfTrue="1" operator="lessThan">
      <formula>0</formula>
    </cfRule>
  </conditionalFormatting>
  <conditionalFormatting sqref="U41:U1048576">
    <cfRule type="cellIs" dxfId="11" priority="8" stopIfTrue="1" operator="greaterThan">
      <formula>0</formula>
    </cfRule>
  </conditionalFormatting>
  <conditionalFormatting sqref="V41:V1048576">
    <cfRule type="cellIs" dxfId="10" priority="7" stopIfTrue="1" operator="greaterThan">
      <formula>1</formula>
    </cfRule>
  </conditionalFormatting>
  <conditionalFormatting sqref="V41:V1048576">
    <cfRule type="cellIs" dxfId="9" priority="4" stopIfTrue="1" operator="greaterThan">
      <formula>1</formula>
    </cfRule>
  </conditionalFormatting>
  <conditionalFormatting sqref="U41:U1048576">
    <cfRule type="cellIs" dxfId="8" priority="5" stopIfTrue="1" operator="greaterThan">
      <formula>0</formula>
    </cfRule>
  </conditionalFormatting>
  <conditionalFormatting sqref="Q41:Q1048576">
    <cfRule type="cellIs" dxfId="7" priority="6" stopIfTrue="1" operator="lessThan">
      <formula>0</formula>
    </cfRule>
  </conditionalFormatting>
  <conditionalFormatting sqref="V5:V40">
    <cfRule type="cellIs" dxfId="6" priority="1" stopIfTrue="1" operator="greaterThan">
      <formula>1</formula>
    </cfRule>
  </conditionalFormatting>
  <conditionalFormatting sqref="U5:U40">
    <cfRule type="cellIs" dxfId="5" priority="2" stopIfTrue="1" operator="greaterThan">
      <formula>0</formula>
    </cfRule>
  </conditionalFormatting>
  <conditionalFormatting sqref="Q5:Q4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1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1" customWidth="1"/>
    <col min="14" max="16384" width="8.88671875" style="238"/>
  </cols>
  <sheetData>
    <row r="1" spans="1:13" ht="18.600000000000001" customHeight="1" thickBot="1" x14ac:dyDescent="0.4">
      <c r="A1" s="460" t="s">
        <v>141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14.4" customHeight="1" thickBot="1" x14ac:dyDescent="0.35">
      <c r="A2" s="360" t="s">
        <v>306</v>
      </c>
      <c r="B2" s="333"/>
      <c r="C2" s="208"/>
      <c r="D2" s="333"/>
      <c r="E2" s="208"/>
      <c r="F2" s="333"/>
      <c r="G2" s="334"/>
      <c r="H2" s="333"/>
      <c r="I2" s="208"/>
      <c r="J2" s="333"/>
      <c r="K2" s="208"/>
      <c r="L2" s="333"/>
      <c r="M2" s="334"/>
    </row>
    <row r="3" spans="1:13" ht="14.4" customHeight="1" thickBot="1" x14ac:dyDescent="0.35">
      <c r="A3" s="327" t="s">
        <v>142</v>
      </c>
      <c r="B3" s="328">
        <f>SUBTOTAL(9,B6:B1048576)</f>
        <v>3136503</v>
      </c>
      <c r="C3" s="329">
        <f t="shared" ref="C3:L3" si="0">SUBTOTAL(9,C6:C1048576)</f>
        <v>9</v>
      </c>
      <c r="D3" s="329">
        <f t="shared" si="0"/>
        <v>3067851</v>
      </c>
      <c r="E3" s="329">
        <f t="shared" si="0"/>
        <v>14.87860728512606</v>
      </c>
      <c r="F3" s="329">
        <f t="shared" si="0"/>
        <v>3075765</v>
      </c>
      <c r="G3" s="332">
        <f>IF(B3&lt;&gt;0,F3/B3,"")</f>
        <v>0.98063512134373854</v>
      </c>
      <c r="H3" s="328">
        <f t="shared" si="0"/>
        <v>824.35</v>
      </c>
      <c r="I3" s="329">
        <f t="shared" si="0"/>
        <v>1</v>
      </c>
      <c r="J3" s="329">
        <f t="shared" si="0"/>
        <v>37659.590000000011</v>
      </c>
      <c r="K3" s="329">
        <f t="shared" si="0"/>
        <v>45.683981318614677</v>
      </c>
      <c r="L3" s="329">
        <f t="shared" si="0"/>
        <v>2669.17</v>
      </c>
      <c r="M3" s="330">
        <f>IF(H3&lt;&gt;0,L3/H3,"")</f>
        <v>3.2379086553041789</v>
      </c>
    </row>
    <row r="4" spans="1:13" ht="14.4" customHeight="1" x14ac:dyDescent="0.3">
      <c r="A4" s="556" t="s">
        <v>105</v>
      </c>
      <c r="B4" s="510" t="s">
        <v>110</v>
      </c>
      <c r="C4" s="511"/>
      <c r="D4" s="511"/>
      <c r="E4" s="511"/>
      <c r="F4" s="511"/>
      <c r="G4" s="512"/>
      <c r="H4" s="510" t="s">
        <v>111</v>
      </c>
      <c r="I4" s="511"/>
      <c r="J4" s="511"/>
      <c r="K4" s="511"/>
      <c r="L4" s="511"/>
      <c r="M4" s="512"/>
    </row>
    <row r="5" spans="1:13" s="319" customFormat="1" ht="14.4" customHeight="1" thickBot="1" x14ac:dyDescent="0.35">
      <c r="A5" s="793"/>
      <c r="B5" s="794">
        <v>2013</v>
      </c>
      <c r="C5" s="795"/>
      <c r="D5" s="795">
        <v>2014</v>
      </c>
      <c r="E5" s="795"/>
      <c r="F5" s="795">
        <v>2015</v>
      </c>
      <c r="G5" s="697" t="s">
        <v>2</v>
      </c>
      <c r="H5" s="794">
        <v>2013</v>
      </c>
      <c r="I5" s="795"/>
      <c r="J5" s="795">
        <v>2014</v>
      </c>
      <c r="K5" s="795"/>
      <c r="L5" s="795">
        <v>2015</v>
      </c>
      <c r="M5" s="697" t="s">
        <v>2</v>
      </c>
    </row>
    <row r="6" spans="1:13" ht="14.4" customHeight="1" x14ac:dyDescent="0.3">
      <c r="A6" s="636" t="s">
        <v>1779</v>
      </c>
      <c r="B6" s="698">
        <v>126</v>
      </c>
      <c r="C6" s="605">
        <v>1</v>
      </c>
      <c r="D6" s="698"/>
      <c r="E6" s="605"/>
      <c r="F6" s="698"/>
      <c r="G6" s="626"/>
      <c r="H6" s="698"/>
      <c r="I6" s="605"/>
      <c r="J6" s="698"/>
      <c r="K6" s="605"/>
      <c r="L6" s="698"/>
      <c r="M6" s="649"/>
    </row>
    <row r="7" spans="1:13" ht="14.4" customHeight="1" x14ac:dyDescent="0.3">
      <c r="A7" s="637" t="s">
        <v>2034</v>
      </c>
      <c r="B7" s="796">
        <v>43784</v>
      </c>
      <c r="C7" s="611">
        <v>1</v>
      </c>
      <c r="D7" s="796">
        <v>204740</v>
      </c>
      <c r="E7" s="611">
        <v>4.6761374017906085</v>
      </c>
      <c r="F7" s="796">
        <v>277021</v>
      </c>
      <c r="G7" s="627">
        <v>6.3269915951032338</v>
      </c>
      <c r="H7" s="796"/>
      <c r="I7" s="611"/>
      <c r="J7" s="796"/>
      <c r="K7" s="611"/>
      <c r="L7" s="796"/>
      <c r="M7" s="650"/>
    </row>
    <row r="8" spans="1:13" ht="14.4" customHeight="1" x14ac:dyDescent="0.3">
      <c r="A8" s="637" t="s">
        <v>2035</v>
      </c>
      <c r="B8" s="796">
        <v>118051</v>
      </c>
      <c r="C8" s="611">
        <v>1</v>
      </c>
      <c r="D8" s="796">
        <v>123458</v>
      </c>
      <c r="E8" s="611">
        <v>1.0458022380157728</v>
      </c>
      <c r="F8" s="796">
        <v>165758</v>
      </c>
      <c r="G8" s="627">
        <v>1.4041219472939661</v>
      </c>
      <c r="H8" s="796"/>
      <c r="I8" s="611"/>
      <c r="J8" s="796"/>
      <c r="K8" s="611"/>
      <c r="L8" s="796"/>
      <c r="M8" s="650"/>
    </row>
    <row r="9" spans="1:13" ht="14.4" customHeight="1" x14ac:dyDescent="0.3">
      <c r="A9" s="637" t="s">
        <v>2036</v>
      </c>
      <c r="B9" s="796">
        <v>1610449</v>
      </c>
      <c r="C9" s="611">
        <v>1</v>
      </c>
      <c r="D9" s="796">
        <v>1335404</v>
      </c>
      <c r="E9" s="611">
        <v>0.82921222590718491</v>
      </c>
      <c r="F9" s="796">
        <v>1191742</v>
      </c>
      <c r="G9" s="627">
        <v>0.74000604800276193</v>
      </c>
      <c r="H9" s="796"/>
      <c r="I9" s="611"/>
      <c r="J9" s="796"/>
      <c r="K9" s="611"/>
      <c r="L9" s="796"/>
      <c r="M9" s="650"/>
    </row>
    <row r="10" spans="1:13" ht="14.4" customHeight="1" x14ac:dyDescent="0.3">
      <c r="A10" s="637" t="s">
        <v>2037</v>
      </c>
      <c r="B10" s="796">
        <v>203513</v>
      </c>
      <c r="C10" s="611">
        <v>1</v>
      </c>
      <c r="D10" s="796">
        <v>145338</v>
      </c>
      <c r="E10" s="611">
        <v>0.71414602506965152</v>
      </c>
      <c r="F10" s="796">
        <v>158566</v>
      </c>
      <c r="G10" s="627">
        <v>0.77914432984625059</v>
      </c>
      <c r="H10" s="796">
        <v>824.35</v>
      </c>
      <c r="I10" s="611">
        <v>1</v>
      </c>
      <c r="J10" s="796">
        <v>37659.590000000011</v>
      </c>
      <c r="K10" s="611">
        <v>45.683981318614677</v>
      </c>
      <c r="L10" s="796">
        <v>2669.17</v>
      </c>
      <c r="M10" s="650">
        <v>3.2379086553041789</v>
      </c>
    </row>
    <row r="11" spans="1:13" ht="14.4" customHeight="1" x14ac:dyDescent="0.3">
      <c r="A11" s="637" t="s">
        <v>2038</v>
      </c>
      <c r="B11" s="796">
        <v>772076</v>
      </c>
      <c r="C11" s="611">
        <v>1</v>
      </c>
      <c r="D11" s="796">
        <v>826042</v>
      </c>
      <c r="E11" s="611">
        <v>1.0698972639999171</v>
      </c>
      <c r="F11" s="796">
        <v>797581</v>
      </c>
      <c r="G11" s="627">
        <v>1.0330343126842436</v>
      </c>
      <c r="H11" s="796"/>
      <c r="I11" s="611"/>
      <c r="J11" s="796"/>
      <c r="K11" s="611"/>
      <c r="L11" s="796"/>
      <c r="M11" s="650"/>
    </row>
    <row r="12" spans="1:13" ht="14.4" customHeight="1" x14ac:dyDescent="0.3">
      <c r="A12" s="637" t="s">
        <v>2039</v>
      </c>
      <c r="B12" s="796">
        <v>31538</v>
      </c>
      <c r="C12" s="611">
        <v>1</v>
      </c>
      <c r="D12" s="796">
        <v>31497</v>
      </c>
      <c r="E12" s="611">
        <v>0.9986999809753313</v>
      </c>
      <c r="F12" s="796">
        <v>52133</v>
      </c>
      <c r="G12" s="627">
        <v>1.6530217515378274</v>
      </c>
      <c r="H12" s="796"/>
      <c r="I12" s="611"/>
      <c r="J12" s="796"/>
      <c r="K12" s="611"/>
      <c r="L12" s="796"/>
      <c r="M12" s="650"/>
    </row>
    <row r="13" spans="1:13" ht="14.4" customHeight="1" x14ac:dyDescent="0.3">
      <c r="A13" s="637" t="s">
        <v>2040</v>
      </c>
      <c r="B13" s="796">
        <v>345076</v>
      </c>
      <c r="C13" s="611">
        <v>1</v>
      </c>
      <c r="D13" s="796">
        <v>347416</v>
      </c>
      <c r="E13" s="611">
        <v>1.0067811148848369</v>
      </c>
      <c r="F13" s="796">
        <v>332902</v>
      </c>
      <c r="G13" s="627">
        <v>0.96472081512478414</v>
      </c>
      <c r="H13" s="796"/>
      <c r="I13" s="611"/>
      <c r="J13" s="796"/>
      <c r="K13" s="611"/>
      <c r="L13" s="796"/>
      <c r="M13" s="650"/>
    </row>
    <row r="14" spans="1:13" ht="14.4" customHeight="1" thickBot="1" x14ac:dyDescent="0.35">
      <c r="A14" s="700" t="s">
        <v>2041</v>
      </c>
      <c r="B14" s="699">
        <v>11890</v>
      </c>
      <c r="C14" s="617">
        <v>1</v>
      </c>
      <c r="D14" s="699">
        <v>53956</v>
      </c>
      <c r="E14" s="617">
        <v>4.5379310344827584</v>
      </c>
      <c r="F14" s="699">
        <v>100062</v>
      </c>
      <c r="G14" s="628">
        <v>8.4156433978132892</v>
      </c>
      <c r="H14" s="699"/>
      <c r="I14" s="617"/>
      <c r="J14" s="699"/>
      <c r="K14" s="617"/>
      <c r="L14" s="699"/>
      <c r="M14" s="65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8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8" customWidth="1"/>
    <col min="8" max="9" width="9.33203125" style="318" hidden="1" customWidth="1"/>
    <col min="10" max="11" width="11.109375" style="318" customWidth="1"/>
    <col min="12" max="13" width="9.33203125" style="318" hidden="1" customWidth="1"/>
    <col min="14" max="15" width="11.109375" style="318" customWidth="1"/>
    <col min="16" max="16" width="11.109375" style="321" customWidth="1"/>
    <col min="17" max="17" width="11.109375" style="318" customWidth="1"/>
    <col min="18" max="16384" width="8.88671875" style="238"/>
  </cols>
  <sheetData>
    <row r="1" spans="1:17" ht="18.600000000000001" customHeight="1" thickBot="1" x14ac:dyDescent="0.4">
      <c r="A1" s="460" t="s">
        <v>2583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ht="14.4" customHeight="1" thickBot="1" x14ac:dyDescent="0.35">
      <c r="A2" s="360" t="s">
        <v>306</v>
      </c>
      <c r="B2" s="208"/>
      <c r="C2" s="208"/>
      <c r="D2" s="208"/>
      <c r="E2" s="208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4"/>
      <c r="Q2" s="337"/>
    </row>
    <row r="3" spans="1:17" ht="14.4" customHeight="1" thickBot="1" x14ac:dyDescent="0.35">
      <c r="E3" s="97" t="s">
        <v>142</v>
      </c>
      <c r="F3" s="195">
        <f t="shared" ref="F3:O3" si="0">SUBTOTAL(9,F6:F1048576)</f>
        <v>31786.240000000002</v>
      </c>
      <c r="G3" s="199">
        <f t="shared" si="0"/>
        <v>3137327.35</v>
      </c>
      <c r="H3" s="200"/>
      <c r="I3" s="200"/>
      <c r="J3" s="195">
        <f t="shared" si="0"/>
        <v>25611.48</v>
      </c>
      <c r="K3" s="199">
        <f t="shared" si="0"/>
        <v>3105510.5900000008</v>
      </c>
      <c r="L3" s="200"/>
      <c r="M3" s="200"/>
      <c r="N3" s="195">
        <f t="shared" si="0"/>
        <v>22405.77</v>
      </c>
      <c r="O3" s="199">
        <f t="shared" si="0"/>
        <v>3078434.17</v>
      </c>
      <c r="P3" s="166">
        <f>IF(G3=0,"",O3/G3)</f>
        <v>0.98122823236791012</v>
      </c>
      <c r="Q3" s="197">
        <f>IF(N3=0,"",O3/N3)</f>
        <v>137.39470547095681</v>
      </c>
    </row>
    <row r="4" spans="1:17" ht="14.4" customHeight="1" x14ac:dyDescent="0.3">
      <c r="A4" s="515" t="s">
        <v>61</v>
      </c>
      <c r="B4" s="514" t="s">
        <v>106</v>
      </c>
      <c r="C4" s="515" t="s">
        <v>107</v>
      </c>
      <c r="D4" s="519" t="s">
        <v>77</v>
      </c>
      <c r="E4" s="516" t="s">
        <v>11</v>
      </c>
      <c r="F4" s="517">
        <v>2013</v>
      </c>
      <c r="G4" s="518"/>
      <c r="H4" s="198"/>
      <c r="I4" s="198"/>
      <c r="J4" s="517">
        <v>2014</v>
      </c>
      <c r="K4" s="518"/>
      <c r="L4" s="198"/>
      <c r="M4" s="198"/>
      <c r="N4" s="517">
        <v>2015</v>
      </c>
      <c r="O4" s="518"/>
      <c r="P4" s="520" t="s">
        <v>2</v>
      </c>
      <c r="Q4" s="513" t="s">
        <v>109</v>
      </c>
    </row>
    <row r="5" spans="1:17" ht="14.4" customHeight="1" thickBot="1" x14ac:dyDescent="0.35">
      <c r="A5" s="701"/>
      <c r="B5" s="702"/>
      <c r="C5" s="701"/>
      <c r="D5" s="703"/>
      <c r="E5" s="704"/>
      <c r="F5" s="705" t="s">
        <v>78</v>
      </c>
      <c r="G5" s="706" t="s">
        <v>14</v>
      </c>
      <c r="H5" s="707"/>
      <c r="I5" s="707"/>
      <c r="J5" s="705" t="s">
        <v>78</v>
      </c>
      <c r="K5" s="706" t="s">
        <v>14</v>
      </c>
      <c r="L5" s="707"/>
      <c r="M5" s="707"/>
      <c r="N5" s="705" t="s">
        <v>78</v>
      </c>
      <c r="O5" s="706" t="s">
        <v>14</v>
      </c>
      <c r="P5" s="708"/>
      <c r="Q5" s="709"/>
    </row>
    <row r="6" spans="1:17" ht="14.4" customHeight="1" x14ac:dyDescent="0.3">
      <c r="A6" s="604" t="s">
        <v>1780</v>
      </c>
      <c r="B6" s="605" t="s">
        <v>2042</v>
      </c>
      <c r="C6" s="605" t="s">
        <v>1782</v>
      </c>
      <c r="D6" s="605" t="s">
        <v>2043</v>
      </c>
      <c r="E6" s="605" t="s">
        <v>2044</v>
      </c>
      <c r="F6" s="608">
        <v>2</v>
      </c>
      <c r="G6" s="608">
        <v>126</v>
      </c>
      <c r="H6" s="608">
        <v>1</v>
      </c>
      <c r="I6" s="608">
        <v>63</v>
      </c>
      <c r="J6" s="608"/>
      <c r="K6" s="608"/>
      <c r="L6" s="608"/>
      <c r="M6" s="608"/>
      <c r="N6" s="608"/>
      <c r="O6" s="608"/>
      <c r="P6" s="626"/>
      <c r="Q6" s="609"/>
    </row>
    <row r="7" spans="1:17" ht="14.4" customHeight="1" x14ac:dyDescent="0.3">
      <c r="A7" s="610" t="s">
        <v>2045</v>
      </c>
      <c r="B7" s="611" t="s">
        <v>2046</v>
      </c>
      <c r="C7" s="611" t="s">
        <v>1782</v>
      </c>
      <c r="D7" s="611" t="s">
        <v>2047</v>
      </c>
      <c r="E7" s="611" t="s">
        <v>2048</v>
      </c>
      <c r="F7" s="614">
        <v>1</v>
      </c>
      <c r="G7" s="614">
        <v>297</v>
      </c>
      <c r="H7" s="614">
        <v>1</v>
      </c>
      <c r="I7" s="614">
        <v>297</v>
      </c>
      <c r="J7" s="614">
        <v>5</v>
      </c>
      <c r="K7" s="614">
        <v>1497</v>
      </c>
      <c r="L7" s="614">
        <v>5.0404040404040407</v>
      </c>
      <c r="M7" s="614">
        <v>299.39999999999998</v>
      </c>
      <c r="N7" s="614">
        <v>7</v>
      </c>
      <c r="O7" s="614">
        <v>2121</v>
      </c>
      <c r="P7" s="627">
        <v>7.141414141414141</v>
      </c>
      <c r="Q7" s="615">
        <v>303</v>
      </c>
    </row>
    <row r="8" spans="1:17" ht="14.4" customHeight="1" x14ac:dyDescent="0.3">
      <c r="A8" s="610" t="s">
        <v>2045</v>
      </c>
      <c r="B8" s="611" t="s">
        <v>2046</v>
      </c>
      <c r="C8" s="611" t="s">
        <v>1782</v>
      </c>
      <c r="D8" s="611" t="s">
        <v>2049</v>
      </c>
      <c r="E8" s="611" t="s">
        <v>2050</v>
      </c>
      <c r="F8" s="614">
        <v>1</v>
      </c>
      <c r="G8" s="614">
        <v>1245</v>
      </c>
      <c r="H8" s="614">
        <v>1</v>
      </c>
      <c r="I8" s="614">
        <v>1245</v>
      </c>
      <c r="J8" s="614">
        <v>7</v>
      </c>
      <c r="K8" s="614">
        <v>8811</v>
      </c>
      <c r="L8" s="614">
        <v>7.0771084337349395</v>
      </c>
      <c r="M8" s="614">
        <v>1258.7142857142858</v>
      </c>
      <c r="N8" s="614">
        <v>9</v>
      </c>
      <c r="O8" s="614">
        <v>11412</v>
      </c>
      <c r="P8" s="627">
        <v>9.1662650602409634</v>
      </c>
      <c r="Q8" s="615">
        <v>1268</v>
      </c>
    </row>
    <row r="9" spans="1:17" ht="14.4" customHeight="1" x14ac:dyDescent="0.3">
      <c r="A9" s="610" t="s">
        <v>2045</v>
      </c>
      <c r="B9" s="611" t="s">
        <v>2046</v>
      </c>
      <c r="C9" s="611" t="s">
        <v>1782</v>
      </c>
      <c r="D9" s="611" t="s">
        <v>2051</v>
      </c>
      <c r="E9" s="611" t="s">
        <v>2052</v>
      </c>
      <c r="F9" s="614">
        <v>16</v>
      </c>
      <c r="G9" s="614">
        <v>35728</v>
      </c>
      <c r="H9" s="614">
        <v>1</v>
      </c>
      <c r="I9" s="614">
        <v>2233</v>
      </c>
      <c r="J9" s="614">
        <v>78</v>
      </c>
      <c r="K9" s="614">
        <v>161700</v>
      </c>
      <c r="L9" s="614">
        <v>4.5258620689655169</v>
      </c>
      <c r="M9" s="614">
        <v>2073.0769230769229</v>
      </c>
      <c r="N9" s="614">
        <v>96</v>
      </c>
      <c r="O9" s="614">
        <v>217344</v>
      </c>
      <c r="P9" s="627">
        <v>6.0832960143304975</v>
      </c>
      <c r="Q9" s="615">
        <v>2264</v>
      </c>
    </row>
    <row r="10" spans="1:17" ht="14.4" customHeight="1" x14ac:dyDescent="0.3">
      <c r="A10" s="610" t="s">
        <v>2045</v>
      </c>
      <c r="B10" s="611" t="s">
        <v>2046</v>
      </c>
      <c r="C10" s="611" t="s">
        <v>1782</v>
      </c>
      <c r="D10" s="611" t="s">
        <v>2053</v>
      </c>
      <c r="E10" s="611" t="s">
        <v>2054</v>
      </c>
      <c r="F10" s="614">
        <v>1</v>
      </c>
      <c r="G10" s="614">
        <v>6514</v>
      </c>
      <c r="H10" s="614">
        <v>1</v>
      </c>
      <c r="I10" s="614">
        <v>6514</v>
      </c>
      <c r="J10" s="614">
        <v>5</v>
      </c>
      <c r="K10" s="614">
        <v>32732</v>
      </c>
      <c r="L10" s="614">
        <v>5.0248695118206941</v>
      </c>
      <c r="M10" s="614">
        <v>6546.4</v>
      </c>
      <c r="N10" s="614">
        <v>7</v>
      </c>
      <c r="O10" s="614">
        <v>46144</v>
      </c>
      <c r="P10" s="627">
        <v>7.0838194657660427</v>
      </c>
      <c r="Q10" s="615">
        <v>6592</v>
      </c>
    </row>
    <row r="11" spans="1:17" ht="14.4" customHeight="1" x14ac:dyDescent="0.3">
      <c r="A11" s="610" t="s">
        <v>2055</v>
      </c>
      <c r="B11" s="611" t="s">
        <v>2046</v>
      </c>
      <c r="C11" s="611" t="s">
        <v>1782</v>
      </c>
      <c r="D11" s="611" t="s">
        <v>2056</v>
      </c>
      <c r="E11" s="611" t="s">
        <v>2057</v>
      </c>
      <c r="F11" s="614">
        <v>4</v>
      </c>
      <c r="G11" s="614">
        <v>92</v>
      </c>
      <c r="H11" s="614">
        <v>1</v>
      </c>
      <c r="I11" s="614">
        <v>23</v>
      </c>
      <c r="J11" s="614">
        <v>3</v>
      </c>
      <c r="K11" s="614">
        <v>69</v>
      </c>
      <c r="L11" s="614">
        <v>0.75</v>
      </c>
      <c r="M11" s="614">
        <v>23</v>
      </c>
      <c r="N11" s="614"/>
      <c r="O11" s="614"/>
      <c r="P11" s="627"/>
      <c r="Q11" s="615"/>
    </row>
    <row r="12" spans="1:17" ht="14.4" customHeight="1" x14ac:dyDescent="0.3">
      <c r="A12" s="610" t="s">
        <v>2055</v>
      </c>
      <c r="B12" s="611" t="s">
        <v>2046</v>
      </c>
      <c r="C12" s="611" t="s">
        <v>1782</v>
      </c>
      <c r="D12" s="611" t="s">
        <v>2049</v>
      </c>
      <c r="E12" s="611" t="s">
        <v>2050</v>
      </c>
      <c r="F12" s="614">
        <v>2</v>
      </c>
      <c r="G12" s="614">
        <v>2490</v>
      </c>
      <c r="H12" s="614">
        <v>1</v>
      </c>
      <c r="I12" s="614">
        <v>1245</v>
      </c>
      <c r="J12" s="614">
        <v>1</v>
      </c>
      <c r="K12" s="614">
        <v>1245</v>
      </c>
      <c r="L12" s="614">
        <v>0.5</v>
      </c>
      <c r="M12" s="614">
        <v>1245</v>
      </c>
      <c r="N12" s="614"/>
      <c r="O12" s="614"/>
      <c r="P12" s="627"/>
      <c r="Q12" s="615"/>
    </row>
    <row r="13" spans="1:17" ht="14.4" customHeight="1" x14ac:dyDescent="0.3">
      <c r="A13" s="610" t="s">
        <v>2055</v>
      </c>
      <c r="B13" s="611" t="s">
        <v>2046</v>
      </c>
      <c r="C13" s="611" t="s">
        <v>1782</v>
      </c>
      <c r="D13" s="611" t="s">
        <v>2058</v>
      </c>
      <c r="E13" s="611" t="s">
        <v>2059</v>
      </c>
      <c r="F13" s="614">
        <v>3</v>
      </c>
      <c r="G13" s="614">
        <v>1272</v>
      </c>
      <c r="H13" s="614">
        <v>1</v>
      </c>
      <c r="I13" s="614">
        <v>424</v>
      </c>
      <c r="J13" s="614">
        <v>3</v>
      </c>
      <c r="K13" s="614">
        <v>1272</v>
      </c>
      <c r="L13" s="614">
        <v>1</v>
      </c>
      <c r="M13" s="614">
        <v>424</v>
      </c>
      <c r="N13" s="614"/>
      <c r="O13" s="614"/>
      <c r="P13" s="627"/>
      <c r="Q13" s="615"/>
    </row>
    <row r="14" spans="1:17" ht="14.4" customHeight="1" x14ac:dyDescent="0.3">
      <c r="A14" s="610" t="s">
        <v>2055</v>
      </c>
      <c r="B14" s="611" t="s">
        <v>2046</v>
      </c>
      <c r="C14" s="611" t="s">
        <v>1782</v>
      </c>
      <c r="D14" s="611" t="s">
        <v>2060</v>
      </c>
      <c r="E14" s="611" t="s">
        <v>2061</v>
      </c>
      <c r="F14" s="614">
        <v>3</v>
      </c>
      <c r="G14" s="614">
        <v>3006</v>
      </c>
      <c r="H14" s="614">
        <v>1</v>
      </c>
      <c r="I14" s="614">
        <v>1002</v>
      </c>
      <c r="J14" s="614">
        <v>3</v>
      </c>
      <c r="K14" s="614">
        <v>3006</v>
      </c>
      <c r="L14" s="614">
        <v>1</v>
      </c>
      <c r="M14" s="614">
        <v>1002</v>
      </c>
      <c r="N14" s="614"/>
      <c r="O14" s="614"/>
      <c r="P14" s="627"/>
      <c r="Q14" s="615"/>
    </row>
    <row r="15" spans="1:17" ht="14.4" customHeight="1" x14ac:dyDescent="0.3">
      <c r="A15" s="610" t="s">
        <v>2055</v>
      </c>
      <c r="B15" s="611" t="s">
        <v>2046</v>
      </c>
      <c r="C15" s="611" t="s">
        <v>1782</v>
      </c>
      <c r="D15" s="611" t="s">
        <v>2051</v>
      </c>
      <c r="E15" s="611" t="s">
        <v>2052</v>
      </c>
      <c r="F15" s="614">
        <v>1</v>
      </c>
      <c r="G15" s="614">
        <v>2233</v>
      </c>
      <c r="H15" s="614">
        <v>1</v>
      </c>
      <c r="I15" s="614">
        <v>2233</v>
      </c>
      <c r="J15" s="614"/>
      <c r="K15" s="614"/>
      <c r="L15" s="614"/>
      <c r="M15" s="614"/>
      <c r="N15" s="614"/>
      <c r="O15" s="614"/>
      <c r="P15" s="627"/>
      <c r="Q15" s="615"/>
    </row>
    <row r="16" spans="1:17" ht="14.4" customHeight="1" x14ac:dyDescent="0.3">
      <c r="A16" s="610" t="s">
        <v>2055</v>
      </c>
      <c r="B16" s="611" t="s">
        <v>2062</v>
      </c>
      <c r="C16" s="611" t="s">
        <v>1782</v>
      </c>
      <c r="D16" s="611" t="s">
        <v>2063</v>
      </c>
      <c r="E16" s="611" t="s">
        <v>2064</v>
      </c>
      <c r="F16" s="614">
        <v>15</v>
      </c>
      <c r="G16" s="614">
        <v>5250</v>
      </c>
      <c r="H16" s="614">
        <v>1</v>
      </c>
      <c r="I16" s="614">
        <v>350</v>
      </c>
      <c r="J16" s="614">
        <v>17</v>
      </c>
      <c r="K16" s="614">
        <v>5960</v>
      </c>
      <c r="L16" s="614">
        <v>1.1352380952380952</v>
      </c>
      <c r="M16" s="614">
        <v>350.58823529411762</v>
      </c>
      <c r="N16" s="614"/>
      <c r="O16" s="614"/>
      <c r="P16" s="627"/>
      <c r="Q16" s="615"/>
    </row>
    <row r="17" spans="1:17" ht="14.4" customHeight="1" x14ac:dyDescent="0.3">
      <c r="A17" s="610" t="s">
        <v>2055</v>
      </c>
      <c r="B17" s="611" t="s">
        <v>2062</v>
      </c>
      <c r="C17" s="611" t="s">
        <v>1782</v>
      </c>
      <c r="D17" s="611" t="s">
        <v>2065</v>
      </c>
      <c r="E17" s="611" t="s">
        <v>2066</v>
      </c>
      <c r="F17" s="614">
        <v>16</v>
      </c>
      <c r="G17" s="614">
        <v>1040</v>
      </c>
      <c r="H17" s="614">
        <v>1</v>
      </c>
      <c r="I17" s="614">
        <v>65</v>
      </c>
      <c r="J17" s="614">
        <v>11</v>
      </c>
      <c r="K17" s="614">
        <v>715</v>
      </c>
      <c r="L17" s="614">
        <v>0.6875</v>
      </c>
      <c r="M17" s="614">
        <v>65</v>
      </c>
      <c r="N17" s="614">
        <v>1410</v>
      </c>
      <c r="O17" s="614">
        <v>91650</v>
      </c>
      <c r="P17" s="627">
        <v>88.125</v>
      </c>
      <c r="Q17" s="615">
        <v>65</v>
      </c>
    </row>
    <row r="18" spans="1:17" ht="14.4" customHeight="1" x14ac:dyDescent="0.3">
      <c r="A18" s="610" t="s">
        <v>2055</v>
      </c>
      <c r="B18" s="611" t="s">
        <v>2062</v>
      </c>
      <c r="C18" s="611" t="s">
        <v>1782</v>
      </c>
      <c r="D18" s="611" t="s">
        <v>2067</v>
      </c>
      <c r="E18" s="611" t="s">
        <v>2068</v>
      </c>
      <c r="F18" s="614">
        <v>1</v>
      </c>
      <c r="G18" s="614">
        <v>590</v>
      </c>
      <c r="H18" s="614">
        <v>1</v>
      </c>
      <c r="I18" s="614">
        <v>590</v>
      </c>
      <c r="J18" s="614">
        <v>2</v>
      </c>
      <c r="K18" s="614">
        <v>1182</v>
      </c>
      <c r="L18" s="614">
        <v>2.0033898305084747</v>
      </c>
      <c r="M18" s="614">
        <v>591</v>
      </c>
      <c r="N18" s="614"/>
      <c r="O18" s="614"/>
      <c r="P18" s="627"/>
      <c r="Q18" s="615"/>
    </row>
    <row r="19" spans="1:17" ht="14.4" customHeight="1" x14ac:dyDescent="0.3">
      <c r="A19" s="610" t="s">
        <v>2055</v>
      </c>
      <c r="B19" s="611" t="s">
        <v>2062</v>
      </c>
      <c r="C19" s="611" t="s">
        <v>1782</v>
      </c>
      <c r="D19" s="611" t="s">
        <v>2069</v>
      </c>
      <c r="E19" s="611" t="s">
        <v>2070</v>
      </c>
      <c r="F19" s="614">
        <v>1</v>
      </c>
      <c r="G19" s="614">
        <v>615</v>
      </c>
      <c r="H19" s="614">
        <v>1</v>
      </c>
      <c r="I19" s="614">
        <v>615</v>
      </c>
      <c r="J19" s="614"/>
      <c r="K19" s="614"/>
      <c r="L19" s="614"/>
      <c r="M19" s="614"/>
      <c r="N19" s="614"/>
      <c r="O19" s="614"/>
      <c r="P19" s="627"/>
      <c r="Q19" s="615"/>
    </row>
    <row r="20" spans="1:17" ht="14.4" customHeight="1" x14ac:dyDescent="0.3">
      <c r="A20" s="610" t="s">
        <v>2055</v>
      </c>
      <c r="B20" s="611" t="s">
        <v>2062</v>
      </c>
      <c r="C20" s="611" t="s">
        <v>1782</v>
      </c>
      <c r="D20" s="611" t="s">
        <v>2071</v>
      </c>
      <c r="E20" s="611" t="s">
        <v>2072</v>
      </c>
      <c r="F20" s="614">
        <v>77</v>
      </c>
      <c r="G20" s="614">
        <v>1771</v>
      </c>
      <c r="H20" s="614">
        <v>1</v>
      </c>
      <c r="I20" s="614">
        <v>23</v>
      </c>
      <c r="J20" s="614">
        <v>69</v>
      </c>
      <c r="K20" s="614">
        <v>1492</v>
      </c>
      <c r="L20" s="614">
        <v>0.84246188594014682</v>
      </c>
      <c r="M20" s="614">
        <v>21.623188405797102</v>
      </c>
      <c r="N20" s="614">
        <v>25</v>
      </c>
      <c r="O20" s="614">
        <v>600</v>
      </c>
      <c r="P20" s="627">
        <v>0.33879164313946925</v>
      </c>
      <c r="Q20" s="615">
        <v>24</v>
      </c>
    </row>
    <row r="21" spans="1:17" ht="14.4" customHeight="1" x14ac:dyDescent="0.3">
      <c r="A21" s="610" t="s">
        <v>2055</v>
      </c>
      <c r="B21" s="611" t="s">
        <v>2062</v>
      </c>
      <c r="C21" s="611" t="s">
        <v>1782</v>
      </c>
      <c r="D21" s="611" t="s">
        <v>2073</v>
      </c>
      <c r="E21" s="611" t="s">
        <v>2074</v>
      </c>
      <c r="F21" s="614">
        <v>12</v>
      </c>
      <c r="G21" s="614">
        <v>648</v>
      </c>
      <c r="H21" s="614">
        <v>1</v>
      </c>
      <c r="I21" s="614">
        <v>54</v>
      </c>
      <c r="J21" s="614">
        <v>23</v>
      </c>
      <c r="K21" s="614">
        <v>1242</v>
      </c>
      <c r="L21" s="614">
        <v>1.9166666666666667</v>
      </c>
      <c r="M21" s="614">
        <v>54</v>
      </c>
      <c r="N21" s="614">
        <v>6</v>
      </c>
      <c r="O21" s="614">
        <v>324</v>
      </c>
      <c r="P21" s="627">
        <v>0.5</v>
      </c>
      <c r="Q21" s="615">
        <v>54</v>
      </c>
    </row>
    <row r="22" spans="1:17" ht="14.4" customHeight="1" x14ac:dyDescent="0.3">
      <c r="A22" s="610" t="s">
        <v>2055</v>
      </c>
      <c r="B22" s="611" t="s">
        <v>2062</v>
      </c>
      <c r="C22" s="611" t="s">
        <v>1782</v>
      </c>
      <c r="D22" s="611" t="s">
        <v>2075</v>
      </c>
      <c r="E22" s="611" t="s">
        <v>2076</v>
      </c>
      <c r="F22" s="614">
        <v>62</v>
      </c>
      <c r="G22" s="614">
        <v>4774</v>
      </c>
      <c r="H22" s="614">
        <v>1</v>
      </c>
      <c r="I22" s="614">
        <v>77</v>
      </c>
      <c r="J22" s="614">
        <v>74</v>
      </c>
      <c r="K22" s="614">
        <v>5698</v>
      </c>
      <c r="L22" s="614">
        <v>1.1935483870967742</v>
      </c>
      <c r="M22" s="614">
        <v>77</v>
      </c>
      <c r="N22" s="614">
        <v>73</v>
      </c>
      <c r="O22" s="614">
        <v>5621</v>
      </c>
      <c r="P22" s="627">
        <v>1.1774193548387097</v>
      </c>
      <c r="Q22" s="615">
        <v>77</v>
      </c>
    </row>
    <row r="23" spans="1:17" ht="14.4" customHeight="1" x14ac:dyDescent="0.3">
      <c r="A23" s="610" t="s">
        <v>2055</v>
      </c>
      <c r="B23" s="611" t="s">
        <v>2062</v>
      </c>
      <c r="C23" s="611" t="s">
        <v>1782</v>
      </c>
      <c r="D23" s="611" t="s">
        <v>2077</v>
      </c>
      <c r="E23" s="611" t="s">
        <v>2078</v>
      </c>
      <c r="F23" s="614">
        <v>1267</v>
      </c>
      <c r="G23" s="614">
        <v>27874</v>
      </c>
      <c r="H23" s="614">
        <v>1</v>
      </c>
      <c r="I23" s="614">
        <v>22</v>
      </c>
      <c r="J23" s="614">
        <v>1294</v>
      </c>
      <c r="K23" s="614">
        <v>28417</v>
      </c>
      <c r="L23" s="614">
        <v>1.0194805194805194</v>
      </c>
      <c r="M23" s="614">
        <v>21.960587326120557</v>
      </c>
      <c r="N23" s="614">
        <v>781</v>
      </c>
      <c r="O23" s="614">
        <v>17963</v>
      </c>
      <c r="P23" s="627">
        <v>0.64443567482241515</v>
      </c>
      <c r="Q23" s="615">
        <v>23</v>
      </c>
    </row>
    <row r="24" spans="1:17" ht="14.4" customHeight="1" x14ac:dyDescent="0.3">
      <c r="A24" s="610" t="s">
        <v>2055</v>
      </c>
      <c r="B24" s="611" t="s">
        <v>2062</v>
      </c>
      <c r="C24" s="611" t="s">
        <v>1782</v>
      </c>
      <c r="D24" s="611" t="s">
        <v>2079</v>
      </c>
      <c r="E24" s="611" t="s">
        <v>2080</v>
      </c>
      <c r="F24" s="614">
        <v>1</v>
      </c>
      <c r="G24" s="614">
        <v>627</v>
      </c>
      <c r="H24" s="614">
        <v>1</v>
      </c>
      <c r="I24" s="614">
        <v>627</v>
      </c>
      <c r="J24" s="614"/>
      <c r="K24" s="614"/>
      <c r="L24" s="614"/>
      <c r="M24" s="614"/>
      <c r="N24" s="614"/>
      <c r="O24" s="614"/>
      <c r="P24" s="627"/>
      <c r="Q24" s="615"/>
    </row>
    <row r="25" spans="1:17" ht="14.4" customHeight="1" x14ac:dyDescent="0.3">
      <c r="A25" s="610" t="s">
        <v>2055</v>
      </c>
      <c r="B25" s="611" t="s">
        <v>2062</v>
      </c>
      <c r="C25" s="611" t="s">
        <v>1782</v>
      </c>
      <c r="D25" s="611" t="s">
        <v>2081</v>
      </c>
      <c r="E25" s="611" t="s">
        <v>2082</v>
      </c>
      <c r="F25" s="614">
        <v>16</v>
      </c>
      <c r="G25" s="614">
        <v>3344</v>
      </c>
      <c r="H25" s="614">
        <v>1</v>
      </c>
      <c r="I25" s="614">
        <v>209</v>
      </c>
      <c r="J25" s="614"/>
      <c r="K25" s="614"/>
      <c r="L25" s="614"/>
      <c r="M25" s="614"/>
      <c r="N25" s="614">
        <v>1</v>
      </c>
      <c r="O25" s="614">
        <v>209</v>
      </c>
      <c r="P25" s="627">
        <v>6.25E-2</v>
      </c>
      <c r="Q25" s="615">
        <v>209</v>
      </c>
    </row>
    <row r="26" spans="1:17" ht="14.4" customHeight="1" x14ac:dyDescent="0.3">
      <c r="A26" s="610" t="s">
        <v>2055</v>
      </c>
      <c r="B26" s="611" t="s">
        <v>2062</v>
      </c>
      <c r="C26" s="611" t="s">
        <v>1782</v>
      </c>
      <c r="D26" s="611" t="s">
        <v>2083</v>
      </c>
      <c r="E26" s="611" t="s">
        <v>2084</v>
      </c>
      <c r="F26" s="614">
        <v>76</v>
      </c>
      <c r="G26" s="614">
        <v>5016</v>
      </c>
      <c r="H26" s="614">
        <v>1</v>
      </c>
      <c r="I26" s="614">
        <v>66</v>
      </c>
      <c r="J26" s="614">
        <v>94</v>
      </c>
      <c r="K26" s="614">
        <v>6204</v>
      </c>
      <c r="L26" s="614">
        <v>1.236842105263158</v>
      </c>
      <c r="M26" s="614">
        <v>66</v>
      </c>
      <c r="N26" s="614">
        <v>117</v>
      </c>
      <c r="O26" s="614">
        <v>7722</v>
      </c>
      <c r="P26" s="627">
        <v>1.5394736842105263</v>
      </c>
      <c r="Q26" s="615">
        <v>66</v>
      </c>
    </row>
    <row r="27" spans="1:17" ht="14.4" customHeight="1" x14ac:dyDescent="0.3">
      <c r="A27" s="610" t="s">
        <v>2055</v>
      </c>
      <c r="B27" s="611" t="s">
        <v>2062</v>
      </c>
      <c r="C27" s="611" t="s">
        <v>1782</v>
      </c>
      <c r="D27" s="611" t="s">
        <v>2085</v>
      </c>
      <c r="E27" s="611" t="s">
        <v>2086</v>
      </c>
      <c r="F27" s="614">
        <v>1157</v>
      </c>
      <c r="G27" s="614">
        <v>27768</v>
      </c>
      <c r="H27" s="614">
        <v>1</v>
      </c>
      <c r="I27" s="614">
        <v>24</v>
      </c>
      <c r="J27" s="614">
        <v>1203</v>
      </c>
      <c r="K27" s="614">
        <v>28104</v>
      </c>
      <c r="L27" s="614">
        <v>1.0121002592912705</v>
      </c>
      <c r="M27" s="614">
        <v>23.361596009975063</v>
      </c>
      <c r="N27" s="614">
        <v>728</v>
      </c>
      <c r="O27" s="614">
        <v>17472</v>
      </c>
      <c r="P27" s="627">
        <v>0.6292134831460674</v>
      </c>
      <c r="Q27" s="615">
        <v>24</v>
      </c>
    </row>
    <row r="28" spans="1:17" ht="14.4" customHeight="1" x14ac:dyDescent="0.3">
      <c r="A28" s="610" t="s">
        <v>2055</v>
      </c>
      <c r="B28" s="611" t="s">
        <v>2062</v>
      </c>
      <c r="C28" s="611" t="s">
        <v>1782</v>
      </c>
      <c r="D28" s="611" t="s">
        <v>2087</v>
      </c>
      <c r="E28" s="611" t="s">
        <v>2088</v>
      </c>
      <c r="F28" s="614">
        <v>1</v>
      </c>
      <c r="G28" s="614">
        <v>738</v>
      </c>
      <c r="H28" s="614">
        <v>1</v>
      </c>
      <c r="I28" s="614">
        <v>738</v>
      </c>
      <c r="J28" s="614">
        <v>2</v>
      </c>
      <c r="K28" s="614">
        <v>1477</v>
      </c>
      <c r="L28" s="614">
        <v>2.0013550135501355</v>
      </c>
      <c r="M28" s="614">
        <v>738.5</v>
      </c>
      <c r="N28" s="614">
        <v>1</v>
      </c>
      <c r="O28" s="614">
        <v>739</v>
      </c>
      <c r="P28" s="627">
        <v>1.0013550135501355</v>
      </c>
      <c r="Q28" s="615">
        <v>739</v>
      </c>
    </row>
    <row r="29" spans="1:17" ht="14.4" customHeight="1" x14ac:dyDescent="0.3">
      <c r="A29" s="610" t="s">
        <v>2055</v>
      </c>
      <c r="B29" s="611" t="s">
        <v>2062</v>
      </c>
      <c r="C29" s="611" t="s">
        <v>1782</v>
      </c>
      <c r="D29" s="611" t="s">
        <v>2089</v>
      </c>
      <c r="E29" s="611" t="s">
        <v>2090</v>
      </c>
      <c r="F29" s="614">
        <v>20</v>
      </c>
      <c r="G29" s="614">
        <v>3600</v>
      </c>
      <c r="H29" s="614">
        <v>1</v>
      </c>
      <c r="I29" s="614">
        <v>180</v>
      </c>
      <c r="J29" s="614">
        <v>21</v>
      </c>
      <c r="K29" s="614">
        <v>3780</v>
      </c>
      <c r="L29" s="614">
        <v>1.05</v>
      </c>
      <c r="M29" s="614">
        <v>180</v>
      </c>
      <c r="N29" s="614">
        <v>13</v>
      </c>
      <c r="O29" s="614">
        <v>2340</v>
      </c>
      <c r="P29" s="627">
        <v>0.65</v>
      </c>
      <c r="Q29" s="615">
        <v>180</v>
      </c>
    </row>
    <row r="30" spans="1:17" ht="14.4" customHeight="1" x14ac:dyDescent="0.3">
      <c r="A30" s="610" t="s">
        <v>2055</v>
      </c>
      <c r="B30" s="611" t="s">
        <v>2062</v>
      </c>
      <c r="C30" s="611" t="s">
        <v>1782</v>
      </c>
      <c r="D30" s="611" t="s">
        <v>2091</v>
      </c>
      <c r="E30" s="611" t="s">
        <v>2092</v>
      </c>
      <c r="F30" s="614"/>
      <c r="G30" s="614"/>
      <c r="H30" s="614"/>
      <c r="I30" s="614"/>
      <c r="J30" s="614"/>
      <c r="K30" s="614"/>
      <c r="L30" s="614"/>
      <c r="M30" s="614"/>
      <c r="N30" s="614">
        <v>1</v>
      </c>
      <c r="O30" s="614">
        <v>26</v>
      </c>
      <c r="P30" s="627"/>
      <c r="Q30" s="615">
        <v>26</v>
      </c>
    </row>
    <row r="31" spans="1:17" ht="14.4" customHeight="1" x14ac:dyDescent="0.3">
      <c r="A31" s="610" t="s">
        <v>2055</v>
      </c>
      <c r="B31" s="611" t="s">
        <v>2062</v>
      </c>
      <c r="C31" s="611" t="s">
        <v>1782</v>
      </c>
      <c r="D31" s="611" t="s">
        <v>2093</v>
      </c>
      <c r="E31" s="611" t="s">
        <v>2094</v>
      </c>
      <c r="F31" s="614">
        <v>13</v>
      </c>
      <c r="G31" s="614">
        <v>3289</v>
      </c>
      <c r="H31" s="614">
        <v>1</v>
      </c>
      <c r="I31" s="614">
        <v>253</v>
      </c>
      <c r="J31" s="614">
        <v>55</v>
      </c>
      <c r="K31" s="614">
        <v>13915</v>
      </c>
      <c r="L31" s="614">
        <v>4.2307692307692308</v>
      </c>
      <c r="M31" s="614">
        <v>253</v>
      </c>
      <c r="N31" s="614">
        <v>27</v>
      </c>
      <c r="O31" s="614">
        <v>6831</v>
      </c>
      <c r="P31" s="627">
        <v>2.0769230769230771</v>
      </c>
      <c r="Q31" s="615">
        <v>253</v>
      </c>
    </row>
    <row r="32" spans="1:17" ht="14.4" customHeight="1" x14ac:dyDescent="0.3">
      <c r="A32" s="610" t="s">
        <v>2055</v>
      </c>
      <c r="B32" s="611" t="s">
        <v>2062</v>
      </c>
      <c r="C32" s="611" t="s">
        <v>1782</v>
      </c>
      <c r="D32" s="611" t="s">
        <v>2095</v>
      </c>
      <c r="E32" s="611" t="s">
        <v>2096</v>
      </c>
      <c r="F32" s="614">
        <v>1</v>
      </c>
      <c r="G32" s="614">
        <v>264</v>
      </c>
      <c r="H32" s="614">
        <v>1</v>
      </c>
      <c r="I32" s="614">
        <v>264</v>
      </c>
      <c r="J32" s="614"/>
      <c r="K32" s="614"/>
      <c r="L32" s="614"/>
      <c r="M32" s="614"/>
      <c r="N32" s="614"/>
      <c r="O32" s="614"/>
      <c r="P32" s="627"/>
      <c r="Q32" s="615"/>
    </row>
    <row r="33" spans="1:17" ht="14.4" customHeight="1" x14ac:dyDescent="0.3">
      <c r="A33" s="610" t="s">
        <v>2055</v>
      </c>
      <c r="B33" s="611" t="s">
        <v>2062</v>
      </c>
      <c r="C33" s="611" t="s">
        <v>1782</v>
      </c>
      <c r="D33" s="611" t="s">
        <v>2097</v>
      </c>
      <c r="E33" s="611" t="s">
        <v>2098</v>
      </c>
      <c r="F33" s="614">
        <v>30</v>
      </c>
      <c r="G33" s="614">
        <v>6480</v>
      </c>
      <c r="H33" s="614">
        <v>1</v>
      </c>
      <c r="I33" s="614">
        <v>216</v>
      </c>
      <c r="J33" s="614">
        <v>30</v>
      </c>
      <c r="K33" s="614">
        <v>6480</v>
      </c>
      <c r="L33" s="614">
        <v>1</v>
      </c>
      <c r="M33" s="614">
        <v>216</v>
      </c>
      <c r="N33" s="614">
        <v>15</v>
      </c>
      <c r="O33" s="614">
        <v>3240</v>
      </c>
      <c r="P33" s="627">
        <v>0.5</v>
      </c>
      <c r="Q33" s="615">
        <v>216</v>
      </c>
    </row>
    <row r="34" spans="1:17" ht="14.4" customHeight="1" x14ac:dyDescent="0.3">
      <c r="A34" s="610" t="s">
        <v>2055</v>
      </c>
      <c r="B34" s="611" t="s">
        <v>2062</v>
      </c>
      <c r="C34" s="611" t="s">
        <v>1782</v>
      </c>
      <c r="D34" s="611" t="s">
        <v>2099</v>
      </c>
      <c r="E34" s="611" t="s">
        <v>2100</v>
      </c>
      <c r="F34" s="614"/>
      <c r="G34" s="614"/>
      <c r="H34" s="614"/>
      <c r="I34" s="614"/>
      <c r="J34" s="614"/>
      <c r="K34" s="614"/>
      <c r="L34" s="614"/>
      <c r="M34" s="614"/>
      <c r="N34" s="614">
        <v>1</v>
      </c>
      <c r="O34" s="614">
        <v>36</v>
      </c>
      <c r="P34" s="627"/>
      <c r="Q34" s="615">
        <v>36</v>
      </c>
    </row>
    <row r="35" spans="1:17" ht="14.4" customHeight="1" x14ac:dyDescent="0.3">
      <c r="A35" s="610" t="s">
        <v>2055</v>
      </c>
      <c r="B35" s="611" t="s">
        <v>2062</v>
      </c>
      <c r="C35" s="611" t="s">
        <v>1782</v>
      </c>
      <c r="D35" s="611" t="s">
        <v>2101</v>
      </c>
      <c r="E35" s="611" t="s">
        <v>2102</v>
      </c>
      <c r="F35" s="614">
        <v>1</v>
      </c>
      <c r="G35" s="614">
        <v>590</v>
      </c>
      <c r="H35" s="614">
        <v>1</v>
      </c>
      <c r="I35" s="614">
        <v>590</v>
      </c>
      <c r="J35" s="614"/>
      <c r="K35" s="614"/>
      <c r="L35" s="614"/>
      <c r="M35" s="614"/>
      <c r="N35" s="614"/>
      <c r="O35" s="614"/>
      <c r="P35" s="627"/>
      <c r="Q35" s="615"/>
    </row>
    <row r="36" spans="1:17" ht="14.4" customHeight="1" x14ac:dyDescent="0.3">
      <c r="A36" s="610" t="s">
        <v>2055</v>
      </c>
      <c r="B36" s="611" t="s">
        <v>2062</v>
      </c>
      <c r="C36" s="611" t="s">
        <v>1782</v>
      </c>
      <c r="D36" s="611" t="s">
        <v>2103</v>
      </c>
      <c r="E36" s="611" t="s">
        <v>2104</v>
      </c>
      <c r="F36" s="614">
        <v>225</v>
      </c>
      <c r="G36" s="614">
        <v>11250</v>
      </c>
      <c r="H36" s="614">
        <v>1</v>
      </c>
      <c r="I36" s="614">
        <v>50</v>
      </c>
      <c r="J36" s="614">
        <v>240</v>
      </c>
      <c r="K36" s="614">
        <v>11500</v>
      </c>
      <c r="L36" s="614">
        <v>1.0222222222222221</v>
      </c>
      <c r="M36" s="614">
        <v>47.916666666666664</v>
      </c>
      <c r="N36" s="614">
        <v>205</v>
      </c>
      <c r="O36" s="614">
        <v>10250</v>
      </c>
      <c r="P36" s="627">
        <v>0.91111111111111109</v>
      </c>
      <c r="Q36" s="615">
        <v>50</v>
      </c>
    </row>
    <row r="37" spans="1:17" ht="14.4" customHeight="1" x14ac:dyDescent="0.3">
      <c r="A37" s="610" t="s">
        <v>2055</v>
      </c>
      <c r="B37" s="611" t="s">
        <v>2062</v>
      </c>
      <c r="C37" s="611" t="s">
        <v>1782</v>
      </c>
      <c r="D37" s="611" t="s">
        <v>2105</v>
      </c>
      <c r="E37" s="611" t="s">
        <v>2106</v>
      </c>
      <c r="F37" s="614">
        <v>1</v>
      </c>
      <c r="G37" s="614">
        <v>545</v>
      </c>
      <c r="H37" s="614">
        <v>1</v>
      </c>
      <c r="I37" s="614">
        <v>545</v>
      </c>
      <c r="J37" s="614"/>
      <c r="K37" s="614"/>
      <c r="L37" s="614"/>
      <c r="M37" s="614"/>
      <c r="N37" s="614"/>
      <c r="O37" s="614"/>
      <c r="P37" s="627"/>
      <c r="Q37" s="615"/>
    </row>
    <row r="38" spans="1:17" ht="14.4" customHeight="1" x14ac:dyDescent="0.3">
      <c r="A38" s="610" t="s">
        <v>2055</v>
      </c>
      <c r="B38" s="611" t="s">
        <v>2062</v>
      </c>
      <c r="C38" s="611" t="s">
        <v>1782</v>
      </c>
      <c r="D38" s="611" t="s">
        <v>2107</v>
      </c>
      <c r="E38" s="611" t="s">
        <v>2108</v>
      </c>
      <c r="F38" s="614">
        <v>1</v>
      </c>
      <c r="G38" s="614">
        <v>734</v>
      </c>
      <c r="H38" s="614">
        <v>1</v>
      </c>
      <c r="I38" s="614">
        <v>734</v>
      </c>
      <c r="J38" s="614">
        <v>2</v>
      </c>
      <c r="K38" s="614">
        <v>1469</v>
      </c>
      <c r="L38" s="614">
        <v>2.0013623978201633</v>
      </c>
      <c r="M38" s="614">
        <v>734.5</v>
      </c>
      <c r="N38" s="614">
        <v>1</v>
      </c>
      <c r="O38" s="614">
        <v>735</v>
      </c>
      <c r="P38" s="627">
        <v>1.0013623978201636</v>
      </c>
      <c r="Q38" s="615">
        <v>735</v>
      </c>
    </row>
    <row r="39" spans="1:17" ht="14.4" customHeight="1" x14ac:dyDescent="0.3">
      <c r="A39" s="610" t="s">
        <v>2055</v>
      </c>
      <c r="B39" s="611" t="s">
        <v>2062</v>
      </c>
      <c r="C39" s="611" t="s">
        <v>1782</v>
      </c>
      <c r="D39" s="611" t="s">
        <v>2109</v>
      </c>
      <c r="E39" s="611" t="s">
        <v>2110</v>
      </c>
      <c r="F39" s="614">
        <v>1</v>
      </c>
      <c r="G39" s="614">
        <v>344</v>
      </c>
      <c r="H39" s="614">
        <v>1</v>
      </c>
      <c r="I39" s="614">
        <v>344</v>
      </c>
      <c r="J39" s="614"/>
      <c r="K39" s="614"/>
      <c r="L39" s="614"/>
      <c r="M39" s="614"/>
      <c r="N39" s="614"/>
      <c r="O39" s="614"/>
      <c r="P39" s="627"/>
      <c r="Q39" s="615"/>
    </row>
    <row r="40" spans="1:17" ht="14.4" customHeight="1" x14ac:dyDescent="0.3">
      <c r="A40" s="610" t="s">
        <v>2055</v>
      </c>
      <c r="B40" s="611" t="s">
        <v>2062</v>
      </c>
      <c r="C40" s="611" t="s">
        <v>1782</v>
      </c>
      <c r="D40" s="611" t="s">
        <v>2111</v>
      </c>
      <c r="E40" s="611" t="s">
        <v>2112</v>
      </c>
      <c r="F40" s="614"/>
      <c r="G40" s="614"/>
      <c r="H40" s="614"/>
      <c r="I40" s="614"/>
      <c r="J40" s="614">
        <v>1</v>
      </c>
      <c r="K40" s="614">
        <v>231</v>
      </c>
      <c r="L40" s="614"/>
      <c r="M40" s="614">
        <v>231</v>
      </c>
      <c r="N40" s="614"/>
      <c r="O40" s="614"/>
      <c r="P40" s="627"/>
      <c r="Q40" s="615"/>
    </row>
    <row r="41" spans="1:17" ht="14.4" customHeight="1" x14ac:dyDescent="0.3">
      <c r="A41" s="610" t="s">
        <v>2055</v>
      </c>
      <c r="B41" s="611" t="s">
        <v>2062</v>
      </c>
      <c r="C41" s="611" t="s">
        <v>1782</v>
      </c>
      <c r="D41" s="611" t="s">
        <v>2113</v>
      </c>
      <c r="E41" s="611" t="s">
        <v>2114</v>
      </c>
      <c r="F41" s="614">
        <v>1</v>
      </c>
      <c r="G41" s="614">
        <v>915</v>
      </c>
      <c r="H41" s="614">
        <v>1</v>
      </c>
      <c r="I41" s="614">
        <v>915</v>
      </c>
      <c r="J41" s="614"/>
      <c r="K41" s="614"/>
      <c r="L41" s="614"/>
      <c r="M41" s="614"/>
      <c r="N41" s="614"/>
      <c r="O41" s="614"/>
      <c r="P41" s="627"/>
      <c r="Q41" s="615"/>
    </row>
    <row r="42" spans="1:17" ht="14.4" customHeight="1" x14ac:dyDescent="0.3">
      <c r="A42" s="610" t="s">
        <v>2055</v>
      </c>
      <c r="B42" s="611" t="s">
        <v>2062</v>
      </c>
      <c r="C42" s="611" t="s">
        <v>1782</v>
      </c>
      <c r="D42" s="611" t="s">
        <v>2115</v>
      </c>
      <c r="E42" s="611" t="s">
        <v>2116</v>
      </c>
      <c r="F42" s="614">
        <v>1</v>
      </c>
      <c r="G42" s="614">
        <v>892</v>
      </c>
      <c r="H42" s="614">
        <v>1</v>
      </c>
      <c r="I42" s="614">
        <v>892</v>
      </c>
      <c r="J42" s="614"/>
      <c r="K42" s="614"/>
      <c r="L42" s="614"/>
      <c r="M42" s="614"/>
      <c r="N42" s="614"/>
      <c r="O42" s="614"/>
      <c r="P42" s="627"/>
      <c r="Q42" s="615"/>
    </row>
    <row r="43" spans="1:17" ht="14.4" customHeight="1" x14ac:dyDescent="0.3">
      <c r="A43" s="610" t="s">
        <v>2117</v>
      </c>
      <c r="B43" s="611" t="s">
        <v>2118</v>
      </c>
      <c r="C43" s="611" t="s">
        <v>1782</v>
      </c>
      <c r="D43" s="611" t="s">
        <v>2119</v>
      </c>
      <c r="E43" s="611" t="s">
        <v>2120</v>
      </c>
      <c r="F43" s="614">
        <v>57</v>
      </c>
      <c r="G43" s="614">
        <v>1539</v>
      </c>
      <c r="H43" s="614">
        <v>1</v>
      </c>
      <c r="I43" s="614">
        <v>27</v>
      </c>
      <c r="J43" s="614">
        <v>60</v>
      </c>
      <c r="K43" s="614">
        <v>1566</v>
      </c>
      <c r="L43" s="614">
        <v>1.0175438596491229</v>
      </c>
      <c r="M43" s="614">
        <v>26.1</v>
      </c>
      <c r="N43" s="614">
        <v>65</v>
      </c>
      <c r="O43" s="614">
        <v>1755</v>
      </c>
      <c r="P43" s="627">
        <v>1.1403508771929824</v>
      </c>
      <c r="Q43" s="615">
        <v>27</v>
      </c>
    </row>
    <row r="44" spans="1:17" ht="14.4" customHeight="1" x14ac:dyDescent="0.3">
      <c r="A44" s="610" t="s">
        <v>2117</v>
      </c>
      <c r="B44" s="611" t="s">
        <v>2118</v>
      </c>
      <c r="C44" s="611" t="s">
        <v>1782</v>
      </c>
      <c r="D44" s="611" t="s">
        <v>2121</v>
      </c>
      <c r="E44" s="611" t="s">
        <v>2122</v>
      </c>
      <c r="F44" s="614">
        <v>1</v>
      </c>
      <c r="G44" s="614">
        <v>54</v>
      </c>
      <c r="H44" s="614">
        <v>1</v>
      </c>
      <c r="I44" s="614">
        <v>54</v>
      </c>
      <c r="J44" s="614"/>
      <c r="K44" s="614"/>
      <c r="L44" s="614"/>
      <c r="M44" s="614"/>
      <c r="N44" s="614"/>
      <c r="O44" s="614"/>
      <c r="P44" s="627"/>
      <c r="Q44" s="615"/>
    </row>
    <row r="45" spans="1:17" ht="14.4" customHeight="1" x14ac:dyDescent="0.3">
      <c r="A45" s="610" t="s">
        <v>2117</v>
      </c>
      <c r="B45" s="611" t="s">
        <v>2118</v>
      </c>
      <c r="C45" s="611" t="s">
        <v>1782</v>
      </c>
      <c r="D45" s="611" t="s">
        <v>2123</v>
      </c>
      <c r="E45" s="611" t="s">
        <v>2124</v>
      </c>
      <c r="F45" s="614">
        <v>4</v>
      </c>
      <c r="G45" s="614">
        <v>96</v>
      </c>
      <c r="H45" s="614">
        <v>1</v>
      </c>
      <c r="I45" s="614">
        <v>24</v>
      </c>
      <c r="J45" s="614"/>
      <c r="K45" s="614"/>
      <c r="L45" s="614"/>
      <c r="M45" s="614"/>
      <c r="N45" s="614">
        <v>8</v>
      </c>
      <c r="O45" s="614">
        <v>192</v>
      </c>
      <c r="P45" s="627">
        <v>2</v>
      </c>
      <c r="Q45" s="615">
        <v>24</v>
      </c>
    </row>
    <row r="46" spans="1:17" ht="14.4" customHeight="1" x14ac:dyDescent="0.3">
      <c r="A46" s="610" t="s">
        <v>2117</v>
      </c>
      <c r="B46" s="611" t="s">
        <v>2118</v>
      </c>
      <c r="C46" s="611" t="s">
        <v>1782</v>
      </c>
      <c r="D46" s="611" t="s">
        <v>2125</v>
      </c>
      <c r="E46" s="611" t="s">
        <v>2126</v>
      </c>
      <c r="F46" s="614">
        <v>92</v>
      </c>
      <c r="G46" s="614">
        <v>2484</v>
      </c>
      <c r="H46" s="614">
        <v>1</v>
      </c>
      <c r="I46" s="614">
        <v>27</v>
      </c>
      <c r="J46" s="614">
        <v>73</v>
      </c>
      <c r="K46" s="614">
        <v>1971</v>
      </c>
      <c r="L46" s="614">
        <v>0.79347826086956519</v>
      </c>
      <c r="M46" s="614">
        <v>27</v>
      </c>
      <c r="N46" s="614">
        <v>102</v>
      </c>
      <c r="O46" s="614">
        <v>2754</v>
      </c>
      <c r="P46" s="627">
        <v>1.1086956521739131</v>
      </c>
      <c r="Q46" s="615">
        <v>27</v>
      </c>
    </row>
    <row r="47" spans="1:17" ht="14.4" customHeight="1" x14ac:dyDescent="0.3">
      <c r="A47" s="610" t="s">
        <v>2117</v>
      </c>
      <c r="B47" s="611" t="s">
        <v>2118</v>
      </c>
      <c r="C47" s="611" t="s">
        <v>1782</v>
      </c>
      <c r="D47" s="611" t="s">
        <v>2127</v>
      </c>
      <c r="E47" s="611" t="s">
        <v>2128</v>
      </c>
      <c r="F47" s="614">
        <v>3237</v>
      </c>
      <c r="G47" s="614">
        <v>181272</v>
      </c>
      <c r="H47" s="614">
        <v>1</v>
      </c>
      <c r="I47" s="614">
        <v>56</v>
      </c>
      <c r="J47" s="614">
        <v>771</v>
      </c>
      <c r="K47" s="614">
        <v>42515</v>
      </c>
      <c r="L47" s="614">
        <v>0.23453704929608543</v>
      </c>
      <c r="M47" s="614">
        <v>55.142671854734111</v>
      </c>
      <c r="N47" s="614"/>
      <c r="O47" s="614"/>
      <c r="P47" s="627"/>
      <c r="Q47" s="615"/>
    </row>
    <row r="48" spans="1:17" ht="14.4" customHeight="1" x14ac:dyDescent="0.3">
      <c r="A48" s="610" t="s">
        <v>2117</v>
      </c>
      <c r="B48" s="611" t="s">
        <v>2118</v>
      </c>
      <c r="C48" s="611" t="s">
        <v>1782</v>
      </c>
      <c r="D48" s="611" t="s">
        <v>2129</v>
      </c>
      <c r="E48" s="611" t="s">
        <v>2130</v>
      </c>
      <c r="F48" s="614">
        <v>12</v>
      </c>
      <c r="G48" s="614">
        <v>324</v>
      </c>
      <c r="H48" s="614">
        <v>1</v>
      </c>
      <c r="I48" s="614">
        <v>27</v>
      </c>
      <c r="J48" s="614">
        <v>6</v>
      </c>
      <c r="K48" s="614">
        <v>162</v>
      </c>
      <c r="L48" s="614">
        <v>0.5</v>
      </c>
      <c r="M48" s="614">
        <v>27</v>
      </c>
      <c r="N48" s="614">
        <v>14</v>
      </c>
      <c r="O48" s="614">
        <v>378</v>
      </c>
      <c r="P48" s="627">
        <v>1.1666666666666667</v>
      </c>
      <c r="Q48" s="615">
        <v>27</v>
      </c>
    </row>
    <row r="49" spans="1:17" ht="14.4" customHeight="1" x14ac:dyDescent="0.3">
      <c r="A49" s="610" t="s">
        <v>2117</v>
      </c>
      <c r="B49" s="611" t="s">
        <v>2118</v>
      </c>
      <c r="C49" s="611" t="s">
        <v>1782</v>
      </c>
      <c r="D49" s="611" t="s">
        <v>2131</v>
      </c>
      <c r="E49" s="611" t="s">
        <v>2132</v>
      </c>
      <c r="F49" s="614">
        <v>14</v>
      </c>
      <c r="G49" s="614">
        <v>308</v>
      </c>
      <c r="H49" s="614">
        <v>1</v>
      </c>
      <c r="I49" s="614">
        <v>22</v>
      </c>
      <c r="J49" s="614">
        <v>1415</v>
      </c>
      <c r="K49" s="614">
        <v>30734</v>
      </c>
      <c r="L49" s="614">
        <v>99.785714285714292</v>
      </c>
      <c r="M49" s="614">
        <v>21.720141342756182</v>
      </c>
      <c r="N49" s="614">
        <v>1597</v>
      </c>
      <c r="O49" s="614">
        <v>35134</v>
      </c>
      <c r="P49" s="627">
        <v>114.07142857142857</v>
      </c>
      <c r="Q49" s="615">
        <v>22</v>
      </c>
    </row>
    <row r="50" spans="1:17" ht="14.4" customHeight="1" x14ac:dyDescent="0.3">
      <c r="A50" s="610" t="s">
        <v>2117</v>
      </c>
      <c r="B50" s="611" t="s">
        <v>2118</v>
      </c>
      <c r="C50" s="611" t="s">
        <v>1782</v>
      </c>
      <c r="D50" s="611" t="s">
        <v>2133</v>
      </c>
      <c r="E50" s="611" t="s">
        <v>2134</v>
      </c>
      <c r="F50" s="614"/>
      <c r="G50" s="614"/>
      <c r="H50" s="614"/>
      <c r="I50" s="614"/>
      <c r="J50" s="614"/>
      <c r="K50" s="614"/>
      <c r="L50" s="614"/>
      <c r="M50" s="614"/>
      <c r="N50" s="614">
        <v>1</v>
      </c>
      <c r="O50" s="614">
        <v>68</v>
      </c>
      <c r="P50" s="627"/>
      <c r="Q50" s="615">
        <v>68</v>
      </c>
    </row>
    <row r="51" spans="1:17" ht="14.4" customHeight="1" x14ac:dyDescent="0.3">
      <c r="A51" s="610" t="s">
        <v>2117</v>
      </c>
      <c r="B51" s="611" t="s">
        <v>2118</v>
      </c>
      <c r="C51" s="611" t="s">
        <v>1782</v>
      </c>
      <c r="D51" s="611" t="s">
        <v>2135</v>
      </c>
      <c r="E51" s="611" t="s">
        <v>2136</v>
      </c>
      <c r="F51" s="614">
        <v>3248</v>
      </c>
      <c r="G51" s="614">
        <v>198128</v>
      </c>
      <c r="H51" s="614">
        <v>1</v>
      </c>
      <c r="I51" s="614">
        <v>61</v>
      </c>
      <c r="J51" s="614">
        <v>2521</v>
      </c>
      <c r="K51" s="614">
        <v>152422</v>
      </c>
      <c r="L51" s="614">
        <v>0.76931074860696114</v>
      </c>
      <c r="M51" s="614">
        <v>60.460928203094014</v>
      </c>
      <c r="N51" s="614">
        <v>1979</v>
      </c>
      <c r="O51" s="614">
        <v>122698</v>
      </c>
      <c r="P51" s="627">
        <v>0.6192865218444642</v>
      </c>
      <c r="Q51" s="615">
        <v>62</v>
      </c>
    </row>
    <row r="52" spans="1:17" ht="14.4" customHeight="1" x14ac:dyDescent="0.3">
      <c r="A52" s="610" t="s">
        <v>2117</v>
      </c>
      <c r="B52" s="611" t="s">
        <v>2118</v>
      </c>
      <c r="C52" s="611" t="s">
        <v>1782</v>
      </c>
      <c r="D52" s="611" t="s">
        <v>2137</v>
      </c>
      <c r="E52" s="611" t="s">
        <v>2138</v>
      </c>
      <c r="F52" s="614"/>
      <c r="G52" s="614"/>
      <c r="H52" s="614"/>
      <c r="I52" s="614"/>
      <c r="J52" s="614">
        <v>2</v>
      </c>
      <c r="K52" s="614">
        <v>324</v>
      </c>
      <c r="L52" s="614"/>
      <c r="M52" s="614">
        <v>162</v>
      </c>
      <c r="N52" s="614"/>
      <c r="O52" s="614"/>
      <c r="P52" s="627"/>
      <c r="Q52" s="615"/>
    </row>
    <row r="53" spans="1:17" ht="14.4" customHeight="1" x14ac:dyDescent="0.3">
      <c r="A53" s="610" t="s">
        <v>2117</v>
      </c>
      <c r="B53" s="611" t="s">
        <v>2118</v>
      </c>
      <c r="C53" s="611" t="s">
        <v>1782</v>
      </c>
      <c r="D53" s="611" t="s">
        <v>2139</v>
      </c>
      <c r="E53" s="611" t="s">
        <v>2140</v>
      </c>
      <c r="F53" s="614"/>
      <c r="G53" s="614"/>
      <c r="H53" s="614"/>
      <c r="I53" s="614"/>
      <c r="J53" s="614">
        <v>104</v>
      </c>
      <c r="K53" s="614">
        <v>8107</v>
      </c>
      <c r="L53" s="614"/>
      <c r="M53" s="614">
        <v>77.95192307692308</v>
      </c>
      <c r="N53" s="614">
        <v>18</v>
      </c>
      <c r="O53" s="614">
        <v>1476</v>
      </c>
      <c r="P53" s="627"/>
      <c r="Q53" s="615">
        <v>82</v>
      </c>
    </row>
    <row r="54" spans="1:17" ht="14.4" customHeight="1" x14ac:dyDescent="0.3">
      <c r="A54" s="610" t="s">
        <v>2117</v>
      </c>
      <c r="B54" s="611" t="s">
        <v>2118</v>
      </c>
      <c r="C54" s="611" t="s">
        <v>1782</v>
      </c>
      <c r="D54" s="611" t="s">
        <v>2141</v>
      </c>
      <c r="E54" s="611" t="s">
        <v>2142</v>
      </c>
      <c r="F54" s="614">
        <v>18</v>
      </c>
      <c r="G54" s="614">
        <v>17766</v>
      </c>
      <c r="H54" s="614">
        <v>1</v>
      </c>
      <c r="I54" s="614">
        <v>987</v>
      </c>
      <c r="J54" s="614">
        <v>17</v>
      </c>
      <c r="K54" s="614">
        <v>16779</v>
      </c>
      <c r="L54" s="614">
        <v>0.94444444444444442</v>
      </c>
      <c r="M54" s="614">
        <v>987</v>
      </c>
      <c r="N54" s="614">
        <v>29</v>
      </c>
      <c r="O54" s="614">
        <v>28623</v>
      </c>
      <c r="P54" s="627">
        <v>1.6111111111111112</v>
      </c>
      <c r="Q54" s="615">
        <v>987</v>
      </c>
    </row>
    <row r="55" spans="1:17" ht="14.4" customHeight="1" x14ac:dyDescent="0.3">
      <c r="A55" s="610" t="s">
        <v>2117</v>
      </c>
      <c r="B55" s="611" t="s">
        <v>2118</v>
      </c>
      <c r="C55" s="611" t="s">
        <v>1782</v>
      </c>
      <c r="D55" s="611" t="s">
        <v>2143</v>
      </c>
      <c r="E55" s="611" t="s">
        <v>2144</v>
      </c>
      <c r="F55" s="614">
        <v>1138</v>
      </c>
      <c r="G55" s="614">
        <v>34140</v>
      </c>
      <c r="H55" s="614">
        <v>1</v>
      </c>
      <c r="I55" s="614">
        <v>30</v>
      </c>
      <c r="J55" s="614">
        <v>1027</v>
      </c>
      <c r="K55" s="614">
        <v>29970</v>
      </c>
      <c r="L55" s="614">
        <v>0.87785588752196841</v>
      </c>
      <c r="M55" s="614">
        <v>29.182083739045765</v>
      </c>
      <c r="N55" s="614">
        <v>898</v>
      </c>
      <c r="O55" s="614">
        <v>26940</v>
      </c>
      <c r="P55" s="627">
        <v>0.78910369068541297</v>
      </c>
      <c r="Q55" s="615">
        <v>30</v>
      </c>
    </row>
    <row r="56" spans="1:17" ht="14.4" customHeight="1" x14ac:dyDescent="0.3">
      <c r="A56" s="610" t="s">
        <v>2117</v>
      </c>
      <c r="B56" s="611" t="s">
        <v>2118</v>
      </c>
      <c r="C56" s="611" t="s">
        <v>1782</v>
      </c>
      <c r="D56" s="611" t="s">
        <v>2145</v>
      </c>
      <c r="E56" s="611" t="s">
        <v>2146</v>
      </c>
      <c r="F56" s="614">
        <v>1</v>
      </c>
      <c r="G56" s="614">
        <v>82</v>
      </c>
      <c r="H56" s="614">
        <v>1</v>
      </c>
      <c r="I56" s="614">
        <v>82</v>
      </c>
      <c r="J56" s="614">
        <v>5</v>
      </c>
      <c r="K56" s="614">
        <v>410</v>
      </c>
      <c r="L56" s="614">
        <v>5</v>
      </c>
      <c r="M56" s="614">
        <v>82</v>
      </c>
      <c r="N56" s="614">
        <v>2</v>
      </c>
      <c r="O56" s="614">
        <v>164</v>
      </c>
      <c r="P56" s="627">
        <v>2</v>
      </c>
      <c r="Q56" s="615">
        <v>82</v>
      </c>
    </row>
    <row r="57" spans="1:17" ht="14.4" customHeight="1" x14ac:dyDescent="0.3">
      <c r="A57" s="610" t="s">
        <v>2117</v>
      </c>
      <c r="B57" s="611" t="s">
        <v>2118</v>
      </c>
      <c r="C57" s="611" t="s">
        <v>1782</v>
      </c>
      <c r="D57" s="611" t="s">
        <v>2147</v>
      </c>
      <c r="E57" s="611" t="s">
        <v>2148</v>
      </c>
      <c r="F57" s="614"/>
      <c r="G57" s="614"/>
      <c r="H57" s="614"/>
      <c r="I57" s="614"/>
      <c r="J57" s="614"/>
      <c r="K57" s="614"/>
      <c r="L57" s="614"/>
      <c r="M57" s="614"/>
      <c r="N57" s="614">
        <v>1</v>
      </c>
      <c r="O57" s="614">
        <v>31</v>
      </c>
      <c r="P57" s="627"/>
      <c r="Q57" s="615">
        <v>31</v>
      </c>
    </row>
    <row r="58" spans="1:17" ht="14.4" customHeight="1" x14ac:dyDescent="0.3">
      <c r="A58" s="610" t="s">
        <v>2117</v>
      </c>
      <c r="B58" s="611" t="s">
        <v>2118</v>
      </c>
      <c r="C58" s="611" t="s">
        <v>1782</v>
      </c>
      <c r="D58" s="611" t="s">
        <v>2149</v>
      </c>
      <c r="E58" s="611" t="s">
        <v>2150</v>
      </c>
      <c r="F58" s="614"/>
      <c r="G58" s="614"/>
      <c r="H58" s="614"/>
      <c r="I58" s="614"/>
      <c r="J58" s="614">
        <v>2</v>
      </c>
      <c r="K58" s="614">
        <v>525</v>
      </c>
      <c r="L58" s="614"/>
      <c r="M58" s="614">
        <v>262.5</v>
      </c>
      <c r="N58" s="614">
        <v>1</v>
      </c>
      <c r="O58" s="614">
        <v>263</v>
      </c>
      <c r="P58" s="627"/>
      <c r="Q58" s="615">
        <v>263</v>
      </c>
    </row>
    <row r="59" spans="1:17" ht="14.4" customHeight="1" x14ac:dyDescent="0.3">
      <c r="A59" s="610" t="s">
        <v>2117</v>
      </c>
      <c r="B59" s="611" t="s">
        <v>2118</v>
      </c>
      <c r="C59" s="611" t="s">
        <v>1782</v>
      </c>
      <c r="D59" s="611" t="s">
        <v>2151</v>
      </c>
      <c r="E59" s="611" t="s">
        <v>2152</v>
      </c>
      <c r="F59" s="614">
        <v>1</v>
      </c>
      <c r="G59" s="614">
        <v>266</v>
      </c>
      <c r="H59" s="614">
        <v>1</v>
      </c>
      <c r="I59" s="614">
        <v>266</v>
      </c>
      <c r="J59" s="614">
        <v>7</v>
      </c>
      <c r="K59" s="614">
        <v>1862</v>
      </c>
      <c r="L59" s="614">
        <v>7</v>
      </c>
      <c r="M59" s="614">
        <v>266</v>
      </c>
      <c r="N59" s="614"/>
      <c r="O59" s="614"/>
      <c r="P59" s="627"/>
      <c r="Q59" s="615"/>
    </row>
    <row r="60" spans="1:17" ht="14.4" customHeight="1" x14ac:dyDescent="0.3">
      <c r="A60" s="610" t="s">
        <v>2117</v>
      </c>
      <c r="B60" s="611" t="s">
        <v>2118</v>
      </c>
      <c r="C60" s="611" t="s">
        <v>1782</v>
      </c>
      <c r="D60" s="611" t="s">
        <v>2153</v>
      </c>
      <c r="E60" s="611" t="s">
        <v>2154</v>
      </c>
      <c r="F60" s="614">
        <v>1</v>
      </c>
      <c r="G60" s="614">
        <v>230</v>
      </c>
      <c r="H60" s="614">
        <v>1</v>
      </c>
      <c r="I60" s="614">
        <v>230</v>
      </c>
      <c r="J60" s="614">
        <v>7</v>
      </c>
      <c r="K60" s="614">
        <v>1610</v>
      </c>
      <c r="L60" s="614">
        <v>7</v>
      </c>
      <c r="M60" s="614">
        <v>230</v>
      </c>
      <c r="N60" s="614"/>
      <c r="O60" s="614"/>
      <c r="P60" s="627"/>
      <c r="Q60" s="615"/>
    </row>
    <row r="61" spans="1:17" ht="14.4" customHeight="1" x14ac:dyDescent="0.3">
      <c r="A61" s="610" t="s">
        <v>2117</v>
      </c>
      <c r="B61" s="611" t="s">
        <v>2118</v>
      </c>
      <c r="C61" s="611" t="s">
        <v>1782</v>
      </c>
      <c r="D61" s="611" t="s">
        <v>2155</v>
      </c>
      <c r="E61" s="611" t="s">
        <v>2156</v>
      </c>
      <c r="F61" s="614">
        <v>130</v>
      </c>
      <c r="G61" s="614">
        <v>2210</v>
      </c>
      <c r="H61" s="614">
        <v>1</v>
      </c>
      <c r="I61" s="614">
        <v>17</v>
      </c>
      <c r="J61" s="614">
        <v>107</v>
      </c>
      <c r="K61" s="614">
        <v>1819</v>
      </c>
      <c r="L61" s="614">
        <v>0.82307692307692304</v>
      </c>
      <c r="M61" s="614">
        <v>17</v>
      </c>
      <c r="N61" s="614">
        <v>121</v>
      </c>
      <c r="O61" s="614">
        <v>2057</v>
      </c>
      <c r="P61" s="627">
        <v>0.93076923076923079</v>
      </c>
      <c r="Q61" s="615">
        <v>17</v>
      </c>
    </row>
    <row r="62" spans="1:17" ht="14.4" customHeight="1" x14ac:dyDescent="0.3">
      <c r="A62" s="610" t="s">
        <v>2117</v>
      </c>
      <c r="B62" s="611" t="s">
        <v>2118</v>
      </c>
      <c r="C62" s="611" t="s">
        <v>1782</v>
      </c>
      <c r="D62" s="611" t="s">
        <v>2157</v>
      </c>
      <c r="E62" s="611" t="s">
        <v>2158</v>
      </c>
      <c r="F62" s="614"/>
      <c r="G62" s="614"/>
      <c r="H62" s="614"/>
      <c r="I62" s="614"/>
      <c r="J62" s="614">
        <v>1</v>
      </c>
      <c r="K62" s="614">
        <v>47</v>
      </c>
      <c r="L62" s="614"/>
      <c r="M62" s="614">
        <v>47</v>
      </c>
      <c r="N62" s="614"/>
      <c r="O62" s="614"/>
      <c r="P62" s="627"/>
      <c r="Q62" s="615"/>
    </row>
    <row r="63" spans="1:17" ht="14.4" customHeight="1" x14ac:dyDescent="0.3">
      <c r="A63" s="610" t="s">
        <v>2117</v>
      </c>
      <c r="B63" s="611" t="s">
        <v>2118</v>
      </c>
      <c r="C63" s="611" t="s">
        <v>1782</v>
      </c>
      <c r="D63" s="611" t="s">
        <v>2159</v>
      </c>
      <c r="E63" s="611" t="s">
        <v>2160</v>
      </c>
      <c r="F63" s="614">
        <v>1</v>
      </c>
      <c r="G63" s="614">
        <v>53</v>
      </c>
      <c r="H63" s="614">
        <v>1</v>
      </c>
      <c r="I63" s="614">
        <v>53</v>
      </c>
      <c r="J63" s="614">
        <v>5</v>
      </c>
      <c r="K63" s="614">
        <v>159</v>
      </c>
      <c r="L63" s="614">
        <v>3</v>
      </c>
      <c r="M63" s="614">
        <v>31.8</v>
      </c>
      <c r="N63" s="614">
        <v>4</v>
      </c>
      <c r="O63" s="614">
        <v>212</v>
      </c>
      <c r="P63" s="627">
        <v>4</v>
      </c>
      <c r="Q63" s="615">
        <v>53</v>
      </c>
    </row>
    <row r="64" spans="1:17" ht="14.4" customHeight="1" x14ac:dyDescent="0.3">
      <c r="A64" s="610" t="s">
        <v>2117</v>
      </c>
      <c r="B64" s="611" t="s">
        <v>2118</v>
      </c>
      <c r="C64" s="611" t="s">
        <v>1782</v>
      </c>
      <c r="D64" s="611" t="s">
        <v>2161</v>
      </c>
      <c r="E64" s="611" t="s">
        <v>2162</v>
      </c>
      <c r="F64" s="614">
        <v>1</v>
      </c>
      <c r="G64" s="614">
        <v>60</v>
      </c>
      <c r="H64" s="614">
        <v>1</v>
      </c>
      <c r="I64" s="614">
        <v>60</v>
      </c>
      <c r="J64" s="614"/>
      <c r="K64" s="614"/>
      <c r="L64" s="614"/>
      <c r="M64" s="614"/>
      <c r="N64" s="614"/>
      <c r="O64" s="614"/>
      <c r="P64" s="627"/>
      <c r="Q64" s="615"/>
    </row>
    <row r="65" spans="1:17" ht="14.4" customHeight="1" x14ac:dyDescent="0.3">
      <c r="A65" s="610" t="s">
        <v>2117</v>
      </c>
      <c r="B65" s="611" t="s">
        <v>2118</v>
      </c>
      <c r="C65" s="611" t="s">
        <v>1782</v>
      </c>
      <c r="D65" s="611" t="s">
        <v>2163</v>
      </c>
      <c r="E65" s="611" t="s">
        <v>2164</v>
      </c>
      <c r="F65" s="614">
        <v>1</v>
      </c>
      <c r="G65" s="614">
        <v>61</v>
      </c>
      <c r="H65" s="614">
        <v>1</v>
      </c>
      <c r="I65" s="614">
        <v>61</v>
      </c>
      <c r="J65" s="614"/>
      <c r="K65" s="614"/>
      <c r="L65" s="614"/>
      <c r="M65" s="614"/>
      <c r="N65" s="614"/>
      <c r="O65" s="614"/>
      <c r="P65" s="627"/>
      <c r="Q65" s="615"/>
    </row>
    <row r="66" spans="1:17" ht="14.4" customHeight="1" x14ac:dyDescent="0.3">
      <c r="A66" s="610" t="s">
        <v>2117</v>
      </c>
      <c r="B66" s="611" t="s">
        <v>2118</v>
      </c>
      <c r="C66" s="611" t="s">
        <v>1782</v>
      </c>
      <c r="D66" s="611" t="s">
        <v>2165</v>
      </c>
      <c r="E66" s="611" t="s">
        <v>2166</v>
      </c>
      <c r="F66" s="614">
        <v>54</v>
      </c>
      <c r="G66" s="614">
        <v>1026</v>
      </c>
      <c r="H66" s="614">
        <v>1</v>
      </c>
      <c r="I66" s="614">
        <v>19</v>
      </c>
      <c r="J66" s="614">
        <v>37</v>
      </c>
      <c r="K66" s="614">
        <v>703</v>
      </c>
      <c r="L66" s="614">
        <v>0.68518518518518523</v>
      </c>
      <c r="M66" s="614">
        <v>19</v>
      </c>
      <c r="N66" s="614">
        <v>32</v>
      </c>
      <c r="O66" s="614">
        <v>608</v>
      </c>
      <c r="P66" s="627">
        <v>0.59259259259259256</v>
      </c>
      <c r="Q66" s="615">
        <v>19</v>
      </c>
    </row>
    <row r="67" spans="1:17" ht="14.4" customHeight="1" x14ac:dyDescent="0.3">
      <c r="A67" s="610" t="s">
        <v>2117</v>
      </c>
      <c r="B67" s="611" t="s">
        <v>2118</v>
      </c>
      <c r="C67" s="611" t="s">
        <v>1782</v>
      </c>
      <c r="D67" s="611" t="s">
        <v>2167</v>
      </c>
      <c r="E67" s="611" t="s">
        <v>2168</v>
      </c>
      <c r="F67" s="614">
        <v>3</v>
      </c>
      <c r="G67" s="614">
        <v>315</v>
      </c>
      <c r="H67" s="614">
        <v>1</v>
      </c>
      <c r="I67" s="614">
        <v>105</v>
      </c>
      <c r="J67" s="614">
        <v>13</v>
      </c>
      <c r="K67" s="614">
        <v>1378</v>
      </c>
      <c r="L67" s="614">
        <v>4.3746031746031742</v>
      </c>
      <c r="M67" s="614">
        <v>106</v>
      </c>
      <c r="N67" s="614"/>
      <c r="O67" s="614"/>
      <c r="P67" s="627"/>
      <c r="Q67" s="615"/>
    </row>
    <row r="68" spans="1:17" ht="14.4" customHeight="1" x14ac:dyDescent="0.3">
      <c r="A68" s="610" t="s">
        <v>2117</v>
      </c>
      <c r="B68" s="611" t="s">
        <v>2118</v>
      </c>
      <c r="C68" s="611" t="s">
        <v>1782</v>
      </c>
      <c r="D68" s="611" t="s">
        <v>2169</v>
      </c>
      <c r="E68" s="611" t="s">
        <v>2170</v>
      </c>
      <c r="F68" s="614"/>
      <c r="G68" s="614"/>
      <c r="H68" s="614"/>
      <c r="I68" s="614"/>
      <c r="J68" s="614">
        <v>1</v>
      </c>
      <c r="K68" s="614">
        <v>391</v>
      </c>
      <c r="L68" s="614"/>
      <c r="M68" s="614">
        <v>391</v>
      </c>
      <c r="N68" s="614"/>
      <c r="O68" s="614"/>
      <c r="P68" s="627"/>
      <c r="Q68" s="615"/>
    </row>
    <row r="69" spans="1:17" ht="14.4" customHeight="1" x14ac:dyDescent="0.3">
      <c r="A69" s="610" t="s">
        <v>2117</v>
      </c>
      <c r="B69" s="611" t="s">
        <v>2118</v>
      </c>
      <c r="C69" s="611" t="s">
        <v>1782</v>
      </c>
      <c r="D69" s="611" t="s">
        <v>2171</v>
      </c>
      <c r="E69" s="611" t="s">
        <v>2172</v>
      </c>
      <c r="F69" s="614">
        <v>17</v>
      </c>
      <c r="G69" s="614">
        <v>7837</v>
      </c>
      <c r="H69" s="614">
        <v>1</v>
      </c>
      <c r="I69" s="614">
        <v>461</v>
      </c>
      <c r="J69" s="614">
        <v>14</v>
      </c>
      <c r="K69" s="614">
        <v>6463</v>
      </c>
      <c r="L69" s="614">
        <v>0.82467781038662757</v>
      </c>
      <c r="M69" s="614">
        <v>461.64285714285717</v>
      </c>
      <c r="N69" s="614">
        <v>17</v>
      </c>
      <c r="O69" s="614">
        <v>7854</v>
      </c>
      <c r="P69" s="627">
        <v>1.0021691973969631</v>
      </c>
      <c r="Q69" s="615">
        <v>462</v>
      </c>
    </row>
    <row r="70" spans="1:17" ht="14.4" customHeight="1" x14ac:dyDescent="0.3">
      <c r="A70" s="610" t="s">
        <v>2117</v>
      </c>
      <c r="B70" s="611" t="s">
        <v>2118</v>
      </c>
      <c r="C70" s="611" t="s">
        <v>1782</v>
      </c>
      <c r="D70" s="611" t="s">
        <v>2173</v>
      </c>
      <c r="E70" s="611" t="s">
        <v>2174</v>
      </c>
      <c r="F70" s="614">
        <v>29</v>
      </c>
      <c r="G70" s="614">
        <v>9048</v>
      </c>
      <c r="H70" s="614">
        <v>1</v>
      </c>
      <c r="I70" s="614">
        <v>312</v>
      </c>
      <c r="J70" s="614">
        <v>34</v>
      </c>
      <c r="K70" s="614">
        <v>10608</v>
      </c>
      <c r="L70" s="614">
        <v>1.1724137931034482</v>
      </c>
      <c r="M70" s="614">
        <v>312</v>
      </c>
      <c r="N70" s="614">
        <v>20</v>
      </c>
      <c r="O70" s="614">
        <v>6240</v>
      </c>
      <c r="P70" s="627">
        <v>0.68965517241379315</v>
      </c>
      <c r="Q70" s="615">
        <v>312</v>
      </c>
    </row>
    <row r="71" spans="1:17" ht="14.4" customHeight="1" x14ac:dyDescent="0.3">
      <c r="A71" s="610" t="s">
        <v>2117</v>
      </c>
      <c r="B71" s="611" t="s">
        <v>2118</v>
      </c>
      <c r="C71" s="611" t="s">
        <v>1782</v>
      </c>
      <c r="D71" s="611" t="s">
        <v>2175</v>
      </c>
      <c r="E71" s="611" t="s">
        <v>2176</v>
      </c>
      <c r="F71" s="614">
        <v>1</v>
      </c>
      <c r="G71" s="614">
        <v>851</v>
      </c>
      <c r="H71" s="614">
        <v>1</v>
      </c>
      <c r="I71" s="614">
        <v>851</v>
      </c>
      <c r="J71" s="614"/>
      <c r="K71" s="614"/>
      <c r="L71" s="614"/>
      <c r="M71" s="614"/>
      <c r="N71" s="614"/>
      <c r="O71" s="614"/>
      <c r="P71" s="627"/>
      <c r="Q71" s="615"/>
    </row>
    <row r="72" spans="1:17" ht="14.4" customHeight="1" x14ac:dyDescent="0.3">
      <c r="A72" s="610" t="s">
        <v>2117</v>
      </c>
      <c r="B72" s="611" t="s">
        <v>2118</v>
      </c>
      <c r="C72" s="611" t="s">
        <v>1782</v>
      </c>
      <c r="D72" s="611" t="s">
        <v>2177</v>
      </c>
      <c r="E72" s="611" t="s">
        <v>2178</v>
      </c>
      <c r="F72" s="614">
        <v>1204</v>
      </c>
      <c r="G72" s="614">
        <v>222740</v>
      </c>
      <c r="H72" s="614">
        <v>1</v>
      </c>
      <c r="I72" s="614">
        <v>185</v>
      </c>
      <c r="J72" s="614">
        <v>1398</v>
      </c>
      <c r="K72" s="614">
        <v>252147</v>
      </c>
      <c r="L72" s="614">
        <v>1.1320238843494657</v>
      </c>
      <c r="M72" s="614">
        <v>180.362660944206</v>
      </c>
      <c r="N72" s="614">
        <v>1113</v>
      </c>
      <c r="O72" s="614">
        <v>207018</v>
      </c>
      <c r="P72" s="627">
        <v>0.92941546197360148</v>
      </c>
      <c r="Q72" s="615">
        <v>186</v>
      </c>
    </row>
    <row r="73" spans="1:17" ht="14.4" customHeight="1" x14ac:dyDescent="0.3">
      <c r="A73" s="610" t="s">
        <v>2117</v>
      </c>
      <c r="B73" s="611" t="s">
        <v>2118</v>
      </c>
      <c r="C73" s="611" t="s">
        <v>1782</v>
      </c>
      <c r="D73" s="611" t="s">
        <v>2179</v>
      </c>
      <c r="E73" s="611" t="s">
        <v>2180</v>
      </c>
      <c r="F73" s="614"/>
      <c r="G73" s="614"/>
      <c r="H73" s="614"/>
      <c r="I73" s="614"/>
      <c r="J73" s="614">
        <v>1</v>
      </c>
      <c r="K73" s="614">
        <v>166</v>
      </c>
      <c r="L73" s="614"/>
      <c r="M73" s="614">
        <v>166</v>
      </c>
      <c r="N73" s="614"/>
      <c r="O73" s="614"/>
      <c r="P73" s="627"/>
      <c r="Q73" s="615"/>
    </row>
    <row r="74" spans="1:17" ht="14.4" customHeight="1" x14ac:dyDescent="0.3">
      <c r="A74" s="610" t="s">
        <v>2117</v>
      </c>
      <c r="B74" s="611" t="s">
        <v>2118</v>
      </c>
      <c r="C74" s="611" t="s">
        <v>1782</v>
      </c>
      <c r="D74" s="611" t="s">
        <v>2181</v>
      </c>
      <c r="E74" s="611" t="s">
        <v>2182</v>
      </c>
      <c r="F74" s="614"/>
      <c r="G74" s="614"/>
      <c r="H74" s="614"/>
      <c r="I74" s="614"/>
      <c r="J74" s="614">
        <v>1</v>
      </c>
      <c r="K74" s="614">
        <v>236</v>
      </c>
      <c r="L74" s="614"/>
      <c r="M74" s="614">
        <v>236</v>
      </c>
      <c r="N74" s="614"/>
      <c r="O74" s="614"/>
      <c r="P74" s="627"/>
      <c r="Q74" s="615"/>
    </row>
    <row r="75" spans="1:17" ht="14.4" customHeight="1" x14ac:dyDescent="0.3">
      <c r="A75" s="610" t="s">
        <v>2117</v>
      </c>
      <c r="B75" s="611" t="s">
        <v>2118</v>
      </c>
      <c r="C75" s="611" t="s">
        <v>1782</v>
      </c>
      <c r="D75" s="611" t="s">
        <v>2183</v>
      </c>
      <c r="E75" s="611" t="s">
        <v>2184</v>
      </c>
      <c r="F75" s="614">
        <v>4</v>
      </c>
      <c r="G75" s="614">
        <v>4840</v>
      </c>
      <c r="H75" s="614">
        <v>1</v>
      </c>
      <c r="I75" s="614">
        <v>1210</v>
      </c>
      <c r="J75" s="614">
        <v>4</v>
      </c>
      <c r="K75" s="614">
        <v>4856</v>
      </c>
      <c r="L75" s="614">
        <v>1.0033057851239668</v>
      </c>
      <c r="M75" s="614">
        <v>1214</v>
      </c>
      <c r="N75" s="614"/>
      <c r="O75" s="614"/>
      <c r="P75" s="627"/>
      <c r="Q75" s="615"/>
    </row>
    <row r="76" spans="1:17" ht="14.4" customHeight="1" x14ac:dyDescent="0.3">
      <c r="A76" s="610" t="s">
        <v>2117</v>
      </c>
      <c r="B76" s="611" t="s">
        <v>2118</v>
      </c>
      <c r="C76" s="611" t="s">
        <v>1782</v>
      </c>
      <c r="D76" s="611" t="s">
        <v>2185</v>
      </c>
      <c r="E76" s="611" t="s">
        <v>2186</v>
      </c>
      <c r="F76" s="614">
        <v>14</v>
      </c>
      <c r="G76" s="614">
        <v>10962</v>
      </c>
      <c r="H76" s="614">
        <v>1</v>
      </c>
      <c r="I76" s="614">
        <v>783</v>
      </c>
      <c r="J76" s="614">
        <v>12</v>
      </c>
      <c r="K76" s="614">
        <v>9418</v>
      </c>
      <c r="L76" s="614">
        <v>0.85914979018427295</v>
      </c>
      <c r="M76" s="614">
        <v>784.83333333333337</v>
      </c>
      <c r="N76" s="614">
        <v>36</v>
      </c>
      <c r="O76" s="614">
        <v>28296</v>
      </c>
      <c r="P76" s="627">
        <v>2.5812807881773399</v>
      </c>
      <c r="Q76" s="615">
        <v>786</v>
      </c>
    </row>
    <row r="77" spans="1:17" ht="14.4" customHeight="1" x14ac:dyDescent="0.3">
      <c r="A77" s="610" t="s">
        <v>2117</v>
      </c>
      <c r="B77" s="611" t="s">
        <v>2118</v>
      </c>
      <c r="C77" s="611" t="s">
        <v>1782</v>
      </c>
      <c r="D77" s="611" t="s">
        <v>2187</v>
      </c>
      <c r="E77" s="611" t="s">
        <v>2188</v>
      </c>
      <c r="F77" s="614"/>
      <c r="G77" s="614"/>
      <c r="H77" s="614"/>
      <c r="I77" s="614"/>
      <c r="J77" s="614">
        <v>5</v>
      </c>
      <c r="K77" s="614">
        <v>938</v>
      </c>
      <c r="L77" s="614"/>
      <c r="M77" s="614">
        <v>187.6</v>
      </c>
      <c r="N77" s="614">
        <v>4</v>
      </c>
      <c r="O77" s="614">
        <v>752</v>
      </c>
      <c r="P77" s="627"/>
      <c r="Q77" s="615">
        <v>188</v>
      </c>
    </row>
    <row r="78" spans="1:17" ht="14.4" customHeight="1" x14ac:dyDescent="0.3">
      <c r="A78" s="610" t="s">
        <v>2117</v>
      </c>
      <c r="B78" s="611" t="s">
        <v>2118</v>
      </c>
      <c r="C78" s="611" t="s">
        <v>1782</v>
      </c>
      <c r="D78" s="611" t="s">
        <v>2189</v>
      </c>
      <c r="E78" s="611" t="s">
        <v>2190</v>
      </c>
      <c r="F78" s="614"/>
      <c r="G78" s="614"/>
      <c r="H78" s="614"/>
      <c r="I78" s="614"/>
      <c r="J78" s="614">
        <v>2</v>
      </c>
      <c r="K78" s="614">
        <v>354</v>
      </c>
      <c r="L78" s="614"/>
      <c r="M78" s="614">
        <v>177</v>
      </c>
      <c r="N78" s="614"/>
      <c r="O78" s="614"/>
      <c r="P78" s="627"/>
      <c r="Q78" s="615"/>
    </row>
    <row r="79" spans="1:17" ht="14.4" customHeight="1" x14ac:dyDescent="0.3">
      <c r="A79" s="610" t="s">
        <v>2117</v>
      </c>
      <c r="B79" s="611" t="s">
        <v>2118</v>
      </c>
      <c r="C79" s="611" t="s">
        <v>1782</v>
      </c>
      <c r="D79" s="611" t="s">
        <v>2191</v>
      </c>
      <c r="E79" s="611" t="s">
        <v>2192</v>
      </c>
      <c r="F79" s="614">
        <v>59</v>
      </c>
      <c r="G79" s="614">
        <v>13393</v>
      </c>
      <c r="H79" s="614">
        <v>1</v>
      </c>
      <c r="I79" s="614">
        <v>227</v>
      </c>
      <c r="J79" s="614">
        <v>70</v>
      </c>
      <c r="K79" s="614">
        <v>15930</v>
      </c>
      <c r="L79" s="614">
        <v>1.1894273127753303</v>
      </c>
      <c r="M79" s="614">
        <v>227.57142857142858</v>
      </c>
      <c r="N79" s="614">
        <v>84</v>
      </c>
      <c r="O79" s="614">
        <v>19152</v>
      </c>
      <c r="P79" s="627">
        <v>1.4300007466587024</v>
      </c>
      <c r="Q79" s="615">
        <v>228</v>
      </c>
    </row>
    <row r="80" spans="1:17" ht="14.4" customHeight="1" x14ac:dyDescent="0.3">
      <c r="A80" s="610" t="s">
        <v>2117</v>
      </c>
      <c r="B80" s="611" t="s">
        <v>2118</v>
      </c>
      <c r="C80" s="611" t="s">
        <v>1782</v>
      </c>
      <c r="D80" s="611" t="s">
        <v>2193</v>
      </c>
      <c r="E80" s="611" t="s">
        <v>2194</v>
      </c>
      <c r="F80" s="614"/>
      <c r="G80" s="614"/>
      <c r="H80" s="614"/>
      <c r="I80" s="614"/>
      <c r="J80" s="614">
        <v>2</v>
      </c>
      <c r="K80" s="614">
        <v>316</v>
      </c>
      <c r="L80" s="614"/>
      <c r="M80" s="614">
        <v>158</v>
      </c>
      <c r="N80" s="614"/>
      <c r="O80" s="614"/>
      <c r="P80" s="627"/>
      <c r="Q80" s="615"/>
    </row>
    <row r="81" spans="1:17" ht="14.4" customHeight="1" x14ac:dyDescent="0.3">
      <c r="A81" s="610" t="s">
        <v>2117</v>
      </c>
      <c r="B81" s="611" t="s">
        <v>2118</v>
      </c>
      <c r="C81" s="611" t="s">
        <v>1782</v>
      </c>
      <c r="D81" s="611" t="s">
        <v>2195</v>
      </c>
      <c r="E81" s="611" t="s">
        <v>2196</v>
      </c>
      <c r="F81" s="614"/>
      <c r="G81" s="614"/>
      <c r="H81" s="614"/>
      <c r="I81" s="614"/>
      <c r="J81" s="614">
        <v>1</v>
      </c>
      <c r="K81" s="614">
        <v>461</v>
      </c>
      <c r="L81" s="614"/>
      <c r="M81" s="614">
        <v>461</v>
      </c>
      <c r="N81" s="614"/>
      <c r="O81" s="614"/>
      <c r="P81" s="627"/>
      <c r="Q81" s="615"/>
    </row>
    <row r="82" spans="1:17" ht="14.4" customHeight="1" x14ac:dyDescent="0.3">
      <c r="A82" s="610" t="s">
        <v>2117</v>
      </c>
      <c r="B82" s="611" t="s">
        <v>2118</v>
      </c>
      <c r="C82" s="611" t="s">
        <v>1782</v>
      </c>
      <c r="D82" s="611" t="s">
        <v>2197</v>
      </c>
      <c r="E82" s="611" t="s">
        <v>2198</v>
      </c>
      <c r="F82" s="614">
        <v>4</v>
      </c>
      <c r="G82" s="614">
        <v>2240</v>
      </c>
      <c r="H82" s="614">
        <v>1</v>
      </c>
      <c r="I82" s="614">
        <v>560</v>
      </c>
      <c r="J82" s="614"/>
      <c r="K82" s="614"/>
      <c r="L82" s="614"/>
      <c r="M82" s="614"/>
      <c r="N82" s="614"/>
      <c r="O82" s="614"/>
      <c r="P82" s="627"/>
      <c r="Q82" s="615"/>
    </row>
    <row r="83" spans="1:17" ht="14.4" customHeight="1" x14ac:dyDescent="0.3">
      <c r="A83" s="610" t="s">
        <v>2117</v>
      </c>
      <c r="B83" s="611" t="s">
        <v>2118</v>
      </c>
      <c r="C83" s="611" t="s">
        <v>1782</v>
      </c>
      <c r="D83" s="611" t="s">
        <v>2199</v>
      </c>
      <c r="E83" s="611" t="s">
        <v>2200</v>
      </c>
      <c r="F83" s="614"/>
      <c r="G83" s="614"/>
      <c r="H83" s="614"/>
      <c r="I83" s="614"/>
      <c r="J83" s="614">
        <v>1</v>
      </c>
      <c r="K83" s="614">
        <v>200</v>
      </c>
      <c r="L83" s="614"/>
      <c r="M83" s="614">
        <v>200</v>
      </c>
      <c r="N83" s="614"/>
      <c r="O83" s="614"/>
      <c r="P83" s="627"/>
      <c r="Q83" s="615"/>
    </row>
    <row r="84" spans="1:17" ht="14.4" customHeight="1" x14ac:dyDescent="0.3">
      <c r="A84" s="610" t="s">
        <v>2117</v>
      </c>
      <c r="B84" s="611" t="s">
        <v>2118</v>
      </c>
      <c r="C84" s="611" t="s">
        <v>1782</v>
      </c>
      <c r="D84" s="611" t="s">
        <v>2201</v>
      </c>
      <c r="E84" s="611" t="s">
        <v>2202</v>
      </c>
      <c r="F84" s="614"/>
      <c r="G84" s="614"/>
      <c r="H84" s="614"/>
      <c r="I84" s="614"/>
      <c r="J84" s="614"/>
      <c r="K84" s="614"/>
      <c r="L84" s="614"/>
      <c r="M84" s="614"/>
      <c r="N84" s="614">
        <v>6</v>
      </c>
      <c r="O84" s="614">
        <v>1068</v>
      </c>
      <c r="P84" s="627"/>
      <c r="Q84" s="615">
        <v>178</v>
      </c>
    </row>
    <row r="85" spans="1:17" ht="14.4" customHeight="1" x14ac:dyDescent="0.3">
      <c r="A85" s="610" t="s">
        <v>2117</v>
      </c>
      <c r="B85" s="611" t="s">
        <v>2118</v>
      </c>
      <c r="C85" s="611" t="s">
        <v>1782</v>
      </c>
      <c r="D85" s="611" t="s">
        <v>2203</v>
      </c>
      <c r="E85" s="611" t="s">
        <v>2204</v>
      </c>
      <c r="F85" s="614">
        <v>1</v>
      </c>
      <c r="G85" s="614">
        <v>412</v>
      </c>
      <c r="H85" s="614">
        <v>1</v>
      </c>
      <c r="I85" s="614">
        <v>412</v>
      </c>
      <c r="J85" s="614">
        <v>1</v>
      </c>
      <c r="K85" s="614">
        <v>412</v>
      </c>
      <c r="L85" s="614">
        <v>1</v>
      </c>
      <c r="M85" s="614">
        <v>412</v>
      </c>
      <c r="N85" s="614"/>
      <c r="O85" s="614"/>
      <c r="P85" s="627"/>
      <c r="Q85" s="615"/>
    </row>
    <row r="86" spans="1:17" ht="14.4" customHeight="1" x14ac:dyDescent="0.3">
      <c r="A86" s="610" t="s">
        <v>2117</v>
      </c>
      <c r="B86" s="611" t="s">
        <v>2118</v>
      </c>
      <c r="C86" s="611" t="s">
        <v>1782</v>
      </c>
      <c r="D86" s="611" t="s">
        <v>2205</v>
      </c>
      <c r="E86" s="611" t="s">
        <v>2206</v>
      </c>
      <c r="F86" s="614">
        <v>1</v>
      </c>
      <c r="G86" s="614">
        <v>394</v>
      </c>
      <c r="H86" s="614">
        <v>1</v>
      </c>
      <c r="I86" s="614">
        <v>394</v>
      </c>
      <c r="J86" s="614">
        <v>1</v>
      </c>
      <c r="K86" s="614">
        <v>394</v>
      </c>
      <c r="L86" s="614">
        <v>1</v>
      </c>
      <c r="M86" s="614">
        <v>394</v>
      </c>
      <c r="N86" s="614"/>
      <c r="O86" s="614"/>
      <c r="P86" s="627"/>
      <c r="Q86" s="615"/>
    </row>
    <row r="87" spans="1:17" ht="14.4" customHeight="1" x14ac:dyDescent="0.3">
      <c r="A87" s="610" t="s">
        <v>2117</v>
      </c>
      <c r="B87" s="611" t="s">
        <v>2118</v>
      </c>
      <c r="C87" s="611" t="s">
        <v>1782</v>
      </c>
      <c r="D87" s="611" t="s">
        <v>2207</v>
      </c>
      <c r="E87" s="611" t="s">
        <v>2208</v>
      </c>
      <c r="F87" s="614"/>
      <c r="G87" s="614"/>
      <c r="H87" s="614"/>
      <c r="I87" s="614"/>
      <c r="J87" s="614"/>
      <c r="K87" s="614"/>
      <c r="L87" s="614"/>
      <c r="M87" s="614"/>
      <c r="N87" s="614">
        <v>2</v>
      </c>
      <c r="O87" s="614">
        <v>620</v>
      </c>
      <c r="P87" s="627"/>
      <c r="Q87" s="615">
        <v>310</v>
      </c>
    </row>
    <row r="88" spans="1:17" ht="14.4" customHeight="1" x14ac:dyDescent="0.3">
      <c r="A88" s="610" t="s">
        <v>2117</v>
      </c>
      <c r="B88" s="611" t="s">
        <v>2118</v>
      </c>
      <c r="C88" s="611" t="s">
        <v>1782</v>
      </c>
      <c r="D88" s="611" t="s">
        <v>2209</v>
      </c>
      <c r="E88" s="611" t="s">
        <v>2210</v>
      </c>
      <c r="F88" s="614">
        <v>2</v>
      </c>
      <c r="G88" s="614">
        <v>176</v>
      </c>
      <c r="H88" s="614">
        <v>1</v>
      </c>
      <c r="I88" s="614">
        <v>88</v>
      </c>
      <c r="J88" s="614">
        <v>1</v>
      </c>
      <c r="K88" s="614">
        <v>89</v>
      </c>
      <c r="L88" s="614">
        <v>0.50568181818181823</v>
      </c>
      <c r="M88" s="614">
        <v>89</v>
      </c>
      <c r="N88" s="614">
        <v>1</v>
      </c>
      <c r="O88" s="614">
        <v>89</v>
      </c>
      <c r="P88" s="627">
        <v>0.50568181818181823</v>
      </c>
      <c r="Q88" s="615">
        <v>89</v>
      </c>
    </row>
    <row r="89" spans="1:17" ht="14.4" customHeight="1" x14ac:dyDescent="0.3">
      <c r="A89" s="610" t="s">
        <v>2117</v>
      </c>
      <c r="B89" s="611" t="s">
        <v>2118</v>
      </c>
      <c r="C89" s="611" t="s">
        <v>1782</v>
      </c>
      <c r="D89" s="611" t="s">
        <v>2211</v>
      </c>
      <c r="E89" s="611" t="s">
        <v>2212</v>
      </c>
      <c r="F89" s="614">
        <v>3289</v>
      </c>
      <c r="G89" s="614">
        <v>95381</v>
      </c>
      <c r="H89" s="614">
        <v>1</v>
      </c>
      <c r="I89" s="614">
        <v>29</v>
      </c>
      <c r="J89" s="614">
        <v>1765</v>
      </c>
      <c r="K89" s="614">
        <v>51524</v>
      </c>
      <c r="L89" s="614">
        <v>0.54019144274016839</v>
      </c>
      <c r="M89" s="614">
        <v>29.192067988668555</v>
      </c>
      <c r="N89" s="614">
        <v>1610</v>
      </c>
      <c r="O89" s="614">
        <v>48300</v>
      </c>
      <c r="P89" s="627">
        <v>0.50639016156257532</v>
      </c>
      <c r="Q89" s="615">
        <v>30</v>
      </c>
    </row>
    <row r="90" spans="1:17" ht="14.4" customHeight="1" x14ac:dyDescent="0.3">
      <c r="A90" s="610" t="s">
        <v>2117</v>
      </c>
      <c r="B90" s="611" t="s">
        <v>2118</v>
      </c>
      <c r="C90" s="611" t="s">
        <v>1782</v>
      </c>
      <c r="D90" s="611" t="s">
        <v>2213</v>
      </c>
      <c r="E90" s="611" t="s">
        <v>2214</v>
      </c>
      <c r="F90" s="614">
        <v>1</v>
      </c>
      <c r="G90" s="614">
        <v>50</v>
      </c>
      <c r="H90" s="614">
        <v>1</v>
      </c>
      <c r="I90" s="614">
        <v>50</v>
      </c>
      <c r="J90" s="614"/>
      <c r="K90" s="614"/>
      <c r="L90" s="614"/>
      <c r="M90" s="614"/>
      <c r="N90" s="614"/>
      <c r="O90" s="614"/>
      <c r="P90" s="627"/>
      <c r="Q90" s="615"/>
    </row>
    <row r="91" spans="1:17" ht="14.4" customHeight="1" x14ac:dyDescent="0.3">
      <c r="A91" s="610" t="s">
        <v>2117</v>
      </c>
      <c r="B91" s="611" t="s">
        <v>2118</v>
      </c>
      <c r="C91" s="611" t="s">
        <v>1782</v>
      </c>
      <c r="D91" s="611" t="s">
        <v>2215</v>
      </c>
      <c r="E91" s="611" t="s">
        <v>2216</v>
      </c>
      <c r="F91" s="614">
        <v>38</v>
      </c>
      <c r="G91" s="614">
        <v>456</v>
      </c>
      <c r="H91" s="614">
        <v>1</v>
      </c>
      <c r="I91" s="614">
        <v>12</v>
      </c>
      <c r="J91" s="614">
        <v>25</v>
      </c>
      <c r="K91" s="614">
        <v>300</v>
      </c>
      <c r="L91" s="614">
        <v>0.65789473684210531</v>
      </c>
      <c r="M91" s="614">
        <v>12</v>
      </c>
      <c r="N91" s="614">
        <v>10</v>
      </c>
      <c r="O91" s="614">
        <v>120</v>
      </c>
      <c r="P91" s="627">
        <v>0.26315789473684209</v>
      </c>
      <c r="Q91" s="615">
        <v>12</v>
      </c>
    </row>
    <row r="92" spans="1:17" ht="14.4" customHeight="1" x14ac:dyDescent="0.3">
      <c r="A92" s="610" t="s">
        <v>2117</v>
      </c>
      <c r="B92" s="611" t="s">
        <v>2118</v>
      </c>
      <c r="C92" s="611" t="s">
        <v>1782</v>
      </c>
      <c r="D92" s="611" t="s">
        <v>2217</v>
      </c>
      <c r="E92" s="611" t="s">
        <v>2218</v>
      </c>
      <c r="F92" s="614">
        <v>3</v>
      </c>
      <c r="G92" s="614">
        <v>543</v>
      </c>
      <c r="H92" s="614">
        <v>1</v>
      </c>
      <c r="I92" s="614">
        <v>181</v>
      </c>
      <c r="J92" s="614">
        <v>7</v>
      </c>
      <c r="K92" s="614">
        <v>1269</v>
      </c>
      <c r="L92" s="614">
        <v>2.3370165745856353</v>
      </c>
      <c r="M92" s="614">
        <v>181.28571428571428</v>
      </c>
      <c r="N92" s="614">
        <v>1</v>
      </c>
      <c r="O92" s="614">
        <v>182</v>
      </c>
      <c r="P92" s="627">
        <v>0.33517495395948432</v>
      </c>
      <c r="Q92" s="615">
        <v>182</v>
      </c>
    </row>
    <row r="93" spans="1:17" ht="14.4" customHeight="1" x14ac:dyDescent="0.3">
      <c r="A93" s="610" t="s">
        <v>2117</v>
      </c>
      <c r="B93" s="611" t="s">
        <v>2118</v>
      </c>
      <c r="C93" s="611" t="s">
        <v>1782</v>
      </c>
      <c r="D93" s="611" t="s">
        <v>2219</v>
      </c>
      <c r="E93" s="611" t="s">
        <v>2220</v>
      </c>
      <c r="F93" s="614">
        <v>3252</v>
      </c>
      <c r="G93" s="614">
        <v>230892</v>
      </c>
      <c r="H93" s="614">
        <v>1</v>
      </c>
      <c r="I93" s="614">
        <v>71</v>
      </c>
      <c r="J93" s="614">
        <v>1102</v>
      </c>
      <c r="K93" s="614">
        <v>76978</v>
      </c>
      <c r="L93" s="614">
        <v>0.3333939677424943</v>
      </c>
      <c r="M93" s="614">
        <v>69.852994555353902</v>
      </c>
      <c r="N93" s="614">
        <v>18</v>
      </c>
      <c r="O93" s="614">
        <v>1296</v>
      </c>
      <c r="P93" s="627">
        <v>5.6130138766176396E-3</v>
      </c>
      <c r="Q93" s="615">
        <v>72</v>
      </c>
    </row>
    <row r="94" spans="1:17" ht="14.4" customHeight="1" x14ac:dyDescent="0.3">
      <c r="A94" s="610" t="s">
        <v>2117</v>
      </c>
      <c r="B94" s="611" t="s">
        <v>2118</v>
      </c>
      <c r="C94" s="611" t="s">
        <v>1782</v>
      </c>
      <c r="D94" s="611" t="s">
        <v>2221</v>
      </c>
      <c r="E94" s="611" t="s">
        <v>2222</v>
      </c>
      <c r="F94" s="614">
        <v>2</v>
      </c>
      <c r="G94" s="614">
        <v>364</v>
      </c>
      <c r="H94" s="614">
        <v>1</v>
      </c>
      <c r="I94" s="614">
        <v>182</v>
      </c>
      <c r="J94" s="614"/>
      <c r="K94" s="614"/>
      <c r="L94" s="614"/>
      <c r="M94" s="614"/>
      <c r="N94" s="614"/>
      <c r="O94" s="614"/>
      <c r="P94" s="627"/>
      <c r="Q94" s="615"/>
    </row>
    <row r="95" spans="1:17" ht="14.4" customHeight="1" x14ac:dyDescent="0.3">
      <c r="A95" s="610" t="s">
        <v>2117</v>
      </c>
      <c r="B95" s="611" t="s">
        <v>2118</v>
      </c>
      <c r="C95" s="611" t="s">
        <v>1782</v>
      </c>
      <c r="D95" s="611" t="s">
        <v>2049</v>
      </c>
      <c r="E95" s="611" t="s">
        <v>2050</v>
      </c>
      <c r="F95" s="614">
        <v>1</v>
      </c>
      <c r="G95" s="614">
        <v>1245</v>
      </c>
      <c r="H95" s="614">
        <v>1</v>
      </c>
      <c r="I95" s="614">
        <v>1245</v>
      </c>
      <c r="J95" s="614">
        <v>23</v>
      </c>
      <c r="K95" s="614">
        <v>13855</v>
      </c>
      <c r="L95" s="614">
        <v>11.128514056224899</v>
      </c>
      <c r="M95" s="614">
        <v>602.39130434782612</v>
      </c>
      <c r="N95" s="614">
        <v>22</v>
      </c>
      <c r="O95" s="614">
        <v>27896</v>
      </c>
      <c r="P95" s="627">
        <v>22.406425702811244</v>
      </c>
      <c r="Q95" s="615">
        <v>1268</v>
      </c>
    </row>
    <row r="96" spans="1:17" ht="14.4" customHeight="1" x14ac:dyDescent="0.3">
      <c r="A96" s="610" t="s">
        <v>2117</v>
      </c>
      <c r="B96" s="611" t="s">
        <v>2118</v>
      </c>
      <c r="C96" s="611" t="s">
        <v>1782</v>
      </c>
      <c r="D96" s="611" t="s">
        <v>2223</v>
      </c>
      <c r="E96" s="611" t="s">
        <v>2224</v>
      </c>
      <c r="F96" s="614">
        <v>911</v>
      </c>
      <c r="G96" s="614">
        <v>133917</v>
      </c>
      <c r="H96" s="614">
        <v>1</v>
      </c>
      <c r="I96" s="614">
        <v>147</v>
      </c>
      <c r="J96" s="614">
        <v>965</v>
      </c>
      <c r="K96" s="614">
        <v>138015</v>
      </c>
      <c r="L96" s="614">
        <v>1.0306010439301956</v>
      </c>
      <c r="M96" s="614">
        <v>143.02072538860102</v>
      </c>
      <c r="N96" s="614">
        <v>986</v>
      </c>
      <c r="O96" s="614">
        <v>145928</v>
      </c>
      <c r="P96" s="627">
        <v>1.0896898825391848</v>
      </c>
      <c r="Q96" s="615">
        <v>148</v>
      </c>
    </row>
    <row r="97" spans="1:17" ht="14.4" customHeight="1" x14ac:dyDescent="0.3">
      <c r="A97" s="610" t="s">
        <v>2117</v>
      </c>
      <c r="B97" s="611" t="s">
        <v>2118</v>
      </c>
      <c r="C97" s="611" t="s">
        <v>1782</v>
      </c>
      <c r="D97" s="611" t="s">
        <v>2225</v>
      </c>
      <c r="E97" s="611" t="s">
        <v>2226</v>
      </c>
      <c r="F97" s="614">
        <v>3295</v>
      </c>
      <c r="G97" s="614">
        <v>95555</v>
      </c>
      <c r="H97" s="614">
        <v>1</v>
      </c>
      <c r="I97" s="614">
        <v>29</v>
      </c>
      <c r="J97" s="614">
        <v>1773</v>
      </c>
      <c r="K97" s="614">
        <v>51757</v>
      </c>
      <c r="L97" s="614">
        <v>0.54164617236146717</v>
      </c>
      <c r="M97" s="614">
        <v>29.191765369430343</v>
      </c>
      <c r="N97" s="614">
        <v>1623</v>
      </c>
      <c r="O97" s="614">
        <v>48690</v>
      </c>
      <c r="P97" s="627">
        <v>0.50954947412484952</v>
      </c>
      <c r="Q97" s="615">
        <v>30</v>
      </c>
    </row>
    <row r="98" spans="1:17" ht="14.4" customHeight="1" x14ac:dyDescent="0.3">
      <c r="A98" s="610" t="s">
        <v>2117</v>
      </c>
      <c r="B98" s="611" t="s">
        <v>2118</v>
      </c>
      <c r="C98" s="611" t="s">
        <v>1782</v>
      </c>
      <c r="D98" s="611" t="s">
        <v>2227</v>
      </c>
      <c r="E98" s="611" t="s">
        <v>2228</v>
      </c>
      <c r="F98" s="614">
        <v>3</v>
      </c>
      <c r="G98" s="614">
        <v>93</v>
      </c>
      <c r="H98" s="614">
        <v>1</v>
      </c>
      <c r="I98" s="614">
        <v>31</v>
      </c>
      <c r="J98" s="614">
        <v>6</v>
      </c>
      <c r="K98" s="614">
        <v>124</v>
      </c>
      <c r="L98" s="614">
        <v>1.3333333333333333</v>
      </c>
      <c r="M98" s="614">
        <v>20.666666666666668</v>
      </c>
      <c r="N98" s="614">
        <v>5</v>
      </c>
      <c r="O98" s="614">
        <v>155</v>
      </c>
      <c r="P98" s="627">
        <v>1.6666666666666667</v>
      </c>
      <c r="Q98" s="615">
        <v>31</v>
      </c>
    </row>
    <row r="99" spans="1:17" ht="14.4" customHeight="1" x14ac:dyDescent="0.3">
      <c r="A99" s="610" t="s">
        <v>2117</v>
      </c>
      <c r="B99" s="611" t="s">
        <v>2118</v>
      </c>
      <c r="C99" s="611" t="s">
        <v>1782</v>
      </c>
      <c r="D99" s="611" t="s">
        <v>2229</v>
      </c>
      <c r="E99" s="611" t="s">
        <v>2230</v>
      </c>
      <c r="F99" s="614">
        <v>57</v>
      </c>
      <c r="G99" s="614">
        <v>1539</v>
      </c>
      <c r="H99" s="614">
        <v>1</v>
      </c>
      <c r="I99" s="614">
        <v>27</v>
      </c>
      <c r="J99" s="614">
        <v>60</v>
      </c>
      <c r="K99" s="614">
        <v>1566</v>
      </c>
      <c r="L99" s="614">
        <v>1.0175438596491229</v>
      </c>
      <c r="M99" s="614">
        <v>26.1</v>
      </c>
      <c r="N99" s="614">
        <v>64</v>
      </c>
      <c r="O99" s="614">
        <v>1728</v>
      </c>
      <c r="P99" s="627">
        <v>1.1228070175438596</v>
      </c>
      <c r="Q99" s="615">
        <v>27</v>
      </c>
    </row>
    <row r="100" spans="1:17" ht="14.4" customHeight="1" x14ac:dyDescent="0.3">
      <c r="A100" s="610" t="s">
        <v>2117</v>
      </c>
      <c r="B100" s="611" t="s">
        <v>2118</v>
      </c>
      <c r="C100" s="611" t="s">
        <v>1782</v>
      </c>
      <c r="D100" s="611" t="s">
        <v>2231</v>
      </c>
      <c r="E100" s="611" t="s">
        <v>2232</v>
      </c>
      <c r="F100" s="614">
        <v>1</v>
      </c>
      <c r="G100" s="614">
        <v>161</v>
      </c>
      <c r="H100" s="614">
        <v>1</v>
      </c>
      <c r="I100" s="614">
        <v>161</v>
      </c>
      <c r="J100" s="614"/>
      <c r="K100" s="614"/>
      <c r="L100" s="614"/>
      <c r="M100" s="614"/>
      <c r="N100" s="614">
        <v>3</v>
      </c>
      <c r="O100" s="614">
        <v>486</v>
      </c>
      <c r="P100" s="627">
        <v>3.018633540372671</v>
      </c>
      <c r="Q100" s="615">
        <v>162</v>
      </c>
    </row>
    <row r="101" spans="1:17" ht="14.4" customHeight="1" x14ac:dyDescent="0.3">
      <c r="A101" s="610" t="s">
        <v>2117</v>
      </c>
      <c r="B101" s="611" t="s">
        <v>2118</v>
      </c>
      <c r="C101" s="611" t="s">
        <v>1782</v>
      </c>
      <c r="D101" s="611" t="s">
        <v>2233</v>
      </c>
      <c r="E101" s="611" t="s">
        <v>2234</v>
      </c>
      <c r="F101" s="614">
        <v>23</v>
      </c>
      <c r="G101" s="614">
        <v>506</v>
      </c>
      <c r="H101" s="614">
        <v>1</v>
      </c>
      <c r="I101" s="614">
        <v>22</v>
      </c>
      <c r="J101" s="614">
        <v>15</v>
      </c>
      <c r="K101" s="614">
        <v>330</v>
      </c>
      <c r="L101" s="614">
        <v>0.65217391304347827</v>
      </c>
      <c r="M101" s="614">
        <v>22</v>
      </c>
      <c r="N101" s="614">
        <v>23</v>
      </c>
      <c r="O101" s="614">
        <v>506</v>
      </c>
      <c r="P101" s="627">
        <v>1</v>
      </c>
      <c r="Q101" s="615">
        <v>22</v>
      </c>
    </row>
    <row r="102" spans="1:17" ht="14.4" customHeight="1" x14ac:dyDescent="0.3">
      <c r="A102" s="610" t="s">
        <v>2117</v>
      </c>
      <c r="B102" s="611" t="s">
        <v>2118</v>
      </c>
      <c r="C102" s="611" t="s">
        <v>1782</v>
      </c>
      <c r="D102" s="611" t="s">
        <v>2235</v>
      </c>
      <c r="E102" s="611" t="s">
        <v>2236</v>
      </c>
      <c r="F102" s="614"/>
      <c r="G102" s="614"/>
      <c r="H102" s="614"/>
      <c r="I102" s="614"/>
      <c r="J102" s="614">
        <v>1</v>
      </c>
      <c r="K102" s="614">
        <v>859</v>
      </c>
      <c r="L102" s="614"/>
      <c r="M102" s="614">
        <v>859</v>
      </c>
      <c r="N102" s="614">
        <v>1</v>
      </c>
      <c r="O102" s="614">
        <v>862</v>
      </c>
      <c r="P102" s="627"/>
      <c r="Q102" s="615">
        <v>862</v>
      </c>
    </row>
    <row r="103" spans="1:17" ht="14.4" customHeight="1" x14ac:dyDescent="0.3">
      <c r="A103" s="610" t="s">
        <v>2117</v>
      </c>
      <c r="B103" s="611" t="s">
        <v>2118</v>
      </c>
      <c r="C103" s="611" t="s">
        <v>1782</v>
      </c>
      <c r="D103" s="611" t="s">
        <v>2237</v>
      </c>
      <c r="E103" s="611" t="s">
        <v>2238</v>
      </c>
      <c r="F103" s="614">
        <v>47</v>
      </c>
      <c r="G103" s="614">
        <v>1175</v>
      </c>
      <c r="H103" s="614">
        <v>1</v>
      </c>
      <c r="I103" s="614">
        <v>25</v>
      </c>
      <c r="J103" s="614">
        <v>38</v>
      </c>
      <c r="K103" s="614">
        <v>950</v>
      </c>
      <c r="L103" s="614">
        <v>0.80851063829787229</v>
      </c>
      <c r="M103" s="614">
        <v>25</v>
      </c>
      <c r="N103" s="614">
        <v>56</v>
      </c>
      <c r="O103" s="614">
        <v>1400</v>
      </c>
      <c r="P103" s="627">
        <v>1.1914893617021276</v>
      </c>
      <c r="Q103" s="615">
        <v>25</v>
      </c>
    </row>
    <row r="104" spans="1:17" ht="14.4" customHeight="1" x14ac:dyDescent="0.3">
      <c r="A104" s="610" t="s">
        <v>2117</v>
      </c>
      <c r="B104" s="611" t="s">
        <v>2118</v>
      </c>
      <c r="C104" s="611" t="s">
        <v>1782</v>
      </c>
      <c r="D104" s="611" t="s">
        <v>2239</v>
      </c>
      <c r="E104" s="611" t="s">
        <v>2240</v>
      </c>
      <c r="F104" s="614">
        <v>26</v>
      </c>
      <c r="G104" s="614">
        <v>858</v>
      </c>
      <c r="H104" s="614">
        <v>1</v>
      </c>
      <c r="I104" s="614">
        <v>33</v>
      </c>
      <c r="J104" s="614">
        <v>26</v>
      </c>
      <c r="K104" s="614">
        <v>858</v>
      </c>
      <c r="L104" s="614">
        <v>1</v>
      </c>
      <c r="M104" s="614">
        <v>33</v>
      </c>
      <c r="N104" s="614">
        <v>29</v>
      </c>
      <c r="O104" s="614">
        <v>957</v>
      </c>
      <c r="P104" s="627">
        <v>1.1153846153846154</v>
      </c>
      <c r="Q104" s="615">
        <v>33</v>
      </c>
    </row>
    <row r="105" spans="1:17" ht="14.4" customHeight="1" x14ac:dyDescent="0.3">
      <c r="A105" s="610" t="s">
        <v>2117</v>
      </c>
      <c r="B105" s="611" t="s">
        <v>2118</v>
      </c>
      <c r="C105" s="611" t="s">
        <v>1782</v>
      </c>
      <c r="D105" s="611" t="s">
        <v>2241</v>
      </c>
      <c r="E105" s="611" t="s">
        <v>2242</v>
      </c>
      <c r="F105" s="614">
        <v>21</v>
      </c>
      <c r="G105" s="614">
        <v>630</v>
      </c>
      <c r="H105" s="614">
        <v>1</v>
      </c>
      <c r="I105" s="614">
        <v>30</v>
      </c>
      <c r="J105" s="614">
        <v>14</v>
      </c>
      <c r="K105" s="614">
        <v>420</v>
      </c>
      <c r="L105" s="614">
        <v>0.66666666666666663</v>
      </c>
      <c r="M105" s="614">
        <v>30</v>
      </c>
      <c r="N105" s="614">
        <v>23</v>
      </c>
      <c r="O105" s="614">
        <v>690</v>
      </c>
      <c r="P105" s="627">
        <v>1.0952380952380953</v>
      </c>
      <c r="Q105" s="615">
        <v>30</v>
      </c>
    </row>
    <row r="106" spans="1:17" ht="14.4" customHeight="1" x14ac:dyDescent="0.3">
      <c r="A106" s="610" t="s">
        <v>2117</v>
      </c>
      <c r="B106" s="611" t="s">
        <v>2118</v>
      </c>
      <c r="C106" s="611" t="s">
        <v>1782</v>
      </c>
      <c r="D106" s="611" t="s">
        <v>2243</v>
      </c>
      <c r="E106" s="611" t="s">
        <v>2244</v>
      </c>
      <c r="F106" s="614">
        <v>28</v>
      </c>
      <c r="G106" s="614">
        <v>728</v>
      </c>
      <c r="H106" s="614">
        <v>1</v>
      </c>
      <c r="I106" s="614">
        <v>26</v>
      </c>
      <c r="J106" s="614">
        <v>21</v>
      </c>
      <c r="K106" s="614">
        <v>546</v>
      </c>
      <c r="L106" s="614">
        <v>0.75</v>
      </c>
      <c r="M106" s="614">
        <v>26</v>
      </c>
      <c r="N106" s="614">
        <v>30</v>
      </c>
      <c r="O106" s="614">
        <v>780</v>
      </c>
      <c r="P106" s="627">
        <v>1.0714285714285714</v>
      </c>
      <c r="Q106" s="615">
        <v>26</v>
      </c>
    </row>
    <row r="107" spans="1:17" ht="14.4" customHeight="1" x14ac:dyDescent="0.3">
      <c r="A107" s="610" t="s">
        <v>2117</v>
      </c>
      <c r="B107" s="611" t="s">
        <v>2118</v>
      </c>
      <c r="C107" s="611" t="s">
        <v>1782</v>
      </c>
      <c r="D107" s="611" t="s">
        <v>2245</v>
      </c>
      <c r="E107" s="611" t="s">
        <v>2246</v>
      </c>
      <c r="F107" s="614"/>
      <c r="G107" s="614"/>
      <c r="H107" s="614"/>
      <c r="I107" s="614"/>
      <c r="J107" s="614"/>
      <c r="K107" s="614"/>
      <c r="L107" s="614"/>
      <c r="M107" s="614"/>
      <c r="N107" s="614">
        <v>1</v>
      </c>
      <c r="O107" s="614">
        <v>84</v>
      </c>
      <c r="P107" s="627"/>
      <c r="Q107" s="615">
        <v>84</v>
      </c>
    </row>
    <row r="108" spans="1:17" ht="14.4" customHeight="1" x14ac:dyDescent="0.3">
      <c r="A108" s="610" t="s">
        <v>2117</v>
      </c>
      <c r="B108" s="611" t="s">
        <v>2118</v>
      </c>
      <c r="C108" s="611" t="s">
        <v>1782</v>
      </c>
      <c r="D108" s="611" t="s">
        <v>2247</v>
      </c>
      <c r="E108" s="611" t="s">
        <v>2248</v>
      </c>
      <c r="F108" s="614">
        <v>3</v>
      </c>
      <c r="G108" s="614">
        <v>522</v>
      </c>
      <c r="H108" s="614">
        <v>1</v>
      </c>
      <c r="I108" s="614">
        <v>174</v>
      </c>
      <c r="J108" s="614">
        <v>7</v>
      </c>
      <c r="K108" s="614">
        <v>1220</v>
      </c>
      <c r="L108" s="614">
        <v>2.3371647509578546</v>
      </c>
      <c r="M108" s="614">
        <v>174.28571428571428</v>
      </c>
      <c r="N108" s="614">
        <v>1</v>
      </c>
      <c r="O108" s="614">
        <v>175</v>
      </c>
      <c r="P108" s="627">
        <v>0.33524904214559387</v>
      </c>
      <c r="Q108" s="615">
        <v>175</v>
      </c>
    </row>
    <row r="109" spans="1:17" ht="14.4" customHeight="1" x14ac:dyDescent="0.3">
      <c r="A109" s="610" t="s">
        <v>2117</v>
      </c>
      <c r="B109" s="611" t="s">
        <v>2118</v>
      </c>
      <c r="C109" s="611" t="s">
        <v>1782</v>
      </c>
      <c r="D109" s="611" t="s">
        <v>2249</v>
      </c>
      <c r="E109" s="611" t="s">
        <v>2250</v>
      </c>
      <c r="F109" s="614"/>
      <c r="G109" s="614"/>
      <c r="H109" s="614"/>
      <c r="I109" s="614"/>
      <c r="J109" s="614">
        <v>1</v>
      </c>
      <c r="K109" s="614">
        <v>252</v>
      </c>
      <c r="L109" s="614"/>
      <c r="M109" s="614">
        <v>252</v>
      </c>
      <c r="N109" s="614"/>
      <c r="O109" s="614"/>
      <c r="P109" s="627"/>
      <c r="Q109" s="615"/>
    </row>
    <row r="110" spans="1:17" ht="14.4" customHeight="1" x14ac:dyDescent="0.3">
      <c r="A110" s="610" t="s">
        <v>2117</v>
      </c>
      <c r="B110" s="611" t="s">
        <v>2118</v>
      </c>
      <c r="C110" s="611" t="s">
        <v>1782</v>
      </c>
      <c r="D110" s="611" t="s">
        <v>2251</v>
      </c>
      <c r="E110" s="611" t="s">
        <v>2252</v>
      </c>
      <c r="F110" s="614">
        <v>171</v>
      </c>
      <c r="G110" s="614">
        <v>2565</v>
      </c>
      <c r="H110" s="614">
        <v>1</v>
      </c>
      <c r="I110" s="614">
        <v>15</v>
      </c>
      <c r="J110" s="614">
        <v>169</v>
      </c>
      <c r="K110" s="614">
        <v>2505</v>
      </c>
      <c r="L110" s="614">
        <v>0.97660818713450293</v>
      </c>
      <c r="M110" s="614">
        <v>14.822485207100591</v>
      </c>
      <c r="N110" s="614">
        <v>183</v>
      </c>
      <c r="O110" s="614">
        <v>2745</v>
      </c>
      <c r="P110" s="627">
        <v>1.0701754385964912</v>
      </c>
      <c r="Q110" s="615">
        <v>15</v>
      </c>
    </row>
    <row r="111" spans="1:17" ht="14.4" customHeight="1" x14ac:dyDescent="0.3">
      <c r="A111" s="610" t="s">
        <v>2117</v>
      </c>
      <c r="B111" s="611" t="s">
        <v>2118</v>
      </c>
      <c r="C111" s="611" t="s">
        <v>1782</v>
      </c>
      <c r="D111" s="611" t="s">
        <v>2253</v>
      </c>
      <c r="E111" s="611" t="s">
        <v>2254</v>
      </c>
      <c r="F111" s="614">
        <v>66</v>
      </c>
      <c r="G111" s="614">
        <v>1518</v>
      </c>
      <c r="H111" s="614">
        <v>1</v>
      </c>
      <c r="I111" s="614">
        <v>23</v>
      </c>
      <c r="J111" s="614">
        <v>51</v>
      </c>
      <c r="K111" s="614">
        <v>1173</v>
      </c>
      <c r="L111" s="614">
        <v>0.77272727272727271</v>
      </c>
      <c r="M111" s="614">
        <v>23</v>
      </c>
      <c r="N111" s="614">
        <v>88</v>
      </c>
      <c r="O111" s="614">
        <v>2024</v>
      </c>
      <c r="P111" s="627">
        <v>1.3333333333333333</v>
      </c>
      <c r="Q111" s="615">
        <v>23</v>
      </c>
    </row>
    <row r="112" spans="1:17" ht="14.4" customHeight="1" x14ac:dyDescent="0.3">
      <c r="A112" s="610" t="s">
        <v>2117</v>
      </c>
      <c r="B112" s="611" t="s">
        <v>2118</v>
      </c>
      <c r="C112" s="611" t="s">
        <v>1782</v>
      </c>
      <c r="D112" s="611" t="s">
        <v>2255</v>
      </c>
      <c r="E112" s="611" t="s">
        <v>2256</v>
      </c>
      <c r="F112" s="614">
        <v>10</v>
      </c>
      <c r="G112" s="614">
        <v>370</v>
      </c>
      <c r="H112" s="614">
        <v>1</v>
      </c>
      <c r="I112" s="614">
        <v>37</v>
      </c>
      <c r="J112" s="614"/>
      <c r="K112" s="614"/>
      <c r="L112" s="614"/>
      <c r="M112" s="614"/>
      <c r="N112" s="614">
        <v>1</v>
      </c>
      <c r="O112" s="614">
        <v>37</v>
      </c>
      <c r="P112" s="627">
        <v>0.1</v>
      </c>
      <c r="Q112" s="615">
        <v>37</v>
      </c>
    </row>
    <row r="113" spans="1:17" ht="14.4" customHeight="1" x14ac:dyDescent="0.3">
      <c r="A113" s="610" t="s">
        <v>2117</v>
      </c>
      <c r="B113" s="611" t="s">
        <v>2118</v>
      </c>
      <c r="C113" s="611" t="s">
        <v>1782</v>
      </c>
      <c r="D113" s="611" t="s">
        <v>2257</v>
      </c>
      <c r="E113" s="611" t="s">
        <v>2258</v>
      </c>
      <c r="F113" s="614">
        <v>2</v>
      </c>
      <c r="G113" s="614">
        <v>46</v>
      </c>
      <c r="H113" s="614">
        <v>1</v>
      </c>
      <c r="I113" s="614">
        <v>23</v>
      </c>
      <c r="J113" s="614">
        <v>872</v>
      </c>
      <c r="K113" s="614">
        <v>19734</v>
      </c>
      <c r="L113" s="614">
        <v>429</v>
      </c>
      <c r="M113" s="614">
        <v>22.630733944954127</v>
      </c>
      <c r="N113" s="614">
        <v>1165</v>
      </c>
      <c r="O113" s="614">
        <v>26795</v>
      </c>
      <c r="P113" s="627">
        <v>582.5</v>
      </c>
      <c r="Q113" s="615">
        <v>23</v>
      </c>
    </row>
    <row r="114" spans="1:17" ht="14.4" customHeight="1" x14ac:dyDescent="0.3">
      <c r="A114" s="610" t="s">
        <v>2117</v>
      </c>
      <c r="B114" s="611" t="s">
        <v>2118</v>
      </c>
      <c r="C114" s="611" t="s">
        <v>1782</v>
      </c>
      <c r="D114" s="611" t="s">
        <v>2259</v>
      </c>
      <c r="E114" s="611" t="s">
        <v>2260</v>
      </c>
      <c r="F114" s="614">
        <v>9</v>
      </c>
      <c r="G114" s="614">
        <v>1521</v>
      </c>
      <c r="H114" s="614">
        <v>1</v>
      </c>
      <c r="I114" s="614">
        <v>169</v>
      </c>
      <c r="J114" s="614">
        <v>4</v>
      </c>
      <c r="K114" s="614">
        <v>679</v>
      </c>
      <c r="L114" s="614">
        <v>0.44641683103221563</v>
      </c>
      <c r="M114" s="614">
        <v>169.75</v>
      </c>
      <c r="N114" s="614">
        <v>8</v>
      </c>
      <c r="O114" s="614">
        <v>1360</v>
      </c>
      <c r="P114" s="627">
        <v>0.89414858645627882</v>
      </c>
      <c r="Q114" s="615">
        <v>170</v>
      </c>
    </row>
    <row r="115" spans="1:17" ht="14.4" customHeight="1" x14ac:dyDescent="0.3">
      <c r="A115" s="610" t="s">
        <v>2117</v>
      </c>
      <c r="B115" s="611" t="s">
        <v>2118</v>
      </c>
      <c r="C115" s="611" t="s">
        <v>1782</v>
      </c>
      <c r="D115" s="611" t="s">
        <v>2261</v>
      </c>
      <c r="E115" s="611" t="s">
        <v>2262</v>
      </c>
      <c r="F115" s="614">
        <v>4</v>
      </c>
      <c r="G115" s="614">
        <v>1108</v>
      </c>
      <c r="H115" s="614">
        <v>1</v>
      </c>
      <c r="I115" s="614">
        <v>277</v>
      </c>
      <c r="J115" s="614">
        <v>1</v>
      </c>
      <c r="K115" s="614">
        <v>277</v>
      </c>
      <c r="L115" s="614">
        <v>0.25</v>
      </c>
      <c r="M115" s="614">
        <v>277</v>
      </c>
      <c r="N115" s="614"/>
      <c r="O115" s="614"/>
      <c r="P115" s="627"/>
      <c r="Q115" s="615"/>
    </row>
    <row r="116" spans="1:17" ht="14.4" customHeight="1" x14ac:dyDescent="0.3">
      <c r="A116" s="610" t="s">
        <v>2117</v>
      </c>
      <c r="B116" s="611" t="s">
        <v>2118</v>
      </c>
      <c r="C116" s="611" t="s">
        <v>1782</v>
      </c>
      <c r="D116" s="611" t="s">
        <v>2263</v>
      </c>
      <c r="E116" s="611" t="s">
        <v>2264</v>
      </c>
      <c r="F116" s="614">
        <v>27</v>
      </c>
      <c r="G116" s="614">
        <v>783</v>
      </c>
      <c r="H116" s="614">
        <v>1</v>
      </c>
      <c r="I116" s="614">
        <v>29</v>
      </c>
      <c r="J116" s="614">
        <v>24</v>
      </c>
      <c r="K116" s="614">
        <v>696</v>
      </c>
      <c r="L116" s="614">
        <v>0.88888888888888884</v>
      </c>
      <c r="M116" s="614">
        <v>29</v>
      </c>
      <c r="N116" s="614">
        <v>31</v>
      </c>
      <c r="O116" s="614">
        <v>899</v>
      </c>
      <c r="P116" s="627">
        <v>1.1481481481481481</v>
      </c>
      <c r="Q116" s="615">
        <v>29</v>
      </c>
    </row>
    <row r="117" spans="1:17" ht="14.4" customHeight="1" x14ac:dyDescent="0.3">
      <c r="A117" s="610" t="s">
        <v>2117</v>
      </c>
      <c r="B117" s="611" t="s">
        <v>2118</v>
      </c>
      <c r="C117" s="611" t="s">
        <v>1782</v>
      </c>
      <c r="D117" s="611" t="s">
        <v>2265</v>
      </c>
      <c r="E117" s="611" t="s">
        <v>2266</v>
      </c>
      <c r="F117" s="614"/>
      <c r="G117" s="614"/>
      <c r="H117" s="614"/>
      <c r="I117" s="614"/>
      <c r="J117" s="614">
        <v>1</v>
      </c>
      <c r="K117" s="614">
        <v>177</v>
      </c>
      <c r="L117" s="614"/>
      <c r="M117" s="614">
        <v>177</v>
      </c>
      <c r="N117" s="614">
        <v>1</v>
      </c>
      <c r="O117" s="614">
        <v>177</v>
      </c>
      <c r="P117" s="627"/>
      <c r="Q117" s="615">
        <v>177</v>
      </c>
    </row>
    <row r="118" spans="1:17" ht="14.4" customHeight="1" x14ac:dyDescent="0.3">
      <c r="A118" s="610" t="s">
        <v>2117</v>
      </c>
      <c r="B118" s="611" t="s">
        <v>2118</v>
      </c>
      <c r="C118" s="611" t="s">
        <v>1782</v>
      </c>
      <c r="D118" s="611" t="s">
        <v>2267</v>
      </c>
      <c r="E118" s="611" t="s">
        <v>2268</v>
      </c>
      <c r="F118" s="614"/>
      <c r="G118" s="614"/>
      <c r="H118" s="614"/>
      <c r="I118" s="614"/>
      <c r="J118" s="614">
        <v>2</v>
      </c>
      <c r="K118" s="614">
        <v>394</v>
      </c>
      <c r="L118" s="614"/>
      <c r="M118" s="614">
        <v>197</v>
      </c>
      <c r="N118" s="614">
        <v>2</v>
      </c>
      <c r="O118" s="614">
        <v>396</v>
      </c>
      <c r="P118" s="627"/>
      <c r="Q118" s="615">
        <v>198</v>
      </c>
    </row>
    <row r="119" spans="1:17" ht="14.4" customHeight="1" x14ac:dyDescent="0.3">
      <c r="A119" s="610" t="s">
        <v>2117</v>
      </c>
      <c r="B119" s="611" t="s">
        <v>2118</v>
      </c>
      <c r="C119" s="611" t="s">
        <v>1782</v>
      </c>
      <c r="D119" s="611" t="s">
        <v>2269</v>
      </c>
      <c r="E119" s="611" t="s">
        <v>2270</v>
      </c>
      <c r="F119" s="614">
        <v>26</v>
      </c>
      <c r="G119" s="614">
        <v>390</v>
      </c>
      <c r="H119" s="614">
        <v>1</v>
      </c>
      <c r="I119" s="614">
        <v>15</v>
      </c>
      <c r="J119" s="614">
        <v>25</v>
      </c>
      <c r="K119" s="614">
        <v>375</v>
      </c>
      <c r="L119" s="614">
        <v>0.96153846153846156</v>
      </c>
      <c r="M119" s="614">
        <v>15</v>
      </c>
      <c r="N119" s="614">
        <v>19</v>
      </c>
      <c r="O119" s="614">
        <v>285</v>
      </c>
      <c r="P119" s="627">
        <v>0.73076923076923073</v>
      </c>
      <c r="Q119" s="615">
        <v>15</v>
      </c>
    </row>
    <row r="120" spans="1:17" ht="14.4" customHeight="1" x14ac:dyDescent="0.3">
      <c r="A120" s="610" t="s">
        <v>2117</v>
      </c>
      <c r="B120" s="611" t="s">
        <v>2118</v>
      </c>
      <c r="C120" s="611" t="s">
        <v>1782</v>
      </c>
      <c r="D120" s="611" t="s">
        <v>2271</v>
      </c>
      <c r="E120" s="611" t="s">
        <v>2272</v>
      </c>
      <c r="F120" s="614">
        <v>131</v>
      </c>
      <c r="G120" s="614">
        <v>2489</v>
      </c>
      <c r="H120" s="614">
        <v>1</v>
      </c>
      <c r="I120" s="614">
        <v>19</v>
      </c>
      <c r="J120" s="614">
        <v>109</v>
      </c>
      <c r="K120" s="614">
        <v>2071</v>
      </c>
      <c r="L120" s="614">
        <v>0.83206106870229013</v>
      </c>
      <c r="M120" s="614">
        <v>19</v>
      </c>
      <c r="N120" s="614">
        <v>122</v>
      </c>
      <c r="O120" s="614">
        <v>2318</v>
      </c>
      <c r="P120" s="627">
        <v>0.93129770992366412</v>
      </c>
      <c r="Q120" s="615">
        <v>19</v>
      </c>
    </row>
    <row r="121" spans="1:17" ht="14.4" customHeight="1" x14ac:dyDescent="0.3">
      <c r="A121" s="610" t="s">
        <v>2117</v>
      </c>
      <c r="B121" s="611" t="s">
        <v>2118</v>
      </c>
      <c r="C121" s="611" t="s">
        <v>1782</v>
      </c>
      <c r="D121" s="611" t="s">
        <v>2273</v>
      </c>
      <c r="E121" s="611" t="s">
        <v>2274</v>
      </c>
      <c r="F121" s="614">
        <v>119</v>
      </c>
      <c r="G121" s="614">
        <v>2380</v>
      </c>
      <c r="H121" s="614">
        <v>1</v>
      </c>
      <c r="I121" s="614">
        <v>20</v>
      </c>
      <c r="J121" s="614">
        <v>111</v>
      </c>
      <c r="K121" s="614">
        <v>2220</v>
      </c>
      <c r="L121" s="614">
        <v>0.9327731092436975</v>
      </c>
      <c r="M121" s="614">
        <v>20</v>
      </c>
      <c r="N121" s="614">
        <v>147</v>
      </c>
      <c r="O121" s="614">
        <v>2940</v>
      </c>
      <c r="P121" s="627">
        <v>1.2352941176470589</v>
      </c>
      <c r="Q121" s="615">
        <v>20</v>
      </c>
    </row>
    <row r="122" spans="1:17" ht="14.4" customHeight="1" x14ac:dyDescent="0.3">
      <c r="A122" s="610" t="s">
        <v>2117</v>
      </c>
      <c r="B122" s="611" t="s">
        <v>2118</v>
      </c>
      <c r="C122" s="611" t="s">
        <v>1782</v>
      </c>
      <c r="D122" s="611" t="s">
        <v>2275</v>
      </c>
      <c r="E122" s="611" t="s">
        <v>2276</v>
      </c>
      <c r="F122" s="614">
        <v>1</v>
      </c>
      <c r="G122" s="614">
        <v>184</v>
      </c>
      <c r="H122" s="614">
        <v>1</v>
      </c>
      <c r="I122" s="614">
        <v>184</v>
      </c>
      <c r="J122" s="614">
        <v>1</v>
      </c>
      <c r="K122" s="614">
        <v>185</v>
      </c>
      <c r="L122" s="614">
        <v>1.0054347826086956</v>
      </c>
      <c r="M122" s="614">
        <v>185</v>
      </c>
      <c r="N122" s="614"/>
      <c r="O122" s="614"/>
      <c r="P122" s="627"/>
      <c r="Q122" s="615"/>
    </row>
    <row r="123" spans="1:17" ht="14.4" customHeight="1" x14ac:dyDescent="0.3">
      <c r="A123" s="610" t="s">
        <v>2117</v>
      </c>
      <c r="B123" s="611" t="s">
        <v>2118</v>
      </c>
      <c r="C123" s="611" t="s">
        <v>1782</v>
      </c>
      <c r="D123" s="611" t="s">
        <v>2277</v>
      </c>
      <c r="E123" s="611" t="s">
        <v>2278</v>
      </c>
      <c r="F123" s="614">
        <v>1</v>
      </c>
      <c r="G123" s="614">
        <v>266</v>
      </c>
      <c r="H123" s="614">
        <v>1</v>
      </c>
      <c r="I123" s="614">
        <v>266</v>
      </c>
      <c r="J123" s="614"/>
      <c r="K123" s="614"/>
      <c r="L123" s="614"/>
      <c r="M123" s="614"/>
      <c r="N123" s="614"/>
      <c r="O123" s="614"/>
      <c r="P123" s="627"/>
      <c r="Q123" s="615"/>
    </row>
    <row r="124" spans="1:17" ht="14.4" customHeight="1" x14ac:dyDescent="0.3">
      <c r="A124" s="610" t="s">
        <v>2117</v>
      </c>
      <c r="B124" s="611" t="s">
        <v>2118</v>
      </c>
      <c r="C124" s="611" t="s">
        <v>1782</v>
      </c>
      <c r="D124" s="611" t="s">
        <v>2279</v>
      </c>
      <c r="E124" s="611" t="s">
        <v>2280</v>
      </c>
      <c r="F124" s="614"/>
      <c r="G124" s="614"/>
      <c r="H124" s="614"/>
      <c r="I124" s="614"/>
      <c r="J124" s="614"/>
      <c r="K124" s="614"/>
      <c r="L124" s="614"/>
      <c r="M124" s="614"/>
      <c r="N124" s="614">
        <v>3</v>
      </c>
      <c r="O124" s="614">
        <v>486</v>
      </c>
      <c r="P124" s="627"/>
      <c r="Q124" s="615">
        <v>162</v>
      </c>
    </row>
    <row r="125" spans="1:17" ht="14.4" customHeight="1" x14ac:dyDescent="0.3">
      <c r="A125" s="610" t="s">
        <v>2117</v>
      </c>
      <c r="B125" s="611" t="s">
        <v>2118</v>
      </c>
      <c r="C125" s="611" t="s">
        <v>1782</v>
      </c>
      <c r="D125" s="611" t="s">
        <v>2281</v>
      </c>
      <c r="E125" s="611" t="s">
        <v>2282</v>
      </c>
      <c r="F125" s="614"/>
      <c r="G125" s="614"/>
      <c r="H125" s="614"/>
      <c r="I125" s="614"/>
      <c r="J125" s="614">
        <v>1</v>
      </c>
      <c r="K125" s="614">
        <v>84</v>
      </c>
      <c r="L125" s="614"/>
      <c r="M125" s="614">
        <v>84</v>
      </c>
      <c r="N125" s="614">
        <v>1</v>
      </c>
      <c r="O125" s="614">
        <v>84</v>
      </c>
      <c r="P125" s="627"/>
      <c r="Q125" s="615">
        <v>84</v>
      </c>
    </row>
    <row r="126" spans="1:17" ht="14.4" customHeight="1" x14ac:dyDescent="0.3">
      <c r="A126" s="610" t="s">
        <v>2117</v>
      </c>
      <c r="B126" s="611" t="s">
        <v>2118</v>
      </c>
      <c r="C126" s="611" t="s">
        <v>1782</v>
      </c>
      <c r="D126" s="611" t="s">
        <v>2283</v>
      </c>
      <c r="E126" s="611" t="s">
        <v>2284</v>
      </c>
      <c r="F126" s="614">
        <v>9</v>
      </c>
      <c r="G126" s="614">
        <v>5796</v>
      </c>
      <c r="H126" s="614">
        <v>1</v>
      </c>
      <c r="I126" s="614">
        <v>644</v>
      </c>
      <c r="J126" s="614">
        <v>11</v>
      </c>
      <c r="K126" s="614">
        <v>7106</v>
      </c>
      <c r="L126" s="614">
        <v>1.2260179434092477</v>
      </c>
      <c r="M126" s="614">
        <v>646</v>
      </c>
      <c r="N126" s="614">
        <v>6</v>
      </c>
      <c r="O126" s="614">
        <v>3882</v>
      </c>
      <c r="P126" s="627">
        <v>0.66977225672877849</v>
      </c>
      <c r="Q126" s="615">
        <v>647</v>
      </c>
    </row>
    <row r="127" spans="1:17" ht="14.4" customHeight="1" x14ac:dyDescent="0.3">
      <c r="A127" s="610" t="s">
        <v>2117</v>
      </c>
      <c r="B127" s="611" t="s">
        <v>2118</v>
      </c>
      <c r="C127" s="611" t="s">
        <v>1782</v>
      </c>
      <c r="D127" s="611" t="s">
        <v>2285</v>
      </c>
      <c r="E127" s="611" t="s">
        <v>2286</v>
      </c>
      <c r="F127" s="614">
        <v>1</v>
      </c>
      <c r="G127" s="614">
        <v>263</v>
      </c>
      <c r="H127" s="614">
        <v>1</v>
      </c>
      <c r="I127" s="614">
        <v>263</v>
      </c>
      <c r="J127" s="614">
        <v>2</v>
      </c>
      <c r="K127" s="614">
        <v>526</v>
      </c>
      <c r="L127" s="614">
        <v>2</v>
      </c>
      <c r="M127" s="614">
        <v>263</v>
      </c>
      <c r="N127" s="614"/>
      <c r="O127" s="614"/>
      <c r="P127" s="627"/>
      <c r="Q127" s="615"/>
    </row>
    <row r="128" spans="1:17" ht="14.4" customHeight="1" x14ac:dyDescent="0.3">
      <c r="A128" s="610" t="s">
        <v>2117</v>
      </c>
      <c r="B128" s="611" t="s">
        <v>2118</v>
      </c>
      <c r="C128" s="611" t="s">
        <v>1782</v>
      </c>
      <c r="D128" s="611" t="s">
        <v>2287</v>
      </c>
      <c r="E128" s="611" t="s">
        <v>2288</v>
      </c>
      <c r="F128" s="614">
        <v>29</v>
      </c>
      <c r="G128" s="614">
        <v>2262</v>
      </c>
      <c r="H128" s="614">
        <v>1</v>
      </c>
      <c r="I128" s="614">
        <v>78</v>
      </c>
      <c r="J128" s="614">
        <v>35</v>
      </c>
      <c r="K128" s="614">
        <v>2730</v>
      </c>
      <c r="L128" s="614">
        <v>1.2068965517241379</v>
      </c>
      <c r="M128" s="614">
        <v>78</v>
      </c>
      <c r="N128" s="614">
        <v>29</v>
      </c>
      <c r="O128" s="614">
        <v>2262</v>
      </c>
      <c r="P128" s="627">
        <v>1</v>
      </c>
      <c r="Q128" s="615">
        <v>78</v>
      </c>
    </row>
    <row r="129" spans="1:17" ht="14.4" customHeight="1" x14ac:dyDescent="0.3">
      <c r="A129" s="610" t="s">
        <v>2117</v>
      </c>
      <c r="B129" s="611" t="s">
        <v>2118</v>
      </c>
      <c r="C129" s="611" t="s">
        <v>1782</v>
      </c>
      <c r="D129" s="611" t="s">
        <v>2289</v>
      </c>
      <c r="E129" s="611" t="s">
        <v>2290</v>
      </c>
      <c r="F129" s="614">
        <v>2</v>
      </c>
      <c r="G129" s="614">
        <v>42</v>
      </c>
      <c r="H129" s="614">
        <v>1</v>
      </c>
      <c r="I129" s="614">
        <v>21</v>
      </c>
      <c r="J129" s="614">
        <v>12</v>
      </c>
      <c r="K129" s="614">
        <v>210</v>
      </c>
      <c r="L129" s="614">
        <v>5</v>
      </c>
      <c r="M129" s="614">
        <v>17.5</v>
      </c>
      <c r="N129" s="614">
        <v>9</v>
      </c>
      <c r="O129" s="614">
        <v>189</v>
      </c>
      <c r="P129" s="627">
        <v>4.5</v>
      </c>
      <c r="Q129" s="615">
        <v>21</v>
      </c>
    </row>
    <row r="130" spans="1:17" ht="14.4" customHeight="1" x14ac:dyDescent="0.3">
      <c r="A130" s="610" t="s">
        <v>2117</v>
      </c>
      <c r="B130" s="611" t="s">
        <v>2118</v>
      </c>
      <c r="C130" s="611" t="s">
        <v>1782</v>
      </c>
      <c r="D130" s="611" t="s">
        <v>2291</v>
      </c>
      <c r="E130" s="611" t="s">
        <v>2292</v>
      </c>
      <c r="F130" s="614">
        <v>8</v>
      </c>
      <c r="G130" s="614">
        <v>8704</v>
      </c>
      <c r="H130" s="614">
        <v>1</v>
      </c>
      <c r="I130" s="614">
        <v>1088</v>
      </c>
      <c r="J130" s="614">
        <v>14</v>
      </c>
      <c r="K130" s="614">
        <v>15246</v>
      </c>
      <c r="L130" s="614">
        <v>1.751608455882353</v>
      </c>
      <c r="M130" s="614">
        <v>1089</v>
      </c>
      <c r="N130" s="614">
        <v>4</v>
      </c>
      <c r="O130" s="614">
        <v>4356</v>
      </c>
      <c r="P130" s="627">
        <v>0.50045955882352944</v>
      </c>
      <c r="Q130" s="615">
        <v>1089</v>
      </c>
    </row>
    <row r="131" spans="1:17" ht="14.4" customHeight="1" x14ac:dyDescent="0.3">
      <c r="A131" s="610" t="s">
        <v>2117</v>
      </c>
      <c r="B131" s="611" t="s">
        <v>2118</v>
      </c>
      <c r="C131" s="611" t="s">
        <v>1782</v>
      </c>
      <c r="D131" s="611" t="s">
        <v>2293</v>
      </c>
      <c r="E131" s="611" t="s">
        <v>2294</v>
      </c>
      <c r="F131" s="614">
        <v>1</v>
      </c>
      <c r="G131" s="614">
        <v>22</v>
      </c>
      <c r="H131" s="614">
        <v>1</v>
      </c>
      <c r="I131" s="614">
        <v>22</v>
      </c>
      <c r="J131" s="614">
        <v>5</v>
      </c>
      <c r="K131" s="614">
        <v>110</v>
      </c>
      <c r="L131" s="614">
        <v>5</v>
      </c>
      <c r="M131" s="614">
        <v>22</v>
      </c>
      <c r="N131" s="614">
        <v>5</v>
      </c>
      <c r="O131" s="614">
        <v>110</v>
      </c>
      <c r="P131" s="627">
        <v>5</v>
      </c>
      <c r="Q131" s="615">
        <v>22</v>
      </c>
    </row>
    <row r="132" spans="1:17" ht="14.4" customHeight="1" x14ac:dyDescent="0.3">
      <c r="A132" s="610" t="s">
        <v>2117</v>
      </c>
      <c r="B132" s="611" t="s">
        <v>2118</v>
      </c>
      <c r="C132" s="611" t="s">
        <v>1782</v>
      </c>
      <c r="D132" s="611" t="s">
        <v>2295</v>
      </c>
      <c r="E132" s="611" t="s">
        <v>2296</v>
      </c>
      <c r="F132" s="614">
        <v>4</v>
      </c>
      <c r="G132" s="614">
        <v>2272</v>
      </c>
      <c r="H132" s="614">
        <v>1</v>
      </c>
      <c r="I132" s="614">
        <v>568</v>
      </c>
      <c r="J132" s="614">
        <v>8</v>
      </c>
      <c r="K132" s="614">
        <v>4552</v>
      </c>
      <c r="L132" s="614">
        <v>2.0035211267605635</v>
      </c>
      <c r="M132" s="614">
        <v>569</v>
      </c>
      <c r="N132" s="614">
        <v>3</v>
      </c>
      <c r="O132" s="614">
        <v>1707</v>
      </c>
      <c r="P132" s="627">
        <v>0.75132042253521125</v>
      </c>
      <c r="Q132" s="615">
        <v>569</v>
      </c>
    </row>
    <row r="133" spans="1:17" ht="14.4" customHeight="1" x14ac:dyDescent="0.3">
      <c r="A133" s="610" t="s">
        <v>2117</v>
      </c>
      <c r="B133" s="611" t="s">
        <v>2118</v>
      </c>
      <c r="C133" s="611" t="s">
        <v>1782</v>
      </c>
      <c r="D133" s="611" t="s">
        <v>2297</v>
      </c>
      <c r="E133" s="611" t="s">
        <v>2298</v>
      </c>
      <c r="F133" s="614"/>
      <c r="G133" s="614"/>
      <c r="H133" s="614"/>
      <c r="I133" s="614"/>
      <c r="J133" s="614"/>
      <c r="K133" s="614"/>
      <c r="L133" s="614"/>
      <c r="M133" s="614"/>
      <c r="N133" s="614">
        <v>1</v>
      </c>
      <c r="O133" s="614">
        <v>171</v>
      </c>
      <c r="P133" s="627"/>
      <c r="Q133" s="615">
        <v>171</v>
      </c>
    </row>
    <row r="134" spans="1:17" ht="14.4" customHeight="1" x14ac:dyDescent="0.3">
      <c r="A134" s="610" t="s">
        <v>2117</v>
      </c>
      <c r="B134" s="611" t="s">
        <v>2118</v>
      </c>
      <c r="C134" s="611" t="s">
        <v>1782</v>
      </c>
      <c r="D134" s="611" t="s">
        <v>2299</v>
      </c>
      <c r="E134" s="611" t="s">
        <v>2300</v>
      </c>
      <c r="F134" s="614">
        <v>2</v>
      </c>
      <c r="G134" s="614">
        <v>1128</v>
      </c>
      <c r="H134" s="614">
        <v>1</v>
      </c>
      <c r="I134" s="614">
        <v>564</v>
      </c>
      <c r="J134" s="614">
        <v>28</v>
      </c>
      <c r="K134" s="614">
        <v>6834</v>
      </c>
      <c r="L134" s="614">
        <v>6.0585106382978724</v>
      </c>
      <c r="M134" s="614">
        <v>244.07142857142858</v>
      </c>
      <c r="N134" s="614">
        <v>38</v>
      </c>
      <c r="O134" s="614">
        <v>21736</v>
      </c>
      <c r="P134" s="627">
        <v>19.269503546099291</v>
      </c>
      <c r="Q134" s="615">
        <v>572</v>
      </c>
    </row>
    <row r="135" spans="1:17" ht="14.4" customHeight="1" x14ac:dyDescent="0.3">
      <c r="A135" s="610" t="s">
        <v>2117</v>
      </c>
      <c r="B135" s="611" t="s">
        <v>2118</v>
      </c>
      <c r="C135" s="611" t="s">
        <v>1782</v>
      </c>
      <c r="D135" s="611" t="s">
        <v>2060</v>
      </c>
      <c r="E135" s="611" t="s">
        <v>2061</v>
      </c>
      <c r="F135" s="614">
        <v>2</v>
      </c>
      <c r="G135" s="614">
        <v>2004</v>
      </c>
      <c r="H135" s="614">
        <v>1</v>
      </c>
      <c r="I135" s="614">
        <v>1002</v>
      </c>
      <c r="J135" s="614">
        <v>28</v>
      </c>
      <c r="K135" s="614">
        <v>12068</v>
      </c>
      <c r="L135" s="614">
        <v>6.0219560878243517</v>
      </c>
      <c r="M135" s="614">
        <v>431</v>
      </c>
      <c r="N135" s="614">
        <v>38</v>
      </c>
      <c r="O135" s="614">
        <v>38304</v>
      </c>
      <c r="P135" s="627">
        <v>19.113772455089819</v>
      </c>
      <c r="Q135" s="615">
        <v>1008</v>
      </c>
    </row>
    <row r="136" spans="1:17" ht="14.4" customHeight="1" x14ac:dyDescent="0.3">
      <c r="A136" s="610" t="s">
        <v>2117</v>
      </c>
      <c r="B136" s="611" t="s">
        <v>2118</v>
      </c>
      <c r="C136" s="611" t="s">
        <v>1782</v>
      </c>
      <c r="D136" s="611" t="s">
        <v>2301</v>
      </c>
      <c r="E136" s="611" t="s">
        <v>2302</v>
      </c>
      <c r="F136" s="614"/>
      <c r="G136" s="614"/>
      <c r="H136" s="614"/>
      <c r="I136" s="614"/>
      <c r="J136" s="614">
        <v>1</v>
      </c>
      <c r="K136" s="614">
        <v>191</v>
      </c>
      <c r="L136" s="614"/>
      <c r="M136" s="614">
        <v>191</v>
      </c>
      <c r="N136" s="614"/>
      <c r="O136" s="614"/>
      <c r="P136" s="627"/>
      <c r="Q136" s="615"/>
    </row>
    <row r="137" spans="1:17" ht="14.4" customHeight="1" x14ac:dyDescent="0.3">
      <c r="A137" s="610" t="s">
        <v>2117</v>
      </c>
      <c r="B137" s="611" t="s">
        <v>2118</v>
      </c>
      <c r="C137" s="611" t="s">
        <v>1782</v>
      </c>
      <c r="D137" s="611" t="s">
        <v>2303</v>
      </c>
      <c r="E137" s="611" t="s">
        <v>2304</v>
      </c>
      <c r="F137" s="614"/>
      <c r="G137" s="614"/>
      <c r="H137" s="614"/>
      <c r="I137" s="614"/>
      <c r="J137" s="614">
        <v>6</v>
      </c>
      <c r="K137" s="614">
        <v>9910</v>
      </c>
      <c r="L137" s="614"/>
      <c r="M137" s="614">
        <v>1651.6666666666667</v>
      </c>
      <c r="N137" s="614">
        <v>1</v>
      </c>
      <c r="O137" s="614">
        <v>1657</v>
      </c>
      <c r="P137" s="627"/>
      <c r="Q137" s="615">
        <v>1657</v>
      </c>
    </row>
    <row r="138" spans="1:17" ht="14.4" customHeight="1" x14ac:dyDescent="0.3">
      <c r="A138" s="610" t="s">
        <v>2117</v>
      </c>
      <c r="B138" s="611" t="s">
        <v>2118</v>
      </c>
      <c r="C138" s="611" t="s">
        <v>1782</v>
      </c>
      <c r="D138" s="611" t="s">
        <v>2305</v>
      </c>
      <c r="E138" s="611" t="s">
        <v>2306</v>
      </c>
      <c r="F138" s="614"/>
      <c r="G138" s="614"/>
      <c r="H138" s="614"/>
      <c r="I138" s="614"/>
      <c r="J138" s="614">
        <v>1</v>
      </c>
      <c r="K138" s="614">
        <v>127</v>
      </c>
      <c r="L138" s="614"/>
      <c r="M138" s="614">
        <v>127</v>
      </c>
      <c r="N138" s="614">
        <v>1</v>
      </c>
      <c r="O138" s="614">
        <v>127</v>
      </c>
      <c r="P138" s="627"/>
      <c r="Q138" s="615">
        <v>127</v>
      </c>
    </row>
    <row r="139" spans="1:17" ht="14.4" customHeight="1" x14ac:dyDescent="0.3">
      <c r="A139" s="610" t="s">
        <v>2117</v>
      </c>
      <c r="B139" s="611" t="s">
        <v>2118</v>
      </c>
      <c r="C139" s="611" t="s">
        <v>1782</v>
      </c>
      <c r="D139" s="611" t="s">
        <v>2307</v>
      </c>
      <c r="E139" s="611" t="s">
        <v>2308</v>
      </c>
      <c r="F139" s="614"/>
      <c r="G139" s="614"/>
      <c r="H139" s="614"/>
      <c r="I139" s="614"/>
      <c r="J139" s="614"/>
      <c r="K139" s="614"/>
      <c r="L139" s="614"/>
      <c r="M139" s="614"/>
      <c r="N139" s="614">
        <v>1</v>
      </c>
      <c r="O139" s="614">
        <v>264</v>
      </c>
      <c r="P139" s="627"/>
      <c r="Q139" s="615">
        <v>264</v>
      </c>
    </row>
    <row r="140" spans="1:17" ht="14.4" customHeight="1" x14ac:dyDescent="0.3">
      <c r="A140" s="610" t="s">
        <v>2117</v>
      </c>
      <c r="B140" s="611" t="s">
        <v>2118</v>
      </c>
      <c r="C140" s="611" t="s">
        <v>1782</v>
      </c>
      <c r="D140" s="611" t="s">
        <v>2309</v>
      </c>
      <c r="E140" s="611" t="s">
        <v>2310</v>
      </c>
      <c r="F140" s="614">
        <v>2</v>
      </c>
      <c r="G140" s="614">
        <v>620</v>
      </c>
      <c r="H140" s="614">
        <v>1</v>
      </c>
      <c r="I140" s="614">
        <v>310</v>
      </c>
      <c r="J140" s="614"/>
      <c r="K140" s="614"/>
      <c r="L140" s="614"/>
      <c r="M140" s="614"/>
      <c r="N140" s="614"/>
      <c r="O140" s="614"/>
      <c r="P140" s="627"/>
      <c r="Q140" s="615"/>
    </row>
    <row r="141" spans="1:17" ht="14.4" customHeight="1" x14ac:dyDescent="0.3">
      <c r="A141" s="610" t="s">
        <v>2117</v>
      </c>
      <c r="B141" s="611" t="s">
        <v>2118</v>
      </c>
      <c r="C141" s="611" t="s">
        <v>1782</v>
      </c>
      <c r="D141" s="611" t="s">
        <v>2311</v>
      </c>
      <c r="E141" s="611" t="s">
        <v>2312</v>
      </c>
      <c r="F141" s="614">
        <v>13</v>
      </c>
      <c r="G141" s="614">
        <v>299</v>
      </c>
      <c r="H141" s="614">
        <v>1</v>
      </c>
      <c r="I141" s="614">
        <v>23</v>
      </c>
      <c r="J141" s="614">
        <v>12</v>
      </c>
      <c r="K141" s="614">
        <v>276</v>
      </c>
      <c r="L141" s="614">
        <v>0.92307692307692313</v>
      </c>
      <c r="M141" s="614">
        <v>23</v>
      </c>
      <c r="N141" s="614">
        <v>9</v>
      </c>
      <c r="O141" s="614">
        <v>207</v>
      </c>
      <c r="P141" s="627">
        <v>0.69230769230769229</v>
      </c>
      <c r="Q141" s="615">
        <v>23</v>
      </c>
    </row>
    <row r="142" spans="1:17" ht="14.4" customHeight="1" x14ac:dyDescent="0.3">
      <c r="A142" s="610" t="s">
        <v>2117</v>
      </c>
      <c r="B142" s="611" t="s">
        <v>2118</v>
      </c>
      <c r="C142" s="611" t="s">
        <v>1782</v>
      </c>
      <c r="D142" s="611" t="s">
        <v>2313</v>
      </c>
      <c r="E142" s="611" t="s">
        <v>2314</v>
      </c>
      <c r="F142" s="614"/>
      <c r="G142" s="614"/>
      <c r="H142" s="614"/>
      <c r="I142" s="614"/>
      <c r="J142" s="614"/>
      <c r="K142" s="614"/>
      <c r="L142" s="614"/>
      <c r="M142" s="614"/>
      <c r="N142" s="614">
        <v>1</v>
      </c>
      <c r="O142" s="614">
        <v>17</v>
      </c>
      <c r="P142" s="627"/>
      <c r="Q142" s="615">
        <v>17</v>
      </c>
    </row>
    <row r="143" spans="1:17" ht="14.4" customHeight="1" x14ac:dyDescent="0.3">
      <c r="A143" s="610" t="s">
        <v>2117</v>
      </c>
      <c r="B143" s="611" t="s">
        <v>2118</v>
      </c>
      <c r="C143" s="611" t="s">
        <v>1782</v>
      </c>
      <c r="D143" s="611" t="s">
        <v>2315</v>
      </c>
      <c r="E143" s="611" t="s">
        <v>2316</v>
      </c>
      <c r="F143" s="614">
        <v>1</v>
      </c>
      <c r="G143" s="614">
        <v>291</v>
      </c>
      <c r="H143" s="614">
        <v>1</v>
      </c>
      <c r="I143" s="614">
        <v>291</v>
      </c>
      <c r="J143" s="614"/>
      <c r="K143" s="614"/>
      <c r="L143" s="614"/>
      <c r="M143" s="614"/>
      <c r="N143" s="614"/>
      <c r="O143" s="614"/>
      <c r="P143" s="627"/>
      <c r="Q143" s="615"/>
    </row>
    <row r="144" spans="1:17" ht="14.4" customHeight="1" x14ac:dyDescent="0.3">
      <c r="A144" s="610" t="s">
        <v>2117</v>
      </c>
      <c r="B144" s="611" t="s">
        <v>2118</v>
      </c>
      <c r="C144" s="611" t="s">
        <v>1782</v>
      </c>
      <c r="D144" s="611" t="s">
        <v>2317</v>
      </c>
      <c r="E144" s="611" t="s">
        <v>2318</v>
      </c>
      <c r="F144" s="614">
        <v>1</v>
      </c>
      <c r="G144" s="614">
        <v>366</v>
      </c>
      <c r="H144" s="614">
        <v>1</v>
      </c>
      <c r="I144" s="614">
        <v>366</v>
      </c>
      <c r="J144" s="614"/>
      <c r="K144" s="614"/>
      <c r="L144" s="614"/>
      <c r="M144" s="614"/>
      <c r="N144" s="614">
        <v>1</v>
      </c>
      <c r="O144" s="614">
        <v>371</v>
      </c>
      <c r="P144" s="627">
        <v>1.0136612021857923</v>
      </c>
      <c r="Q144" s="615">
        <v>371</v>
      </c>
    </row>
    <row r="145" spans="1:17" ht="14.4" customHeight="1" x14ac:dyDescent="0.3">
      <c r="A145" s="610" t="s">
        <v>2117</v>
      </c>
      <c r="B145" s="611" t="s">
        <v>2118</v>
      </c>
      <c r="C145" s="611" t="s">
        <v>1782</v>
      </c>
      <c r="D145" s="611" t="s">
        <v>2319</v>
      </c>
      <c r="E145" s="611" t="s">
        <v>2320</v>
      </c>
      <c r="F145" s="614">
        <v>26</v>
      </c>
      <c r="G145" s="614">
        <v>1170</v>
      </c>
      <c r="H145" s="614">
        <v>1</v>
      </c>
      <c r="I145" s="614">
        <v>45</v>
      </c>
      <c r="J145" s="614">
        <v>21</v>
      </c>
      <c r="K145" s="614">
        <v>945</v>
      </c>
      <c r="L145" s="614">
        <v>0.80769230769230771</v>
      </c>
      <c r="M145" s="614">
        <v>45</v>
      </c>
      <c r="N145" s="614">
        <v>26</v>
      </c>
      <c r="O145" s="614">
        <v>1170</v>
      </c>
      <c r="P145" s="627">
        <v>1</v>
      </c>
      <c r="Q145" s="615">
        <v>45</v>
      </c>
    </row>
    <row r="146" spans="1:17" ht="14.4" customHeight="1" x14ac:dyDescent="0.3">
      <c r="A146" s="610" t="s">
        <v>2117</v>
      </c>
      <c r="B146" s="611" t="s">
        <v>2118</v>
      </c>
      <c r="C146" s="611" t="s">
        <v>1782</v>
      </c>
      <c r="D146" s="611" t="s">
        <v>2321</v>
      </c>
      <c r="E146" s="611" t="s">
        <v>2178</v>
      </c>
      <c r="F146" s="614">
        <v>7</v>
      </c>
      <c r="G146" s="614">
        <v>1295</v>
      </c>
      <c r="H146" s="614">
        <v>1</v>
      </c>
      <c r="I146" s="614">
        <v>185</v>
      </c>
      <c r="J146" s="614">
        <v>7</v>
      </c>
      <c r="K146" s="614">
        <v>1302</v>
      </c>
      <c r="L146" s="614">
        <v>1.0054054054054054</v>
      </c>
      <c r="M146" s="614">
        <v>186</v>
      </c>
      <c r="N146" s="614">
        <v>3</v>
      </c>
      <c r="O146" s="614">
        <v>558</v>
      </c>
      <c r="P146" s="627">
        <v>0.4308880308880309</v>
      </c>
      <c r="Q146" s="615">
        <v>186</v>
      </c>
    </row>
    <row r="147" spans="1:17" ht="14.4" customHeight="1" x14ac:dyDescent="0.3">
      <c r="A147" s="610" t="s">
        <v>2117</v>
      </c>
      <c r="B147" s="611" t="s">
        <v>2118</v>
      </c>
      <c r="C147" s="611" t="s">
        <v>1782</v>
      </c>
      <c r="D147" s="611" t="s">
        <v>2322</v>
      </c>
      <c r="E147" s="611" t="s">
        <v>2323</v>
      </c>
      <c r="F147" s="614"/>
      <c r="G147" s="614"/>
      <c r="H147" s="614"/>
      <c r="I147" s="614"/>
      <c r="J147" s="614">
        <v>3</v>
      </c>
      <c r="K147" s="614">
        <v>435</v>
      </c>
      <c r="L147" s="614"/>
      <c r="M147" s="614">
        <v>145</v>
      </c>
      <c r="N147" s="614"/>
      <c r="O147" s="614"/>
      <c r="P147" s="627"/>
      <c r="Q147" s="615"/>
    </row>
    <row r="148" spans="1:17" ht="14.4" customHeight="1" x14ac:dyDescent="0.3">
      <c r="A148" s="610" t="s">
        <v>2117</v>
      </c>
      <c r="B148" s="611" t="s">
        <v>2118</v>
      </c>
      <c r="C148" s="611" t="s">
        <v>1782</v>
      </c>
      <c r="D148" s="611" t="s">
        <v>2324</v>
      </c>
      <c r="E148" s="611" t="s">
        <v>2325</v>
      </c>
      <c r="F148" s="614"/>
      <c r="G148" s="614"/>
      <c r="H148" s="614"/>
      <c r="I148" s="614"/>
      <c r="J148" s="614">
        <v>104</v>
      </c>
      <c r="K148" s="614">
        <v>4600</v>
      </c>
      <c r="L148" s="614"/>
      <c r="M148" s="614">
        <v>44.230769230769234</v>
      </c>
      <c r="N148" s="614">
        <v>18</v>
      </c>
      <c r="O148" s="614">
        <v>828</v>
      </c>
      <c r="P148" s="627"/>
      <c r="Q148" s="615">
        <v>46</v>
      </c>
    </row>
    <row r="149" spans="1:17" ht="14.4" customHeight="1" x14ac:dyDescent="0.3">
      <c r="A149" s="610" t="s">
        <v>2117</v>
      </c>
      <c r="B149" s="611" t="s">
        <v>2118</v>
      </c>
      <c r="C149" s="611" t="s">
        <v>1782</v>
      </c>
      <c r="D149" s="611" t="s">
        <v>2326</v>
      </c>
      <c r="E149" s="611" t="s">
        <v>2327</v>
      </c>
      <c r="F149" s="614">
        <v>3</v>
      </c>
      <c r="G149" s="614">
        <v>303</v>
      </c>
      <c r="H149" s="614">
        <v>1</v>
      </c>
      <c r="I149" s="614">
        <v>101</v>
      </c>
      <c r="J149" s="614"/>
      <c r="K149" s="614"/>
      <c r="L149" s="614"/>
      <c r="M149" s="614"/>
      <c r="N149" s="614"/>
      <c r="O149" s="614"/>
      <c r="P149" s="627"/>
      <c r="Q149" s="615"/>
    </row>
    <row r="150" spans="1:17" ht="14.4" customHeight="1" x14ac:dyDescent="0.3">
      <c r="A150" s="610" t="s">
        <v>2117</v>
      </c>
      <c r="B150" s="611" t="s">
        <v>2118</v>
      </c>
      <c r="C150" s="611" t="s">
        <v>1782</v>
      </c>
      <c r="D150" s="611" t="s">
        <v>2328</v>
      </c>
      <c r="E150" s="611" t="s">
        <v>2329</v>
      </c>
      <c r="F150" s="614">
        <v>1</v>
      </c>
      <c r="G150" s="614">
        <v>288</v>
      </c>
      <c r="H150" s="614">
        <v>1</v>
      </c>
      <c r="I150" s="614">
        <v>288</v>
      </c>
      <c r="J150" s="614">
        <v>2</v>
      </c>
      <c r="K150" s="614">
        <v>578</v>
      </c>
      <c r="L150" s="614">
        <v>2.0069444444444446</v>
      </c>
      <c r="M150" s="614">
        <v>289</v>
      </c>
      <c r="N150" s="614"/>
      <c r="O150" s="614"/>
      <c r="P150" s="627"/>
      <c r="Q150" s="615"/>
    </row>
    <row r="151" spans="1:17" ht="14.4" customHeight="1" x14ac:dyDescent="0.3">
      <c r="A151" s="610" t="s">
        <v>2117</v>
      </c>
      <c r="B151" s="611" t="s">
        <v>2118</v>
      </c>
      <c r="C151" s="611" t="s">
        <v>1782</v>
      </c>
      <c r="D151" s="611" t="s">
        <v>2330</v>
      </c>
      <c r="E151" s="611" t="s">
        <v>2331</v>
      </c>
      <c r="F151" s="614"/>
      <c r="G151" s="614"/>
      <c r="H151" s="614"/>
      <c r="I151" s="614"/>
      <c r="J151" s="614">
        <v>3</v>
      </c>
      <c r="K151" s="614">
        <v>90</v>
      </c>
      <c r="L151" s="614"/>
      <c r="M151" s="614">
        <v>30</v>
      </c>
      <c r="N151" s="614">
        <v>2</v>
      </c>
      <c r="O151" s="614">
        <v>62</v>
      </c>
      <c r="P151" s="627"/>
      <c r="Q151" s="615">
        <v>31</v>
      </c>
    </row>
    <row r="152" spans="1:17" ht="14.4" customHeight="1" x14ac:dyDescent="0.3">
      <c r="A152" s="610" t="s">
        <v>2117</v>
      </c>
      <c r="B152" s="611" t="s">
        <v>2118</v>
      </c>
      <c r="C152" s="611" t="s">
        <v>1782</v>
      </c>
      <c r="D152" s="611" t="s">
        <v>2332</v>
      </c>
      <c r="E152" s="611" t="s">
        <v>2333</v>
      </c>
      <c r="F152" s="614">
        <v>1</v>
      </c>
      <c r="G152" s="614">
        <v>555</v>
      </c>
      <c r="H152" s="614">
        <v>1</v>
      </c>
      <c r="I152" s="614">
        <v>555</v>
      </c>
      <c r="J152" s="614">
        <v>4</v>
      </c>
      <c r="K152" s="614">
        <v>2228</v>
      </c>
      <c r="L152" s="614">
        <v>4.0144144144144143</v>
      </c>
      <c r="M152" s="614">
        <v>557</v>
      </c>
      <c r="N152" s="614"/>
      <c r="O152" s="614"/>
      <c r="P152" s="627"/>
      <c r="Q152" s="615"/>
    </row>
    <row r="153" spans="1:17" ht="14.4" customHeight="1" x14ac:dyDescent="0.3">
      <c r="A153" s="610" t="s">
        <v>2117</v>
      </c>
      <c r="B153" s="611" t="s">
        <v>2118</v>
      </c>
      <c r="C153" s="611" t="s">
        <v>1782</v>
      </c>
      <c r="D153" s="611" t="s">
        <v>2334</v>
      </c>
      <c r="E153" s="611" t="s">
        <v>2335</v>
      </c>
      <c r="F153" s="614">
        <v>1</v>
      </c>
      <c r="G153" s="614">
        <v>182</v>
      </c>
      <c r="H153" s="614">
        <v>1</v>
      </c>
      <c r="I153" s="614">
        <v>182</v>
      </c>
      <c r="J153" s="614">
        <v>4</v>
      </c>
      <c r="K153" s="614">
        <v>731</v>
      </c>
      <c r="L153" s="614">
        <v>4.0164835164835164</v>
      </c>
      <c r="M153" s="614">
        <v>182.75</v>
      </c>
      <c r="N153" s="614">
        <v>1</v>
      </c>
      <c r="O153" s="614">
        <v>183</v>
      </c>
      <c r="P153" s="627">
        <v>1.0054945054945055</v>
      </c>
      <c r="Q153" s="615">
        <v>183</v>
      </c>
    </row>
    <row r="154" spans="1:17" ht="14.4" customHeight="1" x14ac:dyDescent="0.3">
      <c r="A154" s="610" t="s">
        <v>2117</v>
      </c>
      <c r="B154" s="611" t="s">
        <v>2118</v>
      </c>
      <c r="C154" s="611" t="s">
        <v>1782</v>
      </c>
      <c r="D154" s="611" t="s">
        <v>2336</v>
      </c>
      <c r="E154" s="611" t="s">
        <v>2337</v>
      </c>
      <c r="F154" s="614"/>
      <c r="G154" s="614"/>
      <c r="H154" s="614"/>
      <c r="I154" s="614"/>
      <c r="J154" s="614">
        <v>5</v>
      </c>
      <c r="K154" s="614">
        <v>1455</v>
      </c>
      <c r="L154" s="614"/>
      <c r="M154" s="614">
        <v>291</v>
      </c>
      <c r="N154" s="614">
        <v>3</v>
      </c>
      <c r="O154" s="614">
        <v>876</v>
      </c>
      <c r="P154" s="627"/>
      <c r="Q154" s="615">
        <v>292</v>
      </c>
    </row>
    <row r="155" spans="1:17" ht="14.4" customHeight="1" x14ac:dyDescent="0.3">
      <c r="A155" s="610" t="s">
        <v>2117</v>
      </c>
      <c r="B155" s="611" t="s">
        <v>2118</v>
      </c>
      <c r="C155" s="611" t="s">
        <v>1782</v>
      </c>
      <c r="D155" s="611" t="s">
        <v>2338</v>
      </c>
      <c r="E155" s="611" t="s">
        <v>2339</v>
      </c>
      <c r="F155" s="614"/>
      <c r="G155" s="614"/>
      <c r="H155" s="614"/>
      <c r="I155" s="614"/>
      <c r="J155" s="614"/>
      <c r="K155" s="614"/>
      <c r="L155" s="614"/>
      <c r="M155" s="614"/>
      <c r="N155" s="614">
        <v>1</v>
      </c>
      <c r="O155" s="614">
        <v>354</v>
      </c>
      <c r="P155" s="627"/>
      <c r="Q155" s="615">
        <v>354</v>
      </c>
    </row>
    <row r="156" spans="1:17" ht="14.4" customHeight="1" x14ac:dyDescent="0.3">
      <c r="A156" s="610" t="s">
        <v>2117</v>
      </c>
      <c r="B156" s="611" t="s">
        <v>2118</v>
      </c>
      <c r="C156" s="611" t="s">
        <v>1782</v>
      </c>
      <c r="D156" s="611" t="s">
        <v>2340</v>
      </c>
      <c r="E156" s="611" t="s">
        <v>2341</v>
      </c>
      <c r="F156" s="614"/>
      <c r="G156" s="614"/>
      <c r="H156" s="614"/>
      <c r="I156" s="614"/>
      <c r="J156" s="614"/>
      <c r="K156" s="614"/>
      <c r="L156" s="614"/>
      <c r="M156" s="614"/>
      <c r="N156" s="614">
        <v>2</v>
      </c>
      <c r="O156" s="614">
        <v>812</v>
      </c>
      <c r="P156" s="627"/>
      <c r="Q156" s="615">
        <v>406</v>
      </c>
    </row>
    <row r="157" spans="1:17" ht="14.4" customHeight="1" x14ac:dyDescent="0.3">
      <c r="A157" s="610" t="s">
        <v>2117</v>
      </c>
      <c r="B157" s="611" t="s">
        <v>2118</v>
      </c>
      <c r="C157" s="611" t="s">
        <v>1782</v>
      </c>
      <c r="D157" s="611" t="s">
        <v>2342</v>
      </c>
      <c r="E157" s="611" t="s">
        <v>2343</v>
      </c>
      <c r="F157" s="614"/>
      <c r="G157" s="614"/>
      <c r="H157" s="614"/>
      <c r="I157" s="614"/>
      <c r="J157" s="614"/>
      <c r="K157" s="614"/>
      <c r="L157" s="614"/>
      <c r="M157" s="614"/>
      <c r="N157" s="614">
        <v>1</v>
      </c>
      <c r="O157" s="614">
        <v>189</v>
      </c>
      <c r="P157" s="627"/>
      <c r="Q157" s="615">
        <v>189</v>
      </c>
    </row>
    <row r="158" spans="1:17" ht="14.4" customHeight="1" x14ac:dyDescent="0.3">
      <c r="A158" s="610" t="s">
        <v>2117</v>
      </c>
      <c r="B158" s="611" t="s">
        <v>2118</v>
      </c>
      <c r="C158" s="611" t="s">
        <v>1782</v>
      </c>
      <c r="D158" s="611" t="s">
        <v>2344</v>
      </c>
      <c r="E158" s="611" t="s">
        <v>2345</v>
      </c>
      <c r="F158" s="614"/>
      <c r="G158" s="614"/>
      <c r="H158" s="614"/>
      <c r="I158" s="614"/>
      <c r="J158" s="614"/>
      <c r="K158" s="614"/>
      <c r="L158" s="614"/>
      <c r="M158" s="614"/>
      <c r="N158" s="614">
        <v>2</v>
      </c>
      <c r="O158" s="614">
        <v>582</v>
      </c>
      <c r="P158" s="627"/>
      <c r="Q158" s="615">
        <v>291</v>
      </c>
    </row>
    <row r="159" spans="1:17" ht="14.4" customHeight="1" x14ac:dyDescent="0.3">
      <c r="A159" s="610" t="s">
        <v>2117</v>
      </c>
      <c r="B159" s="611" t="s">
        <v>2346</v>
      </c>
      <c r="C159" s="611" t="s">
        <v>1782</v>
      </c>
      <c r="D159" s="611" t="s">
        <v>2347</v>
      </c>
      <c r="E159" s="611" t="s">
        <v>2348</v>
      </c>
      <c r="F159" s="614">
        <v>280</v>
      </c>
      <c r="G159" s="614">
        <v>289800</v>
      </c>
      <c r="H159" s="614">
        <v>1</v>
      </c>
      <c r="I159" s="614">
        <v>1035</v>
      </c>
      <c r="J159" s="614">
        <v>305</v>
      </c>
      <c r="K159" s="614">
        <v>295319</v>
      </c>
      <c r="L159" s="614">
        <v>1.0190441683919944</v>
      </c>
      <c r="M159" s="614">
        <v>968.25901639344261</v>
      </c>
      <c r="N159" s="614">
        <v>285</v>
      </c>
      <c r="O159" s="614">
        <v>295545</v>
      </c>
      <c r="P159" s="627">
        <v>1.0198240165631469</v>
      </c>
      <c r="Q159" s="615">
        <v>1037</v>
      </c>
    </row>
    <row r="160" spans="1:17" ht="14.4" customHeight="1" x14ac:dyDescent="0.3">
      <c r="A160" s="610" t="s">
        <v>2117</v>
      </c>
      <c r="B160" s="611" t="s">
        <v>2346</v>
      </c>
      <c r="C160" s="611" t="s">
        <v>1782</v>
      </c>
      <c r="D160" s="611" t="s">
        <v>2049</v>
      </c>
      <c r="E160" s="611" t="s">
        <v>2050</v>
      </c>
      <c r="F160" s="614">
        <v>1</v>
      </c>
      <c r="G160" s="614">
        <v>1245</v>
      </c>
      <c r="H160" s="614">
        <v>1</v>
      </c>
      <c r="I160" s="614">
        <v>1245</v>
      </c>
      <c r="J160" s="614"/>
      <c r="K160" s="614"/>
      <c r="L160" s="614"/>
      <c r="M160" s="614"/>
      <c r="N160" s="614"/>
      <c r="O160" s="614"/>
      <c r="P160" s="627"/>
      <c r="Q160" s="615"/>
    </row>
    <row r="161" spans="1:17" ht="14.4" customHeight="1" x14ac:dyDescent="0.3">
      <c r="A161" s="610" t="s">
        <v>2349</v>
      </c>
      <c r="B161" s="611" t="s">
        <v>2350</v>
      </c>
      <c r="C161" s="611" t="s">
        <v>1786</v>
      </c>
      <c r="D161" s="611" t="s">
        <v>2351</v>
      </c>
      <c r="E161" s="611" t="s">
        <v>2352</v>
      </c>
      <c r="F161" s="614"/>
      <c r="G161" s="614"/>
      <c r="H161" s="614"/>
      <c r="I161" s="614"/>
      <c r="J161" s="614"/>
      <c r="K161" s="614"/>
      <c r="L161" s="614"/>
      <c r="M161" s="614"/>
      <c r="N161" s="614">
        <v>0.09</v>
      </c>
      <c r="O161" s="614">
        <v>444.93</v>
      </c>
      <c r="P161" s="627"/>
      <c r="Q161" s="615">
        <v>4943.666666666667</v>
      </c>
    </row>
    <row r="162" spans="1:17" ht="14.4" customHeight="1" x14ac:dyDescent="0.3">
      <c r="A162" s="610" t="s">
        <v>2349</v>
      </c>
      <c r="B162" s="611" t="s">
        <v>2350</v>
      </c>
      <c r="C162" s="611" t="s">
        <v>1786</v>
      </c>
      <c r="D162" s="611" t="s">
        <v>2353</v>
      </c>
      <c r="E162" s="611" t="s">
        <v>2354</v>
      </c>
      <c r="F162" s="614"/>
      <c r="G162" s="614"/>
      <c r="H162" s="614"/>
      <c r="I162" s="614"/>
      <c r="J162" s="614">
        <v>0.2</v>
      </c>
      <c r="K162" s="614">
        <v>197.8</v>
      </c>
      <c r="L162" s="614"/>
      <c r="M162" s="614">
        <v>989</v>
      </c>
      <c r="N162" s="614"/>
      <c r="O162" s="614"/>
      <c r="P162" s="627"/>
      <c r="Q162" s="615"/>
    </row>
    <row r="163" spans="1:17" ht="14.4" customHeight="1" x14ac:dyDescent="0.3">
      <c r="A163" s="610" t="s">
        <v>2349</v>
      </c>
      <c r="B163" s="611" t="s">
        <v>2350</v>
      </c>
      <c r="C163" s="611" t="s">
        <v>1786</v>
      </c>
      <c r="D163" s="611" t="s">
        <v>2355</v>
      </c>
      <c r="E163" s="611" t="s">
        <v>2352</v>
      </c>
      <c r="F163" s="614"/>
      <c r="G163" s="614"/>
      <c r="H163" s="614"/>
      <c r="I163" s="614"/>
      <c r="J163" s="614">
        <v>0.05</v>
      </c>
      <c r="K163" s="614">
        <v>516.86</v>
      </c>
      <c r="L163" s="614"/>
      <c r="M163" s="614">
        <v>10337.199999999999</v>
      </c>
      <c r="N163" s="614"/>
      <c r="O163" s="614"/>
      <c r="P163" s="627"/>
      <c r="Q163" s="615"/>
    </row>
    <row r="164" spans="1:17" ht="14.4" customHeight="1" x14ac:dyDescent="0.3">
      <c r="A164" s="610" t="s">
        <v>2349</v>
      </c>
      <c r="B164" s="611" t="s">
        <v>2350</v>
      </c>
      <c r="C164" s="611" t="s">
        <v>1786</v>
      </c>
      <c r="D164" s="611" t="s">
        <v>2356</v>
      </c>
      <c r="E164" s="611" t="s">
        <v>2357</v>
      </c>
      <c r="F164" s="614"/>
      <c r="G164" s="614"/>
      <c r="H164" s="614"/>
      <c r="I164" s="614"/>
      <c r="J164" s="614">
        <v>7.0000000000000007E-2</v>
      </c>
      <c r="K164" s="614">
        <v>371.75</v>
      </c>
      <c r="L164" s="614"/>
      <c r="M164" s="614">
        <v>5310.7142857142853</v>
      </c>
      <c r="N164" s="614"/>
      <c r="O164" s="614"/>
      <c r="P164" s="627"/>
      <c r="Q164" s="615"/>
    </row>
    <row r="165" spans="1:17" ht="14.4" customHeight="1" x14ac:dyDescent="0.3">
      <c r="A165" s="610" t="s">
        <v>2349</v>
      </c>
      <c r="B165" s="611" t="s">
        <v>2350</v>
      </c>
      <c r="C165" s="611" t="s">
        <v>1786</v>
      </c>
      <c r="D165" s="611" t="s">
        <v>2358</v>
      </c>
      <c r="E165" s="611" t="s">
        <v>2352</v>
      </c>
      <c r="F165" s="614"/>
      <c r="G165" s="614"/>
      <c r="H165" s="614"/>
      <c r="I165" s="614"/>
      <c r="J165" s="614">
        <v>0.05</v>
      </c>
      <c r="K165" s="614">
        <v>325.32</v>
      </c>
      <c r="L165" s="614"/>
      <c r="M165" s="614">
        <v>6506.4</v>
      </c>
      <c r="N165" s="614">
        <v>0.02</v>
      </c>
      <c r="O165" s="614">
        <v>98.87</v>
      </c>
      <c r="P165" s="627"/>
      <c r="Q165" s="615">
        <v>4943.5</v>
      </c>
    </row>
    <row r="166" spans="1:17" ht="14.4" customHeight="1" x14ac:dyDescent="0.3">
      <c r="A166" s="610" t="s">
        <v>2349</v>
      </c>
      <c r="B166" s="611" t="s">
        <v>2350</v>
      </c>
      <c r="C166" s="611" t="s">
        <v>1786</v>
      </c>
      <c r="D166" s="611" t="s">
        <v>2359</v>
      </c>
      <c r="E166" s="611"/>
      <c r="F166" s="614"/>
      <c r="G166" s="614"/>
      <c r="H166" s="614"/>
      <c r="I166" s="614"/>
      <c r="J166" s="614">
        <v>0.02</v>
      </c>
      <c r="K166" s="614">
        <v>172.84</v>
      </c>
      <c r="L166" s="614"/>
      <c r="M166" s="614">
        <v>8642</v>
      </c>
      <c r="N166" s="614"/>
      <c r="O166" s="614"/>
      <c r="P166" s="627"/>
      <c r="Q166" s="615"/>
    </row>
    <row r="167" spans="1:17" ht="14.4" customHeight="1" x14ac:dyDescent="0.3">
      <c r="A167" s="610" t="s">
        <v>2349</v>
      </c>
      <c r="B167" s="611" t="s">
        <v>2350</v>
      </c>
      <c r="C167" s="611" t="s">
        <v>1786</v>
      </c>
      <c r="D167" s="611" t="s">
        <v>2360</v>
      </c>
      <c r="E167" s="611" t="s">
        <v>2361</v>
      </c>
      <c r="F167" s="614"/>
      <c r="G167" s="614"/>
      <c r="H167" s="614"/>
      <c r="I167" s="614"/>
      <c r="J167" s="614"/>
      <c r="K167" s="614"/>
      <c r="L167" s="614"/>
      <c r="M167" s="614"/>
      <c r="N167" s="614">
        <v>0.02</v>
      </c>
      <c r="O167" s="614">
        <v>88.54</v>
      </c>
      <c r="P167" s="627"/>
      <c r="Q167" s="615">
        <v>4427</v>
      </c>
    </row>
    <row r="168" spans="1:17" ht="14.4" customHeight="1" x14ac:dyDescent="0.3">
      <c r="A168" s="610" t="s">
        <v>2349</v>
      </c>
      <c r="B168" s="611" t="s">
        <v>2350</v>
      </c>
      <c r="C168" s="611" t="s">
        <v>1786</v>
      </c>
      <c r="D168" s="611" t="s">
        <v>2362</v>
      </c>
      <c r="E168" s="611" t="s">
        <v>2361</v>
      </c>
      <c r="F168" s="614">
        <v>0.04</v>
      </c>
      <c r="G168" s="614">
        <v>433.99</v>
      </c>
      <c r="H168" s="614">
        <v>1</v>
      </c>
      <c r="I168" s="614">
        <v>10849.75</v>
      </c>
      <c r="J168" s="614">
        <v>0.04</v>
      </c>
      <c r="K168" s="614">
        <v>382.24</v>
      </c>
      <c r="L168" s="614">
        <v>0.88075762114334433</v>
      </c>
      <c r="M168" s="614">
        <v>9556</v>
      </c>
      <c r="N168" s="614">
        <v>0.09</v>
      </c>
      <c r="O168" s="614">
        <v>796.86</v>
      </c>
      <c r="P168" s="627">
        <v>1.8361252563423121</v>
      </c>
      <c r="Q168" s="615">
        <v>8854</v>
      </c>
    </row>
    <row r="169" spans="1:17" ht="14.4" customHeight="1" x14ac:dyDescent="0.3">
      <c r="A169" s="610" t="s">
        <v>2349</v>
      </c>
      <c r="B169" s="611" t="s">
        <v>2350</v>
      </c>
      <c r="C169" s="611" t="s">
        <v>1786</v>
      </c>
      <c r="D169" s="611" t="s">
        <v>2363</v>
      </c>
      <c r="E169" s="611" t="s">
        <v>2364</v>
      </c>
      <c r="F169" s="614">
        <v>0.2</v>
      </c>
      <c r="G169" s="614">
        <v>390.36</v>
      </c>
      <c r="H169" s="614">
        <v>1</v>
      </c>
      <c r="I169" s="614">
        <v>1951.8</v>
      </c>
      <c r="J169" s="614">
        <v>0.05</v>
      </c>
      <c r="K169" s="614">
        <v>97.8</v>
      </c>
      <c r="L169" s="614">
        <v>0.25053796495542574</v>
      </c>
      <c r="M169" s="614">
        <v>1955.9999999999998</v>
      </c>
      <c r="N169" s="614">
        <v>0.30000000000000004</v>
      </c>
      <c r="O169" s="614">
        <v>584.79</v>
      </c>
      <c r="P169" s="627">
        <v>1.498078696587765</v>
      </c>
      <c r="Q169" s="615">
        <v>1949.2999999999995</v>
      </c>
    </row>
    <row r="170" spans="1:17" ht="14.4" customHeight="1" x14ac:dyDescent="0.3">
      <c r="A170" s="610" t="s">
        <v>2349</v>
      </c>
      <c r="B170" s="611" t="s">
        <v>2350</v>
      </c>
      <c r="C170" s="611" t="s">
        <v>1786</v>
      </c>
      <c r="D170" s="611" t="s">
        <v>2365</v>
      </c>
      <c r="E170" s="611" t="s">
        <v>2361</v>
      </c>
      <c r="F170" s="614"/>
      <c r="G170" s="614"/>
      <c r="H170" s="614"/>
      <c r="I170" s="614"/>
      <c r="J170" s="614"/>
      <c r="K170" s="614"/>
      <c r="L170" s="614"/>
      <c r="M170" s="614"/>
      <c r="N170" s="614">
        <v>0.25</v>
      </c>
      <c r="O170" s="614">
        <v>442.70000000000005</v>
      </c>
      <c r="P170" s="627"/>
      <c r="Q170" s="615">
        <v>1770.8000000000002</v>
      </c>
    </row>
    <row r="171" spans="1:17" ht="14.4" customHeight="1" x14ac:dyDescent="0.3">
      <c r="A171" s="610" t="s">
        <v>2349</v>
      </c>
      <c r="B171" s="611" t="s">
        <v>2350</v>
      </c>
      <c r="C171" s="611" t="s">
        <v>1786</v>
      </c>
      <c r="D171" s="611" t="s">
        <v>2366</v>
      </c>
      <c r="E171" s="611" t="s">
        <v>2361</v>
      </c>
      <c r="F171" s="614"/>
      <c r="G171" s="614"/>
      <c r="H171" s="614"/>
      <c r="I171" s="614"/>
      <c r="J171" s="614"/>
      <c r="K171" s="614"/>
      <c r="L171" s="614"/>
      <c r="M171" s="614"/>
      <c r="N171" s="614">
        <v>0</v>
      </c>
      <c r="O171" s="614">
        <v>212.48</v>
      </c>
      <c r="P171" s="627"/>
      <c r="Q171" s="615"/>
    </row>
    <row r="172" spans="1:17" ht="14.4" customHeight="1" x14ac:dyDescent="0.3">
      <c r="A172" s="610" t="s">
        <v>2349</v>
      </c>
      <c r="B172" s="611" t="s">
        <v>2350</v>
      </c>
      <c r="C172" s="611" t="s">
        <v>1881</v>
      </c>
      <c r="D172" s="611" t="s">
        <v>2367</v>
      </c>
      <c r="E172" s="611" t="s">
        <v>2368</v>
      </c>
      <c r="F172" s="614"/>
      <c r="G172" s="614"/>
      <c r="H172" s="614"/>
      <c r="I172" s="614"/>
      <c r="J172" s="614">
        <v>2</v>
      </c>
      <c r="K172" s="614">
        <v>3414.62</v>
      </c>
      <c r="L172" s="614"/>
      <c r="M172" s="614">
        <v>1707.31</v>
      </c>
      <c r="N172" s="614"/>
      <c r="O172" s="614"/>
      <c r="P172" s="627"/>
      <c r="Q172" s="615"/>
    </row>
    <row r="173" spans="1:17" ht="14.4" customHeight="1" x14ac:dyDescent="0.3">
      <c r="A173" s="610" t="s">
        <v>2349</v>
      </c>
      <c r="B173" s="611" t="s">
        <v>2350</v>
      </c>
      <c r="C173" s="611" t="s">
        <v>1881</v>
      </c>
      <c r="D173" s="611" t="s">
        <v>2369</v>
      </c>
      <c r="E173" s="611" t="s">
        <v>2370</v>
      </c>
      <c r="F173" s="614"/>
      <c r="G173" s="614"/>
      <c r="H173" s="614"/>
      <c r="I173" s="614"/>
      <c r="J173" s="614">
        <v>4</v>
      </c>
      <c r="K173" s="614">
        <v>27563.119999999999</v>
      </c>
      <c r="L173" s="614"/>
      <c r="M173" s="614">
        <v>6890.78</v>
      </c>
      <c r="N173" s="614"/>
      <c r="O173" s="614"/>
      <c r="P173" s="627"/>
      <c r="Q173" s="615"/>
    </row>
    <row r="174" spans="1:17" ht="14.4" customHeight="1" x14ac:dyDescent="0.3">
      <c r="A174" s="610" t="s">
        <v>2349</v>
      </c>
      <c r="B174" s="611" t="s">
        <v>2350</v>
      </c>
      <c r="C174" s="611" t="s">
        <v>1881</v>
      </c>
      <c r="D174" s="611" t="s">
        <v>2371</v>
      </c>
      <c r="E174" s="611" t="s">
        <v>2372</v>
      </c>
      <c r="F174" s="614"/>
      <c r="G174" s="614"/>
      <c r="H174" s="614"/>
      <c r="I174" s="614"/>
      <c r="J174" s="614">
        <v>2</v>
      </c>
      <c r="K174" s="614">
        <v>2005.6</v>
      </c>
      <c r="L174" s="614"/>
      <c r="M174" s="614">
        <v>1002.8</v>
      </c>
      <c r="N174" s="614"/>
      <c r="O174" s="614"/>
      <c r="P174" s="627"/>
      <c r="Q174" s="615"/>
    </row>
    <row r="175" spans="1:17" ht="14.4" customHeight="1" x14ac:dyDescent="0.3">
      <c r="A175" s="610" t="s">
        <v>2349</v>
      </c>
      <c r="B175" s="611" t="s">
        <v>2350</v>
      </c>
      <c r="C175" s="611" t="s">
        <v>1881</v>
      </c>
      <c r="D175" s="611" t="s">
        <v>2373</v>
      </c>
      <c r="E175" s="611" t="s">
        <v>2374</v>
      </c>
      <c r="F175" s="614"/>
      <c r="G175" s="614"/>
      <c r="H175" s="614"/>
      <c r="I175" s="614"/>
      <c r="J175" s="614">
        <v>2</v>
      </c>
      <c r="K175" s="614">
        <v>2611.64</v>
      </c>
      <c r="L175" s="614"/>
      <c r="M175" s="614">
        <v>1305.82</v>
      </c>
      <c r="N175" s="614"/>
      <c r="O175" s="614"/>
      <c r="P175" s="627"/>
      <c r="Q175" s="615"/>
    </row>
    <row r="176" spans="1:17" ht="14.4" customHeight="1" x14ac:dyDescent="0.3">
      <c r="A176" s="610" t="s">
        <v>2349</v>
      </c>
      <c r="B176" s="611" t="s">
        <v>2350</v>
      </c>
      <c r="C176" s="611" t="s">
        <v>1782</v>
      </c>
      <c r="D176" s="611" t="s">
        <v>2375</v>
      </c>
      <c r="E176" s="611" t="s">
        <v>2376</v>
      </c>
      <c r="F176" s="614"/>
      <c r="G176" s="614"/>
      <c r="H176" s="614"/>
      <c r="I176" s="614"/>
      <c r="J176" s="614">
        <v>1</v>
      </c>
      <c r="K176" s="614">
        <v>151</v>
      </c>
      <c r="L176" s="614"/>
      <c r="M176" s="614">
        <v>151</v>
      </c>
      <c r="N176" s="614"/>
      <c r="O176" s="614"/>
      <c r="P176" s="627"/>
      <c r="Q176" s="615"/>
    </row>
    <row r="177" spans="1:17" ht="14.4" customHeight="1" x14ac:dyDescent="0.3">
      <c r="A177" s="610" t="s">
        <v>2349</v>
      </c>
      <c r="B177" s="611" t="s">
        <v>2350</v>
      </c>
      <c r="C177" s="611" t="s">
        <v>1782</v>
      </c>
      <c r="D177" s="611" t="s">
        <v>2377</v>
      </c>
      <c r="E177" s="611" t="s">
        <v>2378</v>
      </c>
      <c r="F177" s="614"/>
      <c r="G177" s="614"/>
      <c r="H177" s="614"/>
      <c r="I177" s="614"/>
      <c r="J177" s="614">
        <v>3</v>
      </c>
      <c r="K177" s="614">
        <v>549</v>
      </c>
      <c r="L177" s="614"/>
      <c r="M177" s="614">
        <v>183</v>
      </c>
      <c r="N177" s="614"/>
      <c r="O177" s="614"/>
      <c r="P177" s="627"/>
      <c r="Q177" s="615"/>
    </row>
    <row r="178" spans="1:17" ht="14.4" customHeight="1" x14ac:dyDescent="0.3">
      <c r="A178" s="610" t="s">
        <v>2349</v>
      </c>
      <c r="B178" s="611" t="s">
        <v>2350</v>
      </c>
      <c r="C178" s="611" t="s">
        <v>1782</v>
      </c>
      <c r="D178" s="611" t="s">
        <v>2379</v>
      </c>
      <c r="E178" s="611" t="s">
        <v>2380</v>
      </c>
      <c r="F178" s="614"/>
      <c r="G178" s="614"/>
      <c r="H178" s="614"/>
      <c r="I178" s="614"/>
      <c r="J178" s="614">
        <v>1</v>
      </c>
      <c r="K178" s="614">
        <v>125</v>
      </c>
      <c r="L178" s="614"/>
      <c r="M178" s="614">
        <v>125</v>
      </c>
      <c r="N178" s="614"/>
      <c r="O178" s="614"/>
      <c r="P178" s="627"/>
      <c r="Q178" s="615"/>
    </row>
    <row r="179" spans="1:17" ht="14.4" customHeight="1" x14ac:dyDescent="0.3">
      <c r="A179" s="610" t="s">
        <v>2349</v>
      </c>
      <c r="B179" s="611" t="s">
        <v>2350</v>
      </c>
      <c r="C179" s="611" t="s">
        <v>1782</v>
      </c>
      <c r="D179" s="611" t="s">
        <v>2381</v>
      </c>
      <c r="E179" s="611" t="s">
        <v>2382</v>
      </c>
      <c r="F179" s="614">
        <v>30</v>
      </c>
      <c r="G179" s="614">
        <v>6510</v>
      </c>
      <c r="H179" s="614">
        <v>1</v>
      </c>
      <c r="I179" s="614">
        <v>217</v>
      </c>
      <c r="J179" s="614">
        <v>52</v>
      </c>
      <c r="K179" s="614">
        <v>10877</v>
      </c>
      <c r="L179" s="614">
        <v>1.6708141321044547</v>
      </c>
      <c r="M179" s="614">
        <v>209.17307692307693</v>
      </c>
      <c r="N179" s="614">
        <v>21</v>
      </c>
      <c r="O179" s="614">
        <v>4599</v>
      </c>
      <c r="P179" s="627">
        <v>0.70645161290322578</v>
      </c>
      <c r="Q179" s="615">
        <v>219</v>
      </c>
    </row>
    <row r="180" spans="1:17" ht="14.4" customHeight="1" x14ac:dyDescent="0.3">
      <c r="A180" s="610" t="s">
        <v>2349</v>
      </c>
      <c r="B180" s="611" t="s">
        <v>2350</v>
      </c>
      <c r="C180" s="611" t="s">
        <v>1782</v>
      </c>
      <c r="D180" s="611" t="s">
        <v>2383</v>
      </c>
      <c r="E180" s="611" t="s">
        <v>2384</v>
      </c>
      <c r="F180" s="614">
        <v>18</v>
      </c>
      <c r="G180" s="614">
        <v>3942</v>
      </c>
      <c r="H180" s="614">
        <v>1</v>
      </c>
      <c r="I180" s="614">
        <v>219</v>
      </c>
      <c r="J180" s="614">
        <v>16</v>
      </c>
      <c r="K180" s="614">
        <v>3515</v>
      </c>
      <c r="L180" s="614">
        <v>0.89167935058346015</v>
      </c>
      <c r="M180" s="614">
        <v>219.6875</v>
      </c>
      <c r="N180" s="614">
        <v>25</v>
      </c>
      <c r="O180" s="614">
        <v>5525</v>
      </c>
      <c r="P180" s="627">
        <v>1.4015728056823946</v>
      </c>
      <c r="Q180" s="615">
        <v>221</v>
      </c>
    </row>
    <row r="181" spans="1:17" ht="14.4" customHeight="1" x14ac:dyDescent="0.3">
      <c r="A181" s="610" t="s">
        <v>2349</v>
      </c>
      <c r="B181" s="611" t="s">
        <v>2350</v>
      </c>
      <c r="C181" s="611" t="s">
        <v>1782</v>
      </c>
      <c r="D181" s="611" t="s">
        <v>2385</v>
      </c>
      <c r="E181" s="611" t="s">
        <v>2386</v>
      </c>
      <c r="F181" s="614"/>
      <c r="G181" s="614"/>
      <c r="H181" s="614"/>
      <c r="I181" s="614"/>
      <c r="J181" s="614">
        <v>1</v>
      </c>
      <c r="K181" s="614">
        <v>609</v>
      </c>
      <c r="L181" s="614"/>
      <c r="M181" s="614">
        <v>609</v>
      </c>
      <c r="N181" s="614"/>
      <c r="O181" s="614"/>
      <c r="P181" s="627"/>
      <c r="Q181" s="615"/>
    </row>
    <row r="182" spans="1:17" ht="14.4" customHeight="1" x14ac:dyDescent="0.3">
      <c r="A182" s="610" t="s">
        <v>2349</v>
      </c>
      <c r="B182" s="611" t="s">
        <v>2350</v>
      </c>
      <c r="C182" s="611" t="s">
        <v>1782</v>
      </c>
      <c r="D182" s="611" t="s">
        <v>2387</v>
      </c>
      <c r="E182" s="611" t="s">
        <v>2388</v>
      </c>
      <c r="F182" s="614">
        <v>2</v>
      </c>
      <c r="G182" s="614">
        <v>898</v>
      </c>
      <c r="H182" s="614">
        <v>1</v>
      </c>
      <c r="I182" s="614">
        <v>449</v>
      </c>
      <c r="J182" s="614"/>
      <c r="K182" s="614"/>
      <c r="L182" s="614"/>
      <c r="M182" s="614"/>
      <c r="N182" s="614">
        <v>1</v>
      </c>
      <c r="O182" s="614">
        <v>452</v>
      </c>
      <c r="P182" s="627">
        <v>0.5033407572383074</v>
      </c>
      <c r="Q182" s="615">
        <v>452</v>
      </c>
    </row>
    <row r="183" spans="1:17" ht="14.4" customHeight="1" x14ac:dyDescent="0.3">
      <c r="A183" s="610" t="s">
        <v>2349</v>
      </c>
      <c r="B183" s="611" t="s">
        <v>2350</v>
      </c>
      <c r="C183" s="611" t="s">
        <v>1782</v>
      </c>
      <c r="D183" s="611" t="s">
        <v>2389</v>
      </c>
      <c r="E183" s="611" t="s">
        <v>2390</v>
      </c>
      <c r="F183" s="614"/>
      <c r="G183" s="614"/>
      <c r="H183" s="614"/>
      <c r="I183" s="614"/>
      <c r="J183" s="614">
        <v>2</v>
      </c>
      <c r="K183" s="614">
        <v>3046</v>
      </c>
      <c r="L183" s="614"/>
      <c r="M183" s="614">
        <v>1523</v>
      </c>
      <c r="N183" s="614"/>
      <c r="O183" s="614"/>
      <c r="P183" s="627"/>
      <c r="Q183" s="615"/>
    </row>
    <row r="184" spans="1:17" ht="14.4" customHeight="1" x14ac:dyDescent="0.3">
      <c r="A184" s="610" t="s">
        <v>2349</v>
      </c>
      <c r="B184" s="611" t="s">
        <v>2350</v>
      </c>
      <c r="C184" s="611" t="s">
        <v>1782</v>
      </c>
      <c r="D184" s="611" t="s">
        <v>2391</v>
      </c>
      <c r="E184" s="611" t="s">
        <v>2392</v>
      </c>
      <c r="F184" s="614">
        <v>16</v>
      </c>
      <c r="G184" s="614">
        <v>81088</v>
      </c>
      <c r="H184" s="614">
        <v>1</v>
      </c>
      <c r="I184" s="614">
        <v>5068</v>
      </c>
      <c r="J184" s="614">
        <v>11</v>
      </c>
      <c r="K184" s="614">
        <v>55796</v>
      </c>
      <c r="L184" s="614">
        <v>0.68809194948697716</v>
      </c>
      <c r="M184" s="614">
        <v>5072.363636363636</v>
      </c>
      <c r="N184" s="614">
        <v>13</v>
      </c>
      <c r="O184" s="614">
        <v>65988</v>
      </c>
      <c r="P184" s="627">
        <v>0.81378255722178372</v>
      </c>
      <c r="Q184" s="615">
        <v>5076</v>
      </c>
    </row>
    <row r="185" spans="1:17" ht="14.4" customHeight="1" x14ac:dyDescent="0.3">
      <c r="A185" s="610" t="s">
        <v>2349</v>
      </c>
      <c r="B185" s="611" t="s">
        <v>2350</v>
      </c>
      <c r="C185" s="611" t="s">
        <v>1782</v>
      </c>
      <c r="D185" s="611" t="s">
        <v>2393</v>
      </c>
      <c r="E185" s="611" t="s">
        <v>2394</v>
      </c>
      <c r="F185" s="614">
        <v>1</v>
      </c>
      <c r="G185" s="614">
        <v>5508</v>
      </c>
      <c r="H185" s="614">
        <v>1</v>
      </c>
      <c r="I185" s="614">
        <v>5508</v>
      </c>
      <c r="J185" s="614">
        <v>1</v>
      </c>
      <c r="K185" s="614">
        <v>5514</v>
      </c>
      <c r="L185" s="614">
        <v>1.0010893246187365</v>
      </c>
      <c r="M185" s="614">
        <v>5514</v>
      </c>
      <c r="N185" s="614"/>
      <c r="O185" s="614"/>
      <c r="P185" s="627"/>
      <c r="Q185" s="615"/>
    </row>
    <row r="186" spans="1:17" ht="14.4" customHeight="1" x14ac:dyDescent="0.3">
      <c r="A186" s="610" t="s">
        <v>2349</v>
      </c>
      <c r="B186" s="611" t="s">
        <v>2350</v>
      </c>
      <c r="C186" s="611" t="s">
        <v>1782</v>
      </c>
      <c r="D186" s="611" t="s">
        <v>2395</v>
      </c>
      <c r="E186" s="611" t="s">
        <v>2396</v>
      </c>
      <c r="F186" s="614">
        <v>290</v>
      </c>
      <c r="G186" s="614">
        <v>50170</v>
      </c>
      <c r="H186" s="614">
        <v>1</v>
      </c>
      <c r="I186" s="614">
        <v>173</v>
      </c>
      <c r="J186" s="614">
        <v>220</v>
      </c>
      <c r="K186" s="614">
        <v>37825</v>
      </c>
      <c r="L186" s="614">
        <v>0.75393661550727531</v>
      </c>
      <c r="M186" s="614">
        <v>171.93181818181819</v>
      </c>
      <c r="N186" s="614">
        <v>280</v>
      </c>
      <c r="O186" s="614">
        <v>49000</v>
      </c>
      <c r="P186" s="627">
        <v>0.97667929041259716</v>
      </c>
      <c r="Q186" s="615">
        <v>175</v>
      </c>
    </row>
    <row r="187" spans="1:17" ht="14.4" customHeight="1" x14ac:dyDescent="0.3">
      <c r="A187" s="610" t="s">
        <v>2349</v>
      </c>
      <c r="B187" s="611" t="s">
        <v>2350</v>
      </c>
      <c r="C187" s="611" t="s">
        <v>1782</v>
      </c>
      <c r="D187" s="611" t="s">
        <v>2397</v>
      </c>
      <c r="E187" s="611" t="s">
        <v>2398</v>
      </c>
      <c r="F187" s="614">
        <v>1</v>
      </c>
      <c r="G187" s="614">
        <v>1996</v>
      </c>
      <c r="H187" s="614">
        <v>1</v>
      </c>
      <c r="I187" s="614">
        <v>1996</v>
      </c>
      <c r="J187" s="614"/>
      <c r="K187" s="614"/>
      <c r="L187" s="614"/>
      <c r="M187" s="614"/>
      <c r="N187" s="614">
        <v>1</v>
      </c>
      <c r="O187" s="614">
        <v>2001</v>
      </c>
      <c r="P187" s="627">
        <v>1.0025050100200401</v>
      </c>
      <c r="Q187" s="615">
        <v>2001</v>
      </c>
    </row>
    <row r="188" spans="1:17" ht="14.4" customHeight="1" x14ac:dyDescent="0.3">
      <c r="A188" s="610" t="s">
        <v>2349</v>
      </c>
      <c r="B188" s="611" t="s">
        <v>2350</v>
      </c>
      <c r="C188" s="611" t="s">
        <v>1782</v>
      </c>
      <c r="D188" s="611" t="s">
        <v>2399</v>
      </c>
      <c r="E188" s="611" t="s">
        <v>2400</v>
      </c>
      <c r="F188" s="614">
        <v>14</v>
      </c>
      <c r="G188" s="614">
        <v>37688</v>
      </c>
      <c r="H188" s="614">
        <v>1</v>
      </c>
      <c r="I188" s="614">
        <v>2692</v>
      </c>
      <c r="J188" s="614">
        <v>7</v>
      </c>
      <c r="K188" s="614">
        <v>18862</v>
      </c>
      <c r="L188" s="614">
        <v>0.50047760560390575</v>
      </c>
      <c r="M188" s="614">
        <v>2694.5714285714284</v>
      </c>
      <c r="N188" s="614">
        <v>6</v>
      </c>
      <c r="O188" s="614">
        <v>16176</v>
      </c>
      <c r="P188" s="627">
        <v>0.42920823604330288</v>
      </c>
      <c r="Q188" s="615">
        <v>2696</v>
      </c>
    </row>
    <row r="189" spans="1:17" ht="14.4" customHeight="1" x14ac:dyDescent="0.3">
      <c r="A189" s="610" t="s">
        <v>2349</v>
      </c>
      <c r="B189" s="611" t="s">
        <v>2350</v>
      </c>
      <c r="C189" s="611" t="s">
        <v>1782</v>
      </c>
      <c r="D189" s="611" t="s">
        <v>2401</v>
      </c>
      <c r="E189" s="611" t="s">
        <v>2402</v>
      </c>
      <c r="F189" s="614">
        <v>2</v>
      </c>
      <c r="G189" s="614">
        <v>10360</v>
      </c>
      <c r="H189" s="614">
        <v>1</v>
      </c>
      <c r="I189" s="614">
        <v>5180</v>
      </c>
      <c r="J189" s="614"/>
      <c r="K189" s="614"/>
      <c r="L189" s="614"/>
      <c r="M189" s="614"/>
      <c r="N189" s="614"/>
      <c r="O189" s="614"/>
      <c r="P189" s="627"/>
      <c r="Q189" s="615"/>
    </row>
    <row r="190" spans="1:17" ht="14.4" customHeight="1" x14ac:dyDescent="0.3">
      <c r="A190" s="610" t="s">
        <v>2349</v>
      </c>
      <c r="B190" s="611" t="s">
        <v>2350</v>
      </c>
      <c r="C190" s="611" t="s">
        <v>1782</v>
      </c>
      <c r="D190" s="611" t="s">
        <v>2403</v>
      </c>
      <c r="E190" s="611" t="s">
        <v>2404</v>
      </c>
      <c r="F190" s="614">
        <v>4</v>
      </c>
      <c r="G190" s="614">
        <v>2632</v>
      </c>
      <c r="H190" s="614">
        <v>1</v>
      </c>
      <c r="I190" s="614">
        <v>658</v>
      </c>
      <c r="J190" s="614">
        <v>7</v>
      </c>
      <c r="K190" s="614">
        <v>4618</v>
      </c>
      <c r="L190" s="614">
        <v>1.7545592705167172</v>
      </c>
      <c r="M190" s="614">
        <v>659.71428571428567</v>
      </c>
      <c r="N190" s="614">
        <v>9</v>
      </c>
      <c r="O190" s="614">
        <v>5958</v>
      </c>
      <c r="P190" s="627">
        <v>2.2636778115501519</v>
      </c>
      <c r="Q190" s="615">
        <v>662</v>
      </c>
    </row>
    <row r="191" spans="1:17" ht="14.4" customHeight="1" x14ac:dyDescent="0.3">
      <c r="A191" s="610" t="s">
        <v>2349</v>
      </c>
      <c r="B191" s="611" t="s">
        <v>2350</v>
      </c>
      <c r="C191" s="611" t="s">
        <v>1782</v>
      </c>
      <c r="D191" s="611" t="s">
        <v>2405</v>
      </c>
      <c r="E191" s="611" t="s">
        <v>2406</v>
      </c>
      <c r="F191" s="614">
        <v>2</v>
      </c>
      <c r="G191" s="614">
        <v>1110</v>
      </c>
      <c r="H191" s="614">
        <v>1</v>
      </c>
      <c r="I191" s="614">
        <v>555</v>
      </c>
      <c r="J191" s="614"/>
      <c r="K191" s="614"/>
      <c r="L191" s="614"/>
      <c r="M191" s="614"/>
      <c r="N191" s="614">
        <v>1</v>
      </c>
      <c r="O191" s="614">
        <v>558</v>
      </c>
      <c r="P191" s="627">
        <v>0.50270270270270268</v>
      </c>
      <c r="Q191" s="615">
        <v>558</v>
      </c>
    </row>
    <row r="192" spans="1:17" ht="14.4" customHeight="1" x14ac:dyDescent="0.3">
      <c r="A192" s="610" t="s">
        <v>2349</v>
      </c>
      <c r="B192" s="611" t="s">
        <v>2350</v>
      </c>
      <c r="C192" s="611" t="s">
        <v>1782</v>
      </c>
      <c r="D192" s="611" t="s">
        <v>2407</v>
      </c>
      <c r="E192" s="611" t="s">
        <v>2408</v>
      </c>
      <c r="F192" s="614">
        <v>1</v>
      </c>
      <c r="G192" s="614">
        <v>150</v>
      </c>
      <c r="H192" s="614">
        <v>1</v>
      </c>
      <c r="I192" s="614">
        <v>150</v>
      </c>
      <c r="J192" s="614">
        <v>1</v>
      </c>
      <c r="K192" s="614">
        <v>151</v>
      </c>
      <c r="L192" s="614">
        <v>1.0066666666666666</v>
      </c>
      <c r="M192" s="614">
        <v>151</v>
      </c>
      <c r="N192" s="614"/>
      <c r="O192" s="614"/>
      <c r="P192" s="627"/>
      <c r="Q192" s="615"/>
    </row>
    <row r="193" spans="1:17" ht="14.4" customHeight="1" x14ac:dyDescent="0.3">
      <c r="A193" s="610" t="s">
        <v>2349</v>
      </c>
      <c r="B193" s="611" t="s">
        <v>2350</v>
      </c>
      <c r="C193" s="611" t="s">
        <v>1782</v>
      </c>
      <c r="D193" s="611" t="s">
        <v>2409</v>
      </c>
      <c r="E193" s="611" t="s">
        <v>2410</v>
      </c>
      <c r="F193" s="614">
        <v>1</v>
      </c>
      <c r="G193" s="614">
        <v>193</v>
      </c>
      <c r="H193" s="614">
        <v>1</v>
      </c>
      <c r="I193" s="614">
        <v>193</v>
      </c>
      <c r="J193" s="614">
        <v>2</v>
      </c>
      <c r="K193" s="614">
        <v>386</v>
      </c>
      <c r="L193" s="614">
        <v>2</v>
      </c>
      <c r="M193" s="614">
        <v>193</v>
      </c>
      <c r="N193" s="614">
        <v>1</v>
      </c>
      <c r="O193" s="614">
        <v>195</v>
      </c>
      <c r="P193" s="627">
        <v>1.0103626943005182</v>
      </c>
      <c r="Q193" s="615">
        <v>195</v>
      </c>
    </row>
    <row r="194" spans="1:17" ht="14.4" customHeight="1" x14ac:dyDescent="0.3">
      <c r="A194" s="610" t="s">
        <v>2349</v>
      </c>
      <c r="B194" s="611" t="s">
        <v>2350</v>
      </c>
      <c r="C194" s="611" t="s">
        <v>1782</v>
      </c>
      <c r="D194" s="611" t="s">
        <v>2411</v>
      </c>
      <c r="E194" s="611" t="s">
        <v>2412</v>
      </c>
      <c r="F194" s="614">
        <v>1</v>
      </c>
      <c r="G194" s="614">
        <v>198</v>
      </c>
      <c r="H194" s="614">
        <v>1</v>
      </c>
      <c r="I194" s="614">
        <v>198</v>
      </c>
      <c r="J194" s="614"/>
      <c r="K194" s="614"/>
      <c r="L194" s="614"/>
      <c r="M194" s="614"/>
      <c r="N194" s="614">
        <v>1</v>
      </c>
      <c r="O194" s="614">
        <v>200</v>
      </c>
      <c r="P194" s="627">
        <v>1.0101010101010102</v>
      </c>
      <c r="Q194" s="615">
        <v>200</v>
      </c>
    </row>
    <row r="195" spans="1:17" ht="14.4" customHeight="1" x14ac:dyDescent="0.3">
      <c r="A195" s="610" t="s">
        <v>2349</v>
      </c>
      <c r="B195" s="611" t="s">
        <v>2350</v>
      </c>
      <c r="C195" s="611" t="s">
        <v>1782</v>
      </c>
      <c r="D195" s="611" t="s">
        <v>2413</v>
      </c>
      <c r="E195" s="611" t="s">
        <v>2414</v>
      </c>
      <c r="F195" s="614"/>
      <c r="G195" s="614"/>
      <c r="H195" s="614"/>
      <c r="I195" s="614"/>
      <c r="J195" s="614">
        <v>5</v>
      </c>
      <c r="K195" s="614">
        <v>2081</v>
      </c>
      <c r="L195" s="614"/>
      <c r="M195" s="614">
        <v>416.2</v>
      </c>
      <c r="N195" s="614"/>
      <c r="O195" s="614"/>
      <c r="P195" s="627"/>
      <c r="Q195" s="615"/>
    </row>
    <row r="196" spans="1:17" ht="14.4" customHeight="1" x14ac:dyDescent="0.3">
      <c r="A196" s="610" t="s">
        <v>2349</v>
      </c>
      <c r="B196" s="611" t="s">
        <v>2350</v>
      </c>
      <c r="C196" s="611" t="s">
        <v>1782</v>
      </c>
      <c r="D196" s="611" t="s">
        <v>2415</v>
      </c>
      <c r="E196" s="611" t="s">
        <v>2416</v>
      </c>
      <c r="F196" s="614">
        <v>1</v>
      </c>
      <c r="G196" s="614">
        <v>158</v>
      </c>
      <c r="H196" s="614">
        <v>1</v>
      </c>
      <c r="I196" s="614">
        <v>158</v>
      </c>
      <c r="J196" s="614">
        <v>2</v>
      </c>
      <c r="K196" s="614">
        <v>318</v>
      </c>
      <c r="L196" s="614">
        <v>2.0126582278481013</v>
      </c>
      <c r="M196" s="614">
        <v>159</v>
      </c>
      <c r="N196" s="614"/>
      <c r="O196" s="614"/>
      <c r="P196" s="627"/>
      <c r="Q196" s="615"/>
    </row>
    <row r="197" spans="1:17" ht="14.4" customHeight="1" x14ac:dyDescent="0.3">
      <c r="A197" s="610" t="s">
        <v>2349</v>
      </c>
      <c r="B197" s="611" t="s">
        <v>2350</v>
      </c>
      <c r="C197" s="611" t="s">
        <v>1782</v>
      </c>
      <c r="D197" s="611" t="s">
        <v>2417</v>
      </c>
      <c r="E197" s="611" t="s">
        <v>2418</v>
      </c>
      <c r="F197" s="614"/>
      <c r="G197" s="614"/>
      <c r="H197" s="614"/>
      <c r="I197" s="614"/>
      <c r="J197" s="614"/>
      <c r="K197" s="614"/>
      <c r="L197" s="614"/>
      <c r="M197" s="614"/>
      <c r="N197" s="614">
        <v>2</v>
      </c>
      <c r="O197" s="614">
        <v>4246</v>
      </c>
      <c r="P197" s="627"/>
      <c r="Q197" s="615">
        <v>2123</v>
      </c>
    </row>
    <row r="198" spans="1:17" ht="14.4" customHeight="1" x14ac:dyDescent="0.3">
      <c r="A198" s="610" t="s">
        <v>2349</v>
      </c>
      <c r="B198" s="611" t="s">
        <v>2350</v>
      </c>
      <c r="C198" s="611" t="s">
        <v>1782</v>
      </c>
      <c r="D198" s="611" t="s">
        <v>2419</v>
      </c>
      <c r="E198" s="611" t="s">
        <v>2420</v>
      </c>
      <c r="F198" s="614">
        <v>1</v>
      </c>
      <c r="G198" s="614">
        <v>912</v>
      </c>
      <c r="H198" s="614">
        <v>1</v>
      </c>
      <c r="I198" s="614">
        <v>912</v>
      </c>
      <c r="J198" s="614">
        <v>1</v>
      </c>
      <c r="K198" s="614">
        <v>915</v>
      </c>
      <c r="L198" s="614">
        <v>1.0032894736842106</v>
      </c>
      <c r="M198" s="614">
        <v>915</v>
      </c>
      <c r="N198" s="614">
        <v>4</v>
      </c>
      <c r="O198" s="614">
        <v>3668</v>
      </c>
      <c r="P198" s="627">
        <v>4.0219298245614032</v>
      </c>
      <c r="Q198" s="615">
        <v>917</v>
      </c>
    </row>
    <row r="199" spans="1:17" ht="14.4" customHeight="1" x14ac:dyDescent="0.3">
      <c r="A199" s="610" t="s">
        <v>2421</v>
      </c>
      <c r="B199" s="611" t="s">
        <v>2422</v>
      </c>
      <c r="C199" s="611" t="s">
        <v>1782</v>
      </c>
      <c r="D199" s="611" t="s">
        <v>2423</v>
      </c>
      <c r="E199" s="611" t="s">
        <v>2424</v>
      </c>
      <c r="F199" s="614">
        <v>18</v>
      </c>
      <c r="G199" s="614">
        <v>3654</v>
      </c>
      <c r="H199" s="614">
        <v>1</v>
      </c>
      <c r="I199" s="614">
        <v>203</v>
      </c>
      <c r="J199" s="614">
        <v>13</v>
      </c>
      <c r="K199" s="614">
        <v>2655</v>
      </c>
      <c r="L199" s="614">
        <v>0.72660098522167482</v>
      </c>
      <c r="M199" s="614">
        <v>204.23076923076923</v>
      </c>
      <c r="N199" s="614">
        <v>17</v>
      </c>
      <c r="O199" s="614">
        <v>3502</v>
      </c>
      <c r="P199" s="627">
        <v>0.95840175150519979</v>
      </c>
      <c r="Q199" s="615">
        <v>206</v>
      </c>
    </row>
    <row r="200" spans="1:17" ht="14.4" customHeight="1" x14ac:dyDescent="0.3">
      <c r="A200" s="610" t="s">
        <v>2421</v>
      </c>
      <c r="B200" s="611" t="s">
        <v>2422</v>
      </c>
      <c r="C200" s="611" t="s">
        <v>1782</v>
      </c>
      <c r="D200" s="611" t="s">
        <v>2425</v>
      </c>
      <c r="E200" s="611" t="s">
        <v>2424</v>
      </c>
      <c r="F200" s="614"/>
      <c r="G200" s="614"/>
      <c r="H200" s="614"/>
      <c r="I200" s="614"/>
      <c r="J200" s="614">
        <v>3</v>
      </c>
      <c r="K200" s="614">
        <v>255</v>
      </c>
      <c r="L200" s="614"/>
      <c r="M200" s="614">
        <v>85</v>
      </c>
      <c r="N200" s="614">
        <v>3</v>
      </c>
      <c r="O200" s="614">
        <v>255</v>
      </c>
      <c r="P200" s="627"/>
      <c r="Q200" s="615">
        <v>85</v>
      </c>
    </row>
    <row r="201" spans="1:17" ht="14.4" customHeight="1" x14ac:dyDescent="0.3">
      <c r="A201" s="610" t="s">
        <v>2421</v>
      </c>
      <c r="B201" s="611" t="s">
        <v>2422</v>
      </c>
      <c r="C201" s="611" t="s">
        <v>1782</v>
      </c>
      <c r="D201" s="611" t="s">
        <v>2426</v>
      </c>
      <c r="E201" s="611" t="s">
        <v>2427</v>
      </c>
      <c r="F201" s="614">
        <v>44</v>
      </c>
      <c r="G201" s="614">
        <v>12848</v>
      </c>
      <c r="H201" s="614">
        <v>1</v>
      </c>
      <c r="I201" s="614">
        <v>292</v>
      </c>
      <c r="J201" s="614">
        <v>28</v>
      </c>
      <c r="K201" s="614">
        <v>8218</v>
      </c>
      <c r="L201" s="614">
        <v>0.63963262764632622</v>
      </c>
      <c r="M201" s="614">
        <v>293.5</v>
      </c>
      <c r="N201" s="614">
        <v>13</v>
      </c>
      <c r="O201" s="614">
        <v>3835</v>
      </c>
      <c r="P201" s="627">
        <v>0.29849003735990037</v>
      </c>
      <c r="Q201" s="615">
        <v>295</v>
      </c>
    </row>
    <row r="202" spans="1:17" ht="14.4" customHeight="1" x14ac:dyDescent="0.3">
      <c r="A202" s="610" t="s">
        <v>2421</v>
      </c>
      <c r="B202" s="611" t="s">
        <v>2422</v>
      </c>
      <c r="C202" s="611" t="s">
        <v>1782</v>
      </c>
      <c r="D202" s="611" t="s">
        <v>2428</v>
      </c>
      <c r="E202" s="611" t="s">
        <v>2429</v>
      </c>
      <c r="F202" s="614">
        <v>22</v>
      </c>
      <c r="G202" s="614">
        <v>2046</v>
      </c>
      <c r="H202" s="614">
        <v>1</v>
      </c>
      <c r="I202" s="614">
        <v>93</v>
      </c>
      <c r="J202" s="614">
        <v>8</v>
      </c>
      <c r="K202" s="614">
        <v>752</v>
      </c>
      <c r="L202" s="614">
        <v>0.3675464320625611</v>
      </c>
      <c r="M202" s="614">
        <v>94</v>
      </c>
      <c r="N202" s="614">
        <v>13</v>
      </c>
      <c r="O202" s="614">
        <v>1235</v>
      </c>
      <c r="P202" s="627">
        <v>0.60361681329423267</v>
      </c>
      <c r="Q202" s="615">
        <v>95</v>
      </c>
    </row>
    <row r="203" spans="1:17" ht="14.4" customHeight="1" x14ac:dyDescent="0.3">
      <c r="A203" s="610" t="s">
        <v>2421</v>
      </c>
      <c r="B203" s="611" t="s">
        <v>2422</v>
      </c>
      <c r="C203" s="611" t="s">
        <v>1782</v>
      </c>
      <c r="D203" s="611" t="s">
        <v>2430</v>
      </c>
      <c r="E203" s="611" t="s">
        <v>2431</v>
      </c>
      <c r="F203" s="614">
        <v>3</v>
      </c>
      <c r="G203" s="614">
        <v>660</v>
      </c>
      <c r="H203" s="614">
        <v>1</v>
      </c>
      <c r="I203" s="614">
        <v>220</v>
      </c>
      <c r="J203" s="614">
        <v>5</v>
      </c>
      <c r="K203" s="614">
        <v>1112</v>
      </c>
      <c r="L203" s="614">
        <v>1.6848484848484848</v>
      </c>
      <c r="M203" s="614">
        <v>222.4</v>
      </c>
      <c r="N203" s="614">
        <v>4</v>
      </c>
      <c r="O203" s="614">
        <v>896</v>
      </c>
      <c r="P203" s="627">
        <v>1.3575757575757577</v>
      </c>
      <c r="Q203" s="615">
        <v>224</v>
      </c>
    </row>
    <row r="204" spans="1:17" ht="14.4" customHeight="1" x14ac:dyDescent="0.3">
      <c r="A204" s="610" t="s">
        <v>2421</v>
      </c>
      <c r="B204" s="611" t="s">
        <v>2422</v>
      </c>
      <c r="C204" s="611" t="s">
        <v>1782</v>
      </c>
      <c r="D204" s="611" t="s">
        <v>2432</v>
      </c>
      <c r="E204" s="611" t="s">
        <v>2433</v>
      </c>
      <c r="F204" s="614">
        <v>21</v>
      </c>
      <c r="G204" s="614">
        <v>2814</v>
      </c>
      <c r="H204" s="614">
        <v>1</v>
      </c>
      <c r="I204" s="614">
        <v>134</v>
      </c>
      <c r="J204" s="614">
        <v>16</v>
      </c>
      <c r="K204" s="614">
        <v>2156</v>
      </c>
      <c r="L204" s="614">
        <v>0.76616915422885568</v>
      </c>
      <c r="M204" s="614">
        <v>134.75</v>
      </c>
      <c r="N204" s="614">
        <v>15</v>
      </c>
      <c r="O204" s="614">
        <v>2025</v>
      </c>
      <c r="P204" s="627">
        <v>0.71961620469083154</v>
      </c>
      <c r="Q204" s="615">
        <v>135</v>
      </c>
    </row>
    <row r="205" spans="1:17" ht="14.4" customHeight="1" x14ac:dyDescent="0.3">
      <c r="A205" s="610" t="s">
        <v>2421</v>
      </c>
      <c r="B205" s="611" t="s">
        <v>2422</v>
      </c>
      <c r="C205" s="611" t="s">
        <v>1782</v>
      </c>
      <c r="D205" s="611" t="s">
        <v>2434</v>
      </c>
      <c r="E205" s="611" t="s">
        <v>2435</v>
      </c>
      <c r="F205" s="614">
        <v>11</v>
      </c>
      <c r="G205" s="614">
        <v>3080</v>
      </c>
      <c r="H205" s="614">
        <v>1</v>
      </c>
      <c r="I205" s="614">
        <v>280</v>
      </c>
      <c r="J205" s="614">
        <v>7</v>
      </c>
      <c r="K205" s="614">
        <v>1978</v>
      </c>
      <c r="L205" s="614">
        <v>0.64220779220779223</v>
      </c>
      <c r="M205" s="614">
        <v>282.57142857142856</v>
      </c>
      <c r="N205" s="614">
        <v>6</v>
      </c>
      <c r="O205" s="614">
        <v>1710</v>
      </c>
      <c r="P205" s="627">
        <v>0.55519480519480524</v>
      </c>
      <c r="Q205" s="615">
        <v>285</v>
      </c>
    </row>
    <row r="206" spans="1:17" ht="14.4" customHeight="1" x14ac:dyDescent="0.3">
      <c r="A206" s="610" t="s">
        <v>2421</v>
      </c>
      <c r="B206" s="611" t="s">
        <v>2422</v>
      </c>
      <c r="C206" s="611" t="s">
        <v>1782</v>
      </c>
      <c r="D206" s="611" t="s">
        <v>2436</v>
      </c>
      <c r="E206" s="611" t="s">
        <v>2437</v>
      </c>
      <c r="F206" s="614"/>
      <c r="G206" s="614"/>
      <c r="H206" s="614"/>
      <c r="I206" s="614"/>
      <c r="J206" s="614"/>
      <c r="K206" s="614"/>
      <c r="L206" s="614"/>
      <c r="M206" s="614"/>
      <c r="N206" s="614">
        <v>1</v>
      </c>
      <c r="O206" s="614">
        <v>593</v>
      </c>
      <c r="P206" s="627"/>
      <c r="Q206" s="615">
        <v>593</v>
      </c>
    </row>
    <row r="207" spans="1:17" ht="14.4" customHeight="1" x14ac:dyDescent="0.3">
      <c r="A207" s="610" t="s">
        <v>2421</v>
      </c>
      <c r="B207" s="611" t="s">
        <v>2422</v>
      </c>
      <c r="C207" s="611" t="s">
        <v>1782</v>
      </c>
      <c r="D207" s="611" t="s">
        <v>2438</v>
      </c>
      <c r="E207" s="611" t="s">
        <v>2439</v>
      </c>
      <c r="F207" s="614">
        <v>16</v>
      </c>
      <c r="G207" s="614">
        <v>2544</v>
      </c>
      <c r="H207" s="614">
        <v>1</v>
      </c>
      <c r="I207" s="614">
        <v>159</v>
      </c>
      <c r="J207" s="614">
        <v>18</v>
      </c>
      <c r="K207" s="614">
        <v>2874</v>
      </c>
      <c r="L207" s="614">
        <v>1.1297169811320755</v>
      </c>
      <c r="M207" s="614">
        <v>159.66666666666666</v>
      </c>
      <c r="N207" s="614">
        <v>12</v>
      </c>
      <c r="O207" s="614">
        <v>1932</v>
      </c>
      <c r="P207" s="627">
        <v>0.75943396226415094</v>
      </c>
      <c r="Q207" s="615">
        <v>161</v>
      </c>
    </row>
    <row r="208" spans="1:17" ht="14.4" customHeight="1" x14ac:dyDescent="0.3">
      <c r="A208" s="610" t="s">
        <v>2421</v>
      </c>
      <c r="B208" s="611" t="s">
        <v>2422</v>
      </c>
      <c r="C208" s="611" t="s">
        <v>1782</v>
      </c>
      <c r="D208" s="611" t="s">
        <v>2440</v>
      </c>
      <c r="E208" s="611" t="s">
        <v>2441</v>
      </c>
      <c r="F208" s="614"/>
      <c r="G208" s="614"/>
      <c r="H208" s="614"/>
      <c r="I208" s="614"/>
      <c r="J208" s="614">
        <v>1</v>
      </c>
      <c r="K208" s="614">
        <v>382</v>
      </c>
      <c r="L208" s="614"/>
      <c r="M208" s="614">
        <v>382</v>
      </c>
      <c r="N208" s="614"/>
      <c r="O208" s="614"/>
      <c r="P208" s="627"/>
      <c r="Q208" s="615"/>
    </row>
    <row r="209" spans="1:17" ht="14.4" customHeight="1" x14ac:dyDescent="0.3">
      <c r="A209" s="610" t="s">
        <v>2421</v>
      </c>
      <c r="B209" s="611" t="s">
        <v>2422</v>
      </c>
      <c r="C209" s="611" t="s">
        <v>1782</v>
      </c>
      <c r="D209" s="611" t="s">
        <v>2442</v>
      </c>
      <c r="E209" s="611" t="s">
        <v>2443</v>
      </c>
      <c r="F209" s="614"/>
      <c r="G209" s="614"/>
      <c r="H209" s="614"/>
      <c r="I209" s="614"/>
      <c r="J209" s="614"/>
      <c r="K209" s="614"/>
      <c r="L209" s="614"/>
      <c r="M209" s="614"/>
      <c r="N209" s="614">
        <v>1</v>
      </c>
      <c r="O209" s="614">
        <v>266</v>
      </c>
      <c r="P209" s="627"/>
      <c r="Q209" s="615">
        <v>266</v>
      </c>
    </row>
    <row r="210" spans="1:17" ht="14.4" customHeight="1" x14ac:dyDescent="0.3">
      <c r="A210" s="610" t="s">
        <v>2421</v>
      </c>
      <c r="B210" s="611" t="s">
        <v>2422</v>
      </c>
      <c r="C210" s="611" t="s">
        <v>1782</v>
      </c>
      <c r="D210" s="611" t="s">
        <v>2444</v>
      </c>
      <c r="E210" s="611" t="s">
        <v>2445</v>
      </c>
      <c r="F210" s="614"/>
      <c r="G210" s="614"/>
      <c r="H210" s="614"/>
      <c r="I210" s="614"/>
      <c r="J210" s="614">
        <v>1</v>
      </c>
      <c r="K210" s="614">
        <v>141</v>
      </c>
      <c r="L210" s="614"/>
      <c r="M210" s="614">
        <v>141</v>
      </c>
      <c r="N210" s="614">
        <v>1</v>
      </c>
      <c r="O210" s="614">
        <v>141</v>
      </c>
      <c r="P210" s="627"/>
      <c r="Q210" s="615">
        <v>141</v>
      </c>
    </row>
    <row r="211" spans="1:17" ht="14.4" customHeight="1" x14ac:dyDescent="0.3">
      <c r="A211" s="610" t="s">
        <v>2421</v>
      </c>
      <c r="B211" s="611" t="s">
        <v>2422</v>
      </c>
      <c r="C211" s="611" t="s">
        <v>1782</v>
      </c>
      <c r="D211" s="611" t="s">
        <v>2446</v>
      </c>
      <c r="E211" s="611" t="s">
        <v>2445</v>
      </c>
      <c r="F211" s="614">
        <v>21</v>
      </c>
      <c r="G211" s="614">
        <v>1638</v>
      </c>
      <c r="H211" s="614">
        <v>1</v>
      </c>
      <c r="I211" s="614">
        <v>78</v>
      </c>
      <c r="J211" s="614">
        <v>17</v>
      </c>
      <c r="K211" s="614">
        <v>1326</v>
      </c>
      <c r="L211" s="614">
        <v>0.80952380952380953</v>
      </c>
      <c r="M211" s="614">
        <v>78</v>
      </c>
      <c r="N211" s="614">
        <v>15</v>
      </c>
      <c r="O211" s="614">
        <v>1170</v>
      </c>
      <c r="P211" s="627">
        <v>0.7142857142857143</v>
      </c>
      <c r="Q211" s="615">
        <v>78</v>
      </c>
    </row>
    <row r="212" spans="1:17" ht="14.4" customHeight="1" x14ac:dyDescent="0.3">
      <c r="A212" s="610" t="s">
        <v>2421</v>
      </c>
      <c r="B212" s="611" t="s">
        <v>2422</v>
      </c>
      <c r="C212" s="611" t="s">
        <v>1782</v>
      </c>
      <c r="D212" s="611" t="s">
        <v>2447</v>
      </c>
      <c r="E212" s="611" t="s">
        <v>2448</v>
      </c>
      <c r="F212" s="614"/>
      <c r="G212" s="614"/>
      <c r="H212" s="614"/>
      <c r="I212" s="614"/>
      <c r="J212" s="614">
        <v>2</v>
      </c>
      <c r="K212" s="614">
        <v>609</v>
      </c>
      <c r="L212" s="614"/>
      <c r="M212" s="614">
        <v>304.5</v>
      </c>
      <c r="N212" s="614">
        <v>1</v>
      </c>
      <c r="O212" s="614">
        <v>307</v>
      </c>
      <c r="P212" s="627"/>
      <c r="Q212" s="615">
        <v>307</v>
      </c>
    </row>
    <row r="213" spans="1:17" ht="14.4" customHeight="1" x14ac:dyDescent="0.3">
      <c r="A213" s="610" t="s">
        <v>2421</v>
      </c>
      <c r="B213" s="611" t="s">
        <v>2422</v>
      </c>
      <c r="C213" s="611" t="s">
        <v>1782</v>
      </c>
      <c r="D213" s="611" t="s">
        <v>2449</v>
      </c>
      <c r="E213" s="611" t="s">
        <v>2450</v>
      </c>
      <c r="F213" s="614">
        <v>1253</v>
      </c>
      <c r="G213" s="614">
        <v>608958</v>
      </c>
      <c r="H213" s="614">
        <v>1</v>
      </c>
      <c r="I213" s="614">
        <v>486</v>
      </c>
      <c r="J213" s="614">
        <v>1418</v>
      </c>
      <c r="K213" s="614">
        <v>669616</v>
      </c>
      <c r="L213" s="614">
        <v>1.0996094968782741</v>
      </c>
      <c r="M213" s="614">
        <v>472.22566995768688</v>
      </c>
      <c r="N213" s="614">
        <v>1325</v>
      </c>
      <c r="O213" s="614">
        <v>645275</v>
      </c>
      <c r="P213" s="627">
        <v>1.0596379389054746</v>
      </c>
      <c r="Q213" s="615">
        <v>487</v>
      </c>
    </row>
    <row r="214" spans="1:17" ht="14.4" customHeight="1" x14ac:dyDescent="0.3">
      <c r="A214" s="610" t="s">
        <v>2421</v>
      </c>
      <c r="B214" s="611" t="s">
        <v>2422</v>
      </c>
      <c r="C214" s="611" t="s">
        <v>1782</v>
      </c>
      <c r="D214" s="611" t="s">
        <v>2451</v>
      </c>
      <c r="E214" s="611" t="s">
        <v>2452</v>
      </c>
      <c r="F214" s="614">
        <v>23</v>
      </c>
      <c r="G214" s="614">
        <v>3680</v>
      </c>
      <c r="H214" s="614">
        <v>1</v>
      </c>
      <c r="I214" s="614">
        <v>160</v>
      </c>
      <c r="J214" s="614">
        <v>20</v>
      </c>
      <c r="K214" s="614">
        <v>3215</v>
      </c>
      <c r="L214" s="614">
        <v>0.87364130434782605</v>
      </c>
      <c r="M214" s="614">
        <v>160.75</v>
      </c>
      <c r="N214" s="614">
        <v>14</v>
      </c>
      <c r="O214" s="614">
        <v>2254</v>
      </c>
      <c r="P214" s="627">
        <v>0.61250000000000004</v>
      </c>
      <c r="Q214" s="615">
        <v>161</v>
      </c>
    </row>
    <row r="215" spans="1:17" ht="14.4" customHeight="1" x14ac:dyDescent="0.3">
      <c r="A215" s="610" t="s">
        <v>2421</v>
      </c>
      <c r="B215" s="611" t="s">
        <v>2422</v>
      </c>
      <c r="C215" s="611" t="s">
        <v>1782</v>
      </c>
      <c r="D215" s="611" t="s">
        <v>2453</v>
      </c>
      <c r="E215" s="611" t="s">
        <v>2424</v>
      </c>
      <c r="F215" s="614">
        <v>79</v>
      </c>
      <c r="G215" s="614">
        <v>5530</v>
      </c>
      <c r="H215" s="614">
        <v>1</v>
      </c>
      <c r="I215" s="614">
        <v>70</v>
      </c>
      <c r="J215" s="614">
        <v>57</v>
      </c>
      <c r="K215" s="614">
        <v>3882</v>
      </c>
      <c r="L215" s="614">
        <v>0.70198915009041596</v>
      </c>
      <c r="M215" s="614">
        <v>68.10526315789474</v>
      </c>
      <c r="N215" s="614">
        <v>65</v>
      </c>
      <c r="O215" s="614">
        <v>4615</v>
      </c>
      <c r="P215" s="627">
        <v>0.8345388788426763</v>
      </c>
      <c r="Q215" s="615">
        <v>71</v>
      </c>
    </row>
    <row r="216" spans="1:17" ht="14.4" customHeight="1" x14ac:dyDescent="0.3">
      <c r="A216" s="610" t="s">
        <v>2421</v>
      </c>
      <c r="B216" s="611" t="s">
        <v>2422</v>
      </c>
      <c r="C216" s="611" t="s">
        <v>1782</v>
      </c>
      <c r="D216" s="611" t="s">
        <v>2454</v>
      </c>
      <c r="E216" s="611" t="s">
        <v>2455</v>
      </c>
      <c r="F216" s="614">
        <v>6</v>
      </c>
      <c r="G216" s="614">
        <v>7134</v>
      </c>
      <c r="H216" s="614">
        <v>1</v>
      </c>
      <c r="I216" s="614">
        <v>1189</v>
      </c>
      <c r="J216" s="614">
        <v>5</v>
      </c>
      <c r="K216" s="614">
        <v>5957</v>
      </c>
      <c r="L216" s="614">
        <v>0.83501541911970845</v>
      </c>
      <c r="M216" s="614">
        <v>1191.4000000000001</v>
      </c>
      <c r="N216" s="614">
        <v>4</v>
      </c>
      <c r="O216" s="614">
        <v>4780</v>
      </c>
      <c r="P216" s="627">
        <v>0.67003083823941689</v>
      </c>
      <c r="Q216" s="615">
        <v>1195</v>
      </c>
    </row>
    <row r="217" spans="1:17" ht="14.4" customHeight="1" x14ac:dyDescent="0.3">
      <c r="A217" s="610" t="s">
        <v>2421</v>
      </c>
      <c r="B217" s="611" t="s">
        <v>2422</v>
      </c>
      <c r="C217" s="611" t="s">
        <v>1782</v>
      </c>
      <c r="D217" s="611" t="s">
        <v>2456</v>
      </c>
      <c r="E217" s="611" t="s">
        <v>2457</v>
      </c>
      <c r="F217" s="614">
        <v>253</v>
      </c>
      <c r="G217" s="614">
        <v>27324</v>
      </c>
      <c r="H217" s="614">
        <v>1</v>
      </c>
      <c r="I217" s="614">
        <v>108</v>
      </c>
      <c r="J217" s="614">
        <v>270</v>
      </c>
      <c r="K217" s="614">
        <v>28894</v>
      </c>
      <c r="L217" s="614">
        <v>1.0574586444151661</v>
      </c>
      <c r="M217" s="614">
        <v>107.01481481481481</v>
      </c>
      <c r="N217" s="614">
        <v>272</v>
      </c>
      <c r="O217" s="614">
        <v>29920</v>
      </c>
      <c r="P217" s="627">
        <v>1.0950080515297906</v>
      </c>
      <c r="Q217" s="615">
        <v>110</v>
      </c>
    </row>
    <row r="218" spans="1:17" ht="14.4" customHeight="1" x14ac:dyDescent="0.3">
      <c r="A218" s="610" t="s">
        <v>2421</v>
      </c>
      <c r="B218" s="611" t="s">
        <v>2422</v>
      </c>
      <c r="C218" s="611" t="s">
        <v>1782</v>
      </c>
      <c r="D218" s="611" t="s">
        <v>2458</v>
      </c>
      <c r="E218" s="611" t="s">
        <v>2459</v>
      </c>
      <c r="F218" s="614"/>
      <c r="G218" s="614"/>
      <c r="H218" s="614"/>
      <c r="I218" s="614"/>
      <c r="J218" s="614">
        <v>1</v>
      </c>
      <c r="K218" s="614">
        <v>322</v>
      </c>
      <c r="L218" s="614"/>
      <c r="M218" s="614">
        <v>322</v>
      </c>
      <c r="N218" s="614"/>
      <c r="O218" s="614"/>
      <c r="P218" s="627"/>
      <c r="Q218" s="615"/>
    </row>
    <row r="219" spans="1:17" ht="14.4" customHeight="1" x14ac:dyDescent="0.3">
      <c r="A219" s="610" t="s">
        <v>2421</v>
      </c>
      <c r="B219" s="611" t="s">
        <v>2422</v>
      </c>
      <c r="C219" s="611" t="s">
        <v>1782</v>
      </c>
      <c r="D219" s="611" t="s">
        <v>2460</v>
      </c>
      <c r="E219" s="611" t="s">
        <v>2461</v>
      </c>
      <c r="F219" s="614">
        <v>610</v>
      </c>
      <c r="G219" s="614">
        <v>87840</v>
      </c>
      <c r="H219" s="614">
        <v>1</v>
      </c>
      <c r="I219" s="614">
        <v>144</v>
      </c>
      <c r="J219" s="614">
        <v>650</v>
      </c>
      <c r="K219" s="614">
        <v>91112</v>
      </c>
      <c r="L219" s="614">
        <v>1.0372495446265939</v>
      </c>
      <c r="M219" s="614">
        <v>140.1723076923077</v>
      </c>
      <c r="N219" s="614">
        <v>622</v>
      </c>
      <c r="O219" s="614">
        <v>90812</v>
      </c>
      <c r="P219" s="627">
        <v>1.0338342440801458</v>
      </c>
      <c r="Q219" s="615">
        <v>146</v>
      </c>
    </row>
    <row r="220" spans="1:17" ht="14.4" customHeight="1" x14ac:dyDescent="0.3">
      <c r="A220" s="610" t="s">
        <v>2421</v>
      </c>
      <c r="B220" s="611" t="s">
        <v>2422</v>
      </c>
      <c r="C220" s="611" t="s">
        <v>1782</v>
      </c>
      <c r="D220" s="611" t="s">
        <v>2462</v>
      </c>
      <c r="E220" s="611" t="s">
        <v>2463</v>
      </c>
      <c r="F220" s="614">
        <v>1</v>
      </c>
      <c r="G220" s="614">
        <v>1020</v>
      </c>
      <c r="H220" s="614">
        <v>1</v>
      </c>
      <c r="I220" s="614">
        <v>1020</v>
      </c>
      <c r="J220" s="614"/>
      <c r="K220" s="614"/>
      <c r="L220" s="614"/>
      <c r="M220" s="614"/>
      <c r="N220" s="614"/>
      <c r="O220" s="614"/>
      <c r="P220" s="627"/>
      <c r="Q220" s="615"/>
    </row>
    <row r="221" spans="1:17" ht="14.4" customHeight="1" x14ac:dyDescent="0.3">
      <c r="A221" s="610" t="s">
        <v>2421</v>
      </c>
      <c r="B221" s="611" t="s">
        <v>2422</v>
      </c>
      <c r="C221" s="611" t="s">
        <v>1782</v>
      </c>
      <c r="D221" s="611" t="s">
        <v>2464</v>
      </c>
      <c r="E221" s="611" t="s">
        <v>2465</v>
      </c>
      <c r="F221" s="614">
        <v>2</v>
      </c>
      <c r="G221" s="614">
        <v>582</v>
      </c>
      <c r="H221" s="614">
        <v>1</v>
      </c>
      <c r="I221" s="614">
        <v>291</v>
      </c>
      <c r="J221" s="614">
        <v>2</v>
      </c>
      <c r="K221" s="614">
        <v>586</v>
      </c>
      <c r="L221" s="614">
        <v>1.006872852233677</v>
      </c>
      <c r="M221" s="614">
        <v>293</v>
      </c>
      <c r="N221" s="614">
        <v>7</v>
      </c>
      <c r="O221" s="614">
        <v>2058</v>
      </c>
      <c r="P221" s="627">
        <v>3.536082474226804</v>
      </c>
      <c r="Q221" s="615">
        <v>294</v>
      </c>
    </row>
    <row r="222" spans="1:17" ht="14.4" customHeight="1" x14ac:dyDescent="0.3">
      <c r="A222" s="610" t="s">
        <v>2421</v>
      </c>
      <c r="B222" s="611" t="s">
        <v>2422</v>
      </c>
      <c r="C222" s="611" t="s">
        <v>1782</v>
      </c>
      <c r="D222" s="611" t="s">
        <v>2466</v>
      </c>
      <c r="E222" s="611" t="s">
        <v>2467</v>
      </c>
      <c r="F222" s="614">
        <v>1</v>
      </c>
      <c r="G222" s="614">
        <v>724</v>
      </c>
      <c r="H222" s="614">
        <v>1</v>
      </c>
      <c r="I222" s="614">
        <v>724</v>
      </c>
      <c r="J222" s="614"/>
      <c r="K222" s="614"/>
      <c r="L222" s="614"/>
      <c r="M222" s="614"/>
      <c r="N222" s="614"/>
      <c r="O222" s="614"/>
      <c r="P222" s="627"/>
      <c r="Q222" s="615"/>
    </row>
    <row r="223" spans="1:17" ht="14.4" customHeight="1" x14ac:dyDescent="0.3">
      <c r="A223" s="610" t="s">
        <v>2468</v>
      </c>
      <c r="B223" s="611" t="s">
        <v>2469</v>
      </c>
      <c r="C223" s="611" t="s">
        <v>1782</v>
      </c>
      <c r="D223" s="611" t="s">
        <v>2470</v>
      </c>
      <c r="E223" s="611" t="s">
        <v>2471</v>
      </c>
      <c r="F223" s="614">
        <v>10</v>
      </c>
      <c r="G223" s="614">
        <v>530</v>
      </c>
      <c r="H223" s="614">
        <v>1</v>
      </c>
      <c r="I223" s="614">
        <v>53</v>
      </c>
      <c r="J223" s="614">
        <v>6</v>
      </c>
      <c r="K223" s="614">
        <v>318</v>
      </c>
      <c r="L223" s="614">
        <v>0.6</v>
      </c>
      <c r="M223" s="614">
        <v>53</v>
      </c>
      <c r="N223" s="614">
        <v>6</v>
      </c>
      <c r="O223" s="614">
        <v>324</v>
      </c>
      <c r="P223" s="627">
        <v>0.61132075471698111</v>
      </c>
      <c r="Q223" s="615">
        <v>54</v>
      </c>
    </row>
    <row r="224" spans="1:17" ht="14.4" customHeight="1" x14ac:dyDescent="0.3">
      <c r="A224" s="610" t="s">
        <v>2468</v>
      </c>
      <c r="B224" s="611" t="s">
        <v>2469</v>
      </c>
      <c r="C224" s="611" t="s">
        <v>1782</v>
      </c>
      <c r="D224" s="611" t="s">
        <v>2472</v>
      </c>
      <c r="E224" s="611" t="s">
        <v>2473</v>
      </c>
      <c r="F224" s="614">
        <v>10</v>
      </c>
      <c r="G224" s="614">
        <v>1210</v>
      </c>
      <c r="H224" s="614">
        <v>1</v>
      </c>
      <c r="I224" s="614">
        <v>121</v>
      </c>
      <c r="J224" s="614">
        <v>12</v>
      </c>
      <c r="K224" s="614">
        <v>1462</v>
      </c>
      <c r="L224" s="614">
        <v>1.2082644628099173</v>
      </c>
      <c r="M224" s="614">
        <v>121.83333333333333</v>
      </c>
      <c r="N224" s="614">
        <v>24</v>
      </c>
      <c r="O224" s="614">
        <v>2952</v>
      </c>
      <c r="P224" s="627">
        <v>2.4396694214876034</v>
      </c>
      <c r="Q224" s="615">
        <v>123</v>
      </c>
    </row>
    <row r="225" spans="1:17" ht="14.4" customHeight="1" x14ac:dyDescent="0.3">
      <c r="A225" s="610" t="s">
        <v>2468</v>
      </c>
      <c r="B225" s="611" t="s">
        <v>2469</v>
      </c>
      <c r="C225" s="611" t="s">
        <v>1782</v>
      </c>
      <c r="D225" s="611" t="s">
        <v>2474</v>
      </c>
      <c r="E225" s="611" t="s">
        <v>2475</v>
      </c>
      <c r="F225" s="614"/>
      <c r="G225" s="614"/>
      <c r="H225" s="614"/>
      <c r="I225" s="614"/>
      <c r="J225" s="614">
        <v>1</v>
      </c>
      <c r="K225" s="614">
        <v>176</v>
      </c>
      <c r="L225" s="614"/>
      <c r="M225" s="614">
        <v>176</v>
      </c>
      <c r="N225" s="614">
        <v>1</v>
      </c>
      <c r="O225" s="614">
        <v>177</v>
      </c>
      <c r="P225" s="627"/>
      <c r="Q225" s="615">
        <v>177</v>
      </c>
    </row>
    <row r="226" spans="1:17" ht="14.4" customHeight="1" x14ac:dyDescent="0.3">
      <c r="A226" s="610" t="s">
        <v>2468</v>
      </c>
      <c r="B226" s="611" t="s">
        <v>2469</v>
      </c>
      <c r="C226" s="611" t="s">
        <v>1782</v>
      </c>
      <c r="D226" s="611" t="s">
        <v>2476</v>
      </c>
      <c r="E226" s="611" t="s">
        <v>2477</v>
      </c>
      <c r="F226" s="614">
        <v>2</v>
      </c>
      <c r="G226" s="614">
        <v>336</v>
      </c>
      <c r="H226" s="614">
        <v>1</v>
      </c>
      <c r="I226" s="614">
        <v>168</v>
      </c>
      <c r="J226" s="614"/>
      <c r="K226" s="614"/>
      <c r="L226" s="614"/>
      <c r="M226" s="614"/>
      <c r="N226" s="614">
        <v>4</v>
      </c>
      <c r="O226" s="614">
        <v>688</v>
      </c>
      <c r="P226" s="627">
        <v>2.0476190476190474</v>
      </c>
      <c r="Q226" s="615">
        <v>172</v>
      </c>
    </row>
    <row r="227" spans="1:17" ht="14.4" customHeight="1" x14ac:dyDescent="0.3">
      <c r="A227" s="610" t="s">
        <v>2468</v>
      </c>
      <c r="B227" s="611" t="s">
        <v>2469</v>
      </c>
      <c r="C227" s="611" t="s">
        <v>1782</v>
      </c>
      <c r="D227" s="611" t="s">
        <v>2478</v>
      </c>
      <c r="E227" s="611" t="s">
        <v>2479</v>
      </c>
      <c r="F227" s="614"/>
      <c r="G227" s="614"/>
      <c r="H227" s="614"/>
      <c r="I227" s="614"/>
      <c r="J227" s="614"/>
      <c r="K227" s="614"/>
      <c r="L227" s="614"/>
      <c r="M227" s="614"/>
      <c r="N227" s="614">
        <v>1</v>
      </c>
      <c r="O227" s="614">
        <v>533</v>
      </c>
      <c r="P227" s="627"/>
      <c r="Q227" s="615">
        <v>533</v>
      </c>
    </row>
    <row r="228" spans="1:17" ht="14.4" customHeight="1" x14ac:dyDescent="0.3">
      <c r="A228" s="610" t="s">
        <v>2468</v>
      </c>
      <c r="B228" s="611" t="s">
        <v>2469</v>
      </c>
      <c r="C228" s="611" t="s">
        <v>1782</v>
      </c>
      <c r="D228" s="611" t="s">
        <v>2480</v>
      </c>
      <c r="E228" s="611" t="s">
        <v>2481</v>
      </c>
      <c r="F228" s="614">
        <v>2</v>
      </c>
      <c r="G228" s="614">
        <v>632</v>
      </c>
      <c r="H228" s="614">
        <v>1</v>
      </c>
      <c r="I228" s="614">
        <v>316</v>
      </c>
      <c r="J228" s="614">
        <v>5</v>
      </c>
      <c r="K228" s="614">
        <v>1592</v>
      </c>
      <c r="L228" s="614">
        <v>2.518987341772152</v>
      </c>
      <c r="M228" s="614">
        <v>318.39999999999998</v>
      </c>
      <c r="N228" s="614">
        <v>3</v>
      </c>
      <c r="O228" s="614">
        <v>966</v>
      </c>
      <c r="P228" s="627">
        <v>1.5284810126582278</v>
      </c>
      <c r="Q228" s="615">
        <v>322</v>
      </c>
    </row>
    <row r="229" spans="1:17" ht="14.4" customHeight="1" x14ac:dyDescent="0.3">
      <c r="A229" s="610" t="s">
        <v>2468</v>
      </c>
      <c r="B229" s="611" t="s">
        <v>2469</v>
      </c>
      <c r="C229" s="611" t="s">
        <v>1782</v>
      </c>
      <c r="D229" s="611" t="s">
        <v>2482</v>
      </c>
      <c r="E229" s="611" t="s">
        <v>2483</v>
      </c>
      <c r="F229" s="614">
        <v>3</v>
      </c>
      <c r="G229" s="614">
        <v>1014</v>
      </c>
      <c r="H229" s="614">
        <v>1</v>
      </c>
      <c r="I229" s="614">
        <v>338</v>
      </c>
      <c r="J229" s="614">
        <v>9</v>
      </c>
      <c r="K229" s="614">
        <v>3044</v>
      </c>
      <c r="L229" s="614">
        <v>3.001972386587771</v>
      </c>
      <c r="M229" s="614">
        <v>338.22222222222223</v>
      </c>
      <c r="N229" s="614">
        <v>23</v>
      </c>
      <c r="O229" s="614">
        <v>7843</v>
      </c>
      <c r="P229" s="627">
        <v>7.7347140039447728</v>
      </c>
      <c r="Q229" s="615">
        <v>341</v>
      </c>
    </row>
    <row r="230" spans="1:17" ht="14.4" customHeight="1" x14ac:dyDescent="0.3">
      <c r="A230" s="610" t="s">
        <v>2468</v>
      </c>
      <c r="B230" s="611" t="s">
        <v>2469</v>
      </c>
      <c r="C230" s="611" t="s">
        <v>1782</v>
      </c>
      <c r="D230" s="611" t="s">
        <v>2484</v>
      </c>
      <c r="E230" s="611" t="s">
        <v>2485</v>
      </c>
      <c r="F230" s="614">
        <v>8</v>
      </c>
      <c r="G230" s="614">
        <v>2248</v>
      </c>
      <c r="H230" s="614">
        <v>1</v>
      </c>
      <c r="I230" s="614">
        <v>281</v>
      </c>
      <c r="J230" s="614">
        <v>7</v>
      </c>
      <c r="K230" s="614">
        <v>1985</v>
      </c>
      <c r="L230" s="614">
        <v>0.88300711743772242</v>
      </c>
      <c r="M230" s="614">
        <v>283.57142857142856</v>
      </c>
      <c r="N230" s="614">
        <v>13</v>
      </c>
      <c r="O230" s="614">
        <v>3705</v>
      </c>
      <c r="P230" s="627">
        <v>1.6481316725978647</v>
      </c>
      <c r="Q230" s="615">
        <v>285</v>
      </c>
    </row>
    <row r="231" spans="1:17" ht="14.4" customHeight="1" x14ac:dyDescent="0.3">
      <c r="A231" s="610" t="s">
        <v>2468</v>
      </c>
      <c r="B231" s="611" t="s">
        <v>2469</v>
      </c>
      <c r="C231" s="611" t="s">
        <v>1782</v>
      </c>
      <c r="D231" s="611" t="s">
        <v>2486</v>
      </c>
      <c r="E231" s="611" t="s">
        <v>2487</v>
      </c>
      <c r="F231" s="614">
        <v>1</v>
      </c>
      <c r="G231" s="614">
        <v>456</v>
      </c>
      <c r="H231" s="614">
        <v>1</v>
      </c>
      <c r="I231" s="614">
        <v>456</v>
      </c>
      <c r="J231" s="614">
        <v>5</v>
      </c>
      <c r="K231" s="614">
        <v>2284</v>
      </c>
      <c r="L231" s="614">
        <v>5.0087719298245617</v>
      </c>
      <c r="M231" s="614">
        <v>456.8</v>
      </c>
      <c r="N231" s="614">
        <v>5</v>
      </c>
      <c r="O231" s="614">
        <v>2310</v>
      </c>
      <c r="P231" s="627">
        <v>5.0657894736842106</v>
      </c>
      <c r="Q231" s="615">
        <v>462</v>
      </c>
    </row>
    <row r="232" spans="1:17" ht="14.4" customHeight="1" x14ac:dyDescent="0.3">
      <c r="A232" s="610" t="s">
        <v>2468</v>
      </c>
      <c r="B232" s="611" t="s">
        <v>2469</v>
      </c>
      <c r="C232" s="611" t="s">
        <v>1782</v>
      </c>
      <c r="D232" s="611" t="s">
        <v>2488</v>
      </c>
      <c r="E232" s="611" t="s">
        <v>2489</v>
      </c>
      <c r="F232" s="614">
        <v>10</v>
      </c>
      <c r="G232" s="614">
        <v>3480</v>
      </c>
      <c r="H232" s="614">
        <v>1</v>
      </c>
      <c r="I232" s="614">
        <v>348</v>
      </c>
      <c r="J232" s="614">
        <v>11</v>
      </c>
      <c r="K232" s="614">
        <v>3870</v>
      </c>
      <c r="L232" s="614">
        <v>1.1120689655172413</v>
      </c>
      <c r="M232" s="614">
        <v>351.81818181818181</v>
      </c>
      <c r="N232" s="614">
        <v>19</v>
      </c>
      <c r="O232" s="614">
        <v>6764</v>
      </c>
      <c r="P232" s="627">
        <v>1.9436781609195402</v>
      </c>
      <c r="Q232" s="615">
        <v>356</v>
      </c>
    </row>
    <row r="233" spans="1:17" ht="14.4" customHeight="1" x14ac:dyDescent="0.3">
      <c r="A233" s="610" t="s">
        <v>2468</v>
      </c>
      <c r="B233" s="611" t="s">
        <v>2469</v>
      </c>
      <c r="C233" s="611" t="s">
        <v>1782</v>
      </c>
      <c r="D233" s="611" t="s">
        <v>2490</v>
      </c>
      <c r="E233" s="611" t="s">
        <v>2491</v>
      </c>
      <c r="F233" s="614">
        <v>1</v>
      </c>
      <c r="G233" s="614">
        <v>103</v>
      </c>
      <c r="H233" s="614">
        <v>1</v>
      </c>
      <c r="I233" s="614">
        <v>103</v>
      </c>
      <c r="J233" s="614"/>
      <c r="K233" s="614"/>
      <c r="L233" s="614"/>
      <c r="M233" s="614"/>
      <c r="N233" s="614"/>
      <c r="O233" s="614"/>
      <c r="P233" s="627"/>
      <c r="Q233" s="615"/>
    </row>
    <row r="234" spans="1:17" ht="14.4" customHeight="1" x14ac:dyDescent="0.3">
      <c r="A234" s="610" t="s">
        <v>2468</v>
      </c>
      <c r="B234" s="611" t="s">
        <v>2469</v>
      </c>
      <c r="C234" s="611" t="s">
        <v>1782</v>
      </c>
      <c r="D234" s="611" t="s">
        <v>2492</v>
      </c>
      <c r="E234" s="611" t="s">
        <v>2493</v>
      </c>
      <c r="F234" s="614">
        <v>1</v>
      </c>
      <c r="G234" s="614">
        <v>115</v>
      </c>
      <c r="H234" s="614">
        <v>1</v>
      </c>
      <c r="I234" s="614">
        <v>115</v>
      </c>
      <c r="J234" s="614"/>
      <c r="K234" s="614"/>
      <c r="L234" s="614"/>
      <c r="M234" s="614"/>
      <c r="N234" s="614"/>
      <c r="O234" s="614"/>
      <c r="P234" s="627"/>
      <c r="Q234" s="615"/>
    </row>
    <row r="235" spans="1:17" ht="14.4" customHeight="1" x14ac:dyDescent="0.3">
      <c r="A235" s="610" t="s">
        <v>2468</v>
      </c>
      <c r="B235" s="611" t="s">
        <v>2469</v>
      </c>
      <c r="C235" s="611" t="s">
        <v>1782</v>
      </c>
      <c r="D235" s="611" t="s">
        <v>2494</v>
      </c>
      <c r="E235" s="611" t="s">
        <v>2495</v>
      </c>
      <c r="F235" s="614">
        <v>1</v>
      </c>
      <c r="G235" s="614">
        <v>429</v>
      </c>
      <c r="H235" s="614">
        <v>1</v>
      </c>
      <c r="I235" s="614">
        <v>429</v>
      </c>
      <c r="J235" s="614"/>
      <c r="K235" s="614"/>
      <c r="L235" s="614"/>
      <c r="M235" s="614"/>
      <c r="N235" s="614">
        <v>1</v>
      </c>
      <c r="O235" s="614">
        <v>437</v>
      </c>
      <c r="P235" s="627">
        <v>1.0186480186480187</v>
      </c>
      <c r="Q235" s="615">
        <v>437</v>
      </c>
    </row>
    <row r="236" spans="1:17" ht="14.4" customHeight="1" x14ac:dyDescent="0.3">
      <c r="A236" s="610" t="s">
        <v>2468</v>
      </c>
      <c r="B236" s="611" t="s">
        <v>2469</v>
      </c>
      <c r="C236" s="611" t="s">
        <v>1782</v>
      </c>
      <c r="D236" s="611" t="s">
        <v>2496</v>
      </c>
      <c r="E236" s="611" t="s">
        <v>2497</v>
      </c>
      <c r="F236" s="614"/>
      <c r="G236" s="614"/>
      <c r="H236" s="614"/>
      <c r="I236" s="614"/>
      <c r="J236" s="614">
        <v>2</v>
      </c>
      <c r="K236" s="614">
        <v>108</v>
      </c>
      <c r="L236" s="614"/>
      <c r="M236" s="614">
        <v>54</v>
      </c>
      <c r="N236" s="614">
        <v>2</v>
      </c>
      <c r="O236" s="614">
        <v>108</v>
      </c>
      <c r="P236" s="627"/>
      <c r="Q236" s="615">
        <v>54</v>
      </c>
    </row>
    <row r="237" spans="1:17" ht="14.4" customHeight="1" x14ac:dyDescent="0.3">
      <c r="A237" s="610" t="s">
        <v>2468</v>
      </c>
      <c r="B237" s="611" t="s">
        <v>2469</v>
      </c>
      <c r="C237" s="611" t="s">
        <v>1782</v>
      </c>
      <c r="D237" s="611" t="s">
        <v>2498</v>
      </c>
      <c r="E237" s="611" t="s">
        <v>2499</v>
      </c>
      <c r="F237" s="614">
        <v>113</v>
      </c>
      <c r="G237" s="614">
        <v>18645</v>
      </c>
      <c r="H237" s="614">
        <v>1</v>
      </c>
      <c r="I237" s="614">
        <v>165</v>
      </c>
      <c r="J237" s="614">
        <v>89</v>
      </c>
      <c r="K237" s="614">
        <v>14862</v>
      </c>
      <c r="L237" s="614">
        <v>0.79710378117457759</v>
      </c>
      <c r="M237" s="614">
        <v>166.98876404494382</v>
      </c>
      <c r="N237" s="614">
        <v>139</v>
      </c>
      <c r="O237" s="614">
        <v>23491</v>
      </c>
      <c r="P237" s="627">
        <v>1.2599088227406812</v>
      </c>
      <c r="Q237" s="615">
        <v>169</v>
      </c>
    </row>
    <row r="238" spans="1:17" ht="14.4" customHeight="1" x14ac:dyDescent="0.3">
      <c r="A238" s="610" t="s">
        <v>2468</v>
      </c>
      <c r="B238" s="611" t="s">
        <v>2469</v>
      </c>
      <c r="C238" s="611" t="s">
        <v>1782</v>
      </c>
      <c r="D238" s="611" t="s">
        <v>2500</v>
      </c>
      <c r="E238" s="611" t="s">
        <v>2501</v>
      </c>
      <c r="F238" s="614">
        <v>2</v>
      </c>
      <c r="G238" s="614">
        <v>320</v>
      </c>
      <c r="H238" s="614">
        <v>1</v>
      </c>
      <c r="I238" s="614">
        <v>160</v>
      </c>
      <c r="J238" s="614">
        <v>1</v>
      </c>
      <c r="K238" s="614">
        <v>160</v>
      </c>
      <c r="L238" s="614">
        <v>0.5</v>
      </c>
      <c r="M238" s="614">
        <v>160</v>
      </c>
      <c r="N238" s="614">
        <v>1</v>
      </c>
      <c r="O238" s="614">
        <v>163</v>
      </c>
      <c r="P238" s="627">
        <v>0.50937500000000002</v>
      </c>
      <c r="Q238" s="615">
        <v>163</v>
      </c>
    </row>
    <row r="239" spans="1:17" ht="14.4" customHeight="1" x14ac:dyDescent="0.3">
      <c r="A239" s="610" t="s">
        <v>2468</v>
      </c>
      <c r="B239" s="611" t="s">
        <v>2469</v>
      </c>
      <c r="C239" s="611" t="s">
        <v>1782</v>
      </c>
      <c r="D239" s="611" t="s">
        <v>2502</v>
      </c>
      <c r="E239" s="611" t="s">
        <v>2503</v>
      </c>
      <c r="F239" s="614">
        <v>5</v>
      </c>
      <c r="G239" s="614">
        <v>2020</v>
      </c>
      <c r="H239" s="614">
        <v>1</v>
      </c>
      <c r="I239" s="614">
        <v>404</v>
      </c>
      <c r="J239" s="614">
        <v>4</v>
      </c>
      <c r="K239" s="614">
        <v>1636</v>
      </c>
      <c r="L239" s="614">
        <v>0.80990099009900995</v>
      </c>
      <c r="M239" s="614">
        <v>409</v>
      </c>
      <c r="N239" s="614">
        <v>4</v>
      </c>
      <c r="O239" s="614">
        <v>1672</v>
      </c>
      <c r="P239" s="627">
        <v>0.82772277227722768</v>
      </c>
      <c r="Q239" s="615">
        <v>418</v>
      </c>
    </row>
    <row r="240" spans="1:17" ht="14.4" customHeight="1" x14ac:dyDescent="0.3">
      <c r="A240" s="610" t="s">
        <v>2504</v>
      </c>
      <c r="B240" s="611" t="s">
        <v>2505</v>
      </c>
      <c r="C240" s="611" t="s">
        <v>1782</v>
      </c>
      <c r="D240" s="611" t="s">
        <v>2506</v>
      </c>
      <c r="E240" s="611" t="s">
        <v>2507</v>
      </c>
      <c r="F240" s="614">
        <v>136</v>
      </c>
      <c r="G240" s="614">
        <v>21624</v>
      </c>
      <c r="H240" s="614">
        <v>1</v>
      </c>
      <c r="I240" s="614">
        <v>159</v>
      </c>
      <c r="J240" s="614">
        <v>123</v>
      </c>
      <c r="K240" s="614">
        <v>18982</v>
      </c>
      <c r="L240" s="614">
        <v>0.87782093969663333</v>
      </c>
      <c r="M240" s="614">
        <v>154.32520325203251</v>
      </c>
      <c r="N240" s="614">
        <v>136</v>
      </c>
      <c r="O240" s="614">
        <v>21896</v>
      </c>
      <c r="P240" s="627">
        <v>1.0125786163522013</v>
      </c>
      <c r="Q240" s="615">
        <v>161</v>
      </c>
    </row>
    <row r="241" spans="1:17" ht="14.4" customHeight="1" x14ac:dyDescent="0.3">
      <c r="A241" s="610" t="s">
        <v>2504</v>
      </c>
      <c r="B241" s="611" t="s">
        <v>2505</v>
      </c>
      <c r="C241" s="611" t="s">
        <v>1782</v>
      </c>
      <c r="D241" s="611" t="s">
        <v>2508</v>
      </c>
      <c r="E241" s="611" t="s">
        <v>2509</v>
      </c>
      <c r="F241" s="614">
        <v>13</v>
      </c>
      <c r="G241" s="614">
        <v>15145</v>
      </c>
      <c r="H241" s="614">
        <v>1</v>
      </c>
      <c r="I241" s="614">
        <v>1165</v>
      </c>
      <c r="J241" s="614">
        <v>20</v>
      </c>
      <c r="K241" s="614">
        <v>23327</v>
      </c>
      <c r="L241" s="614">
        <v>1.540244305051172</v>
      </c>
      <c r="M241" s="614">
        <v>1166.3499999999999</v>
      </c>
      <c r="N241" s="614">
        <v>16</v>
      </c>
      <c r="O241" s="614">
        <v>18704</v>
      </c>
      <c r="P241" s="627">
        <v>1.2349950478705845</v>
      </c>
      <c r="Q241" s="615">
        <v>1169</v>
      </c>
    </row>
    <row r="242" spans="1:17" ht="14.4" customHeight="1" x14ac:dyDescent="0.3">
      <c r="A242" s="610" t="s">
        <v>2504</v>
      </c>
      <c r="B242" s="611" t="s">
        <v>2505</v>
      </c>
      <c r="C242" s="611" t="s">
        <v>1782</v>
      </c>
      <c r="D242" s="611" t="s">
        <v>2510</v>
      </c>
      <c r="E242" s="611" t="s">
        <v>2511</v>
      </c>
      <c r="F242" s="614">
        <v>2367</v>
      </c>
      <c r="G242" s="614">
        <v>92313</v>
      </c>
      <c r="H242" s="614">
        <v>1</v>
      </c>
      <c r="I242" s="614">
        <v>39</v>
      </c>
      <c r="J242" s="614">
        <v>1585</v>
      </c>
      <c r="K242" s="614">
        <v>61887</v>
      </c>
      <c r="L242" s="614">
        <v>0.67040395177277301</v>
      </c>
      <c r="M242" s="614">
        <v>39.045425867507888</v>
      </c>
      <c r="N242" s="614">
        <v>1093</v>
      </c>
      <c r="O242" s="614">
        <v>43720</v>
      </c>
      <c r="P242" s="627">
        <v>0.47360610098252681</v>
      </c>
      <c r="Q242" s="615">
        <v>40</v>
      </c>
    </row>
    <row r="243" spans="1:17" ht="14.4" customHeight="1" x14ac:dyDescent="0.3">
      <c r="A243" s="610" t="s">
        <v>2504</v>
      </c>
      <c r="B243" s="611" t="s">
        <v>2505</v>
      </c>
      <c r="C243" s="611" t="s">
        <v>1782</v>
      </c>
      <c r="D243" s="611" t="s">
        <v>2440</v>
      </c>
      <c r="E243" s="611" t="s">
        <v>2441</v>
      </c>
      <c r="F243" s="614">
        <v>4</v>
      </c>
      <c r="G243" s="614">
        <v>1528</v>
      </c>
      <c r="H243" s="614">
        <v>1</v>
      </c>
      <c r="I243" s="614">
        <v>382</v>
      </c>
      <c r="J243" s="614">
        <v>3</v>
      </c>
      <c r="K243" s="614">
        <v>1149</v>
      </c>
      <c r="L243" s="614">
        <v>0.75196335078534027</v>
      </c>
      <c r="M243" s="614">
        <v>383</v>
      </c>
      <c r="N243" s="614">
        <v>1</v>
      </c>
      <c r="O243" s="614">
        <v>383</v>
      </c>
      <c r="P243" s="627">
        <v>0.25065445026178013</v>
      </c>
      <c r="Q243" s="615">
        <v>383</v>
      </c>
    </row>
    <row r="244" spans="1:17" ht="14.4" customHeight="1" x14ac:dyDescent="0.3">
      <c r="A244" s="610" t="s">
        <v>2504</v>
      </c>
      <c r="B244" s="611" t="s">
        <v>2505</v>
      </c>
      <c r="C244" s="611" t="s">
        <v>1782</v>
      </c>
      <c r="D244" s="611" t="s">
        <v>2512</v>
      </c>
      <c r="E244" s="611" t="s">
        <v>2513</v>
      </c>
      <c r="F244" s="614">
        <v>4</v>
      </c>
      <c r="G244" s="614">
        <v>148</v>
      </c>
      <c r="H244" s="614">
        <v>1</v>
      </c>
      <c r="I244" s="614">
        <v>37</v>
      </c>
      <c r="J244" s="614">
        <v>12</v>
      </c>
      <c r="K244" s="614">
        <v>444</v>
      </c>
      <c r="L244" s="614">
        <v>3</v>
      </c>
      <c r="M244" s="614">
        <v>37</v>
      </c>
      <c r="N244" s="614">
        <v>8</v>
      </c>
      <c r="O244" s="614">
        <v>296</v>
      </c>
      <c r="P244" s="627">
        <v>2</v>
      </c>
      <c r="Q244" s="615">
        <v>37</v>
      </c>
    </row>
    <row r="245" spans="1:17" ht="14.4" customHeight="1" x14ac:dyDescent="0.3">
      <c r="A245" s="610" t="s">
        <v>2504</v>
      </c>
      <c r="B245" s="611" t="s">
        <v>2505</v>
      </c>
      <c r="C245" s="611" t="s">
        <v>1782</v>
      </c>
      <c r="D245" s="611" t="s">
        <v>2514</v>
      </c>
      <c r="E245" s="611" t="s">
        <v>2515</v>
      </c>
      <c r="F245" s="614">
        <v>3</v>
      </c>
      <c r="G245" s="614">
        <v>1332</v>
      </c>
      <c r="H245" s="614">
        <v>1</v>
      </c>
      <c r="I245" s="614">
        <v>444</v>
      </c>
      <c r="J245" s="614">
        <v>3</v>
      </c>
      <c r="K245" s="614">
        <v>1335</v>
      </c>
      <c r="L245" s="614">
        <v>1.0022522522522523</v>
      </c>
      <c r="M245" s="614">
        <v>445</v>
      </c>
      <c r="N245" s="614">
        <v>9</v>
      </c>
      <c r="O245" s="614">
        <v>4005</v>
      </c>
      <c r="P245" s="627">
        <v>3.0067567567567566</v>
      </c>
      <c r="Q245" s="615">
        <v>445</v>
      </c>
    </row>
    <row r="246" spans="1:17" ht="14.4" customHeight="1" x14ac:dyDescent="0.3">
      <c r="A246" s="610" t="s">
        <v>2504</v>
      </c>
      <c r="B246" s="611" t="s">
        <v>2505</v>
      </c>
      <c r="C246" s="611" t="s">
        <v>1782</v>
      </c>
      <c r="D246" s="611" t="s">
        <v>2516</v>
      </c>
      <c r="E246" s="611" t="s">
        <v>2517</v>
      </c>
      <c r="F246" s="614">
        <v>1</v>
      </c>
      <c r="G246" s="614">
        <v>490</v>
      </c>
      <c r="H246" s="614">
        <v>1</v>
      </c>
      <c r="I246" s="614">
        <v>490</v>
      </c>
      <c r="J246" s="614">
        <v>1</v>
      </c>
      <c r="K246" s="614">
        <v>491</v>
      </c>
      <c r="L246" s="614">
        <v>1.0020408163265306</v>
      </c>
      <c r="M246" s="614">
        <v>491</v>
      </c>
      <c r="N246" s="614">
        <v>9</v>
      </c>
      <c r="O246" s="614">
        <v>4419</v>
      </c>
      <c r="P246" s="627">
        <v>9.018367346938776</v>
      </c>
      <c r="Q246" s="615">
        <v>491</v>
      </c>
    </row>
    <row r="247" spans="1:17" ht="14.4" customHeight="1" x14ac:dyDescent="0.3">
      <c r="A247" s="610" t="s">
        <v>2504</v>
      </c>
      <c r="B247" s="611" t="s">
        <v>2505</v>
      </c>
      <c r="C247" s="611" t="s">
        <v>1782</v>
      </c>
      <c r="D247" s="611" t="s">
        <v>2518</v>
      </c>
      <c r="E247" s="611" t="s">
        <v>2519</v>
      </c>
      <c r="F247" s="614">
        <v>5</v>
      </c>
      <c r="G247" s="614">
        <v>155</v>
      </c>
      <c r="H247" s="614">
        <v>1</v>
      </c>
      <c r="I247" s="614">
        <v>31</v>
      </c>
      <c r="J247" s="614">
        <v>5</v>
      </c>
      <c r="K247" s="614">
        <v>155</v>
      </c>
      <c r="L247" s="614">
        <v>1</v>
      </c>
      <c r="M247" s="614">
        <v>31</v>
      </c>
      <c r="N247" s="614">
        <v>4</v>
      </c>
      <c r="O247" s="614">
        <v>124</v>
      </c>
      <c r="P247" s="627">
        <v>0.8</v>
      </c>
      <c r="Q247" s="615">
        <v>31</v>
      </c>
    </row>
    <row r="248" spans="1:17" ht="14.4" customHeight="1" x14ac:dyDescent="0.3">
      <c r="A248" s="610" t="s">
        <v>2504</v>
      </c>
      <c r="B248" s="611" t="s">
        <v>2505</v>
      </c>
      <c r="C248" s="611" t="s">
        <v>1782</v>
      </c>
      <c r="D248" s="611" t="s">
        <v>2520</v>
      </c>
      <c r="E248" s="611" t="s">
        <v>2521</v>
      </c>
      <c r="F248" s="614">
        <v>14</v>
      </c>
      <c r="G248" s="614">
        <v>3234</v>
      </c>
      <c r="H248" s="614">
        <v>1</v>
      </c>
      <c r="I248" s="614">
        <v>231</v>
      </c>
      <c r="J248" s="614">
        <v>4</v>
      </c>
      <c r="K248" s="614">
        <v>926</v>
      </c>
      <c r="L248" s="614">
        <v>0.28633271490414347</v>
      </c>
      <c r="M248" s="614">
        <v>231.5</v>
      </c>
      <c r="N248" s="614">
        <v>6</v>
      </c>
      <c r="O248" s="614">
        <v>1404</v>
      </c>
      <c r="P248" s="627">
        <v>0.43413729128014844</v>
      </c>
      <c r="Q248" s="615">
        <v>234</v>
      </c>
    </row>
    <row r="249" spans="1:17" ht="14.4" customHeight="1" x14ac:dyDescent="0.3">
      <c r="A249" s="610" t="s">
        <v>2504</v>
      </c>
      <c r="B249" s="611" t="s">
        <v>2505</v>
      </c>
      <c r="C249" s="611" t="s">
        <v>1782</v>
      </c>
      <c r="D249" s="611" t="s">
        <v>2522</v>
      </c>
      <c r="E249" s="611" t="s">
        <v>2523</v>
      </c>
      <c r="F249" s="614">
        <v>1299</v>
      </c>
      <c r="G249" s="614">
        <v>146787</v>
      </c>
      <c r="H249" s="614">
        <v>1</v>
      </c>
      <c r="I249" s="614">
        <v>113</v>
      </c>
      <c r="J249" s="614">
        <v>1252</v>
      </c>
      <c r="K249" s="614">
        <v>138164</v>
      </c>
      <c r="L249" s="614">
        <v>0.94125501577115145</v>
      </c>
      <c r="M249" s="614">
        <v>110.35463258785943</v>
      </c>
      <c r="N249" s="614">
        <v>919</v>
      </c>
      <c r="O249" s="614">
        <v>106604</v>
      </c>
      <c r="P249" s="627">
        <v>0.72624959976019676</v>
      </c>
      <c r="Q249" s="615">
        <v>116</v>
      </c>
    </row>
    <row r="250" spans="1:17" ht="14.4" customHeight="1" x14ac:dyDescent="0.3">
      <c r="A250" s="610" t="s">
        <v>2504</v>
      </c>
      <c r="B250" s="611" t="s">
        <v>2505</v>
      </c>
      <c r="C250" s="611" t="s">
        <v>1782</v>
      </c>
      <c r="D250" s="611" t="s">
        <v>2524</v>
      </c>
      <c r="E250" s="611" t="s">
        <v>2525</v>
      </c>
      <c r="F250" s="614">
        <v>80</v>
      </c>
      <c r="G250" s="614">
        <v>6720</v>
      </c>
      <c r="H250" s="614">
        <v>1</v>
      </c>
      <c r="I250" s="614">
        <v>84</v>
      </c>
      <c r="J250" s="614">
        <v>86</v>
      </c>
      <c r="K250" s="614">
        <v>6267</v>
      </c>
      <c r="L250" s="614">
        <v>0.93258928571428568</v>
      </c>
      <c r="M250" s="614">
        <v>72.872093023255815</v>
      </c>
      <c r="N250" s="614">
        <v>66</v>
      </c>
      <c r="O250" s="614">
        <v>5610</v>
      </c>
      <c r="P250" s="627">
        <v>0.8348214285714286</v>
      </c>
      <c r="Q250" s="615">
        <v>85</v>
      </c>
    </row>
    <row r="251" spans="1:17" ht="14.4" customHeight="1" x14ac:dyDescent="0.3">
      <c r="A251" s="610" t="s">
        <v>2504</v>
      </c>
      <c r="B251" s="611" t="s">
        <v>2505</v>
      </c>
      <c r="C251" s="611" t="s">
        <v>1782</v>
      </c>
      <c r="D251" s="611" t="s">
        <v>2526</v>
      </c>
      <c r="E251" s="611" t="s">
        <v>2527</v>
      </c>
      <c r="F251" s="614">
        <v>20</v>
      </c>
      <c r="G251" s="614">
        <v>1920</v>
      </c>
      <c r="H251" s="614">
        <v>1</v>
      </c>
      <c r="I251" s="614">
        <v>96</v>
      </c>
      <c r="J251" s="614">
        <v>10</v>
      </c>
      <c r="K251" s="614">
        <v>969</v>
      </c>
      <c r="L251" s="614">
        <v>0.50468749999999996</v>
      </c>
      <c r="M251" s="614">
        <v>96.9</v>
      </c>
      <c r="N251" s="614">
        <v>12</v>
      </c>
      <c r="O251" s="614">
        <v>1176</v>
      </c>
      <c r="P251" s="627">
        <v>0.61250000000000004</v>
      </c>
      <c r="Q251" s="615">
        <v>98</v>
      </c>
    </row>
    <row r="252" spans="1:17" ht="14.4" customHeight="1" x14ac:dyDescent="0.3">
      <c r="A252" s="610" t="s">
        <v>2504</v>
      </c>
      <c r="B252" s="611" t="s">
        <v>2505</v>
      </c>
      <c r="C252" s="611" t="s">
        <v>1782</v>
      </c>
      <c r="D252" s="611" t="s">
        <v>2528</v>
      </c>
      <c r="E252" s="611" t="s">
        <v>2529</v>
      </c>
      <c r="F252" s="614">
        <v>76</v>
      </c>
      <c r="G252" s="614">
        <v>1596</v>
      </c>
      <c r="H252" s="614">
        <v>1</v>
      </c>
      <c r="I252" s="614">
        <v>21</v>
      </c>
      <c r="J252" s="614">
        <v>177</v>
      </c>
      <c r="K252" s="614">
        <v>3591</v>
      </c>
      <c r="L252" s="614">
        <v>2.25</v>
      </c>
      <c r="M252" s="614">
        <v>20.288135593220339</v>
      </c>
      <c r="N252" s="614">
        <v>34</v>
      </c>
      <c r="O252" s="614">
        <v>714</v>
      </c>
      <c r="P252" s="627">
        <v>0.44736842105263158</v>
      </c>
      <c r="Q252" s="615">
        <v>21</v>
      </c>
    </row>
    <row r="253" spans="1:17" ht="14.4" customHeight="1" x14ac:dyDescent="0.3">
      <c r="A253" s="610" t="s">
        <v>2504</v>
      </c>
      <c r="B253" s="611" t="s">
        <v>2505</v>
      </c>
      <c r="C253" s="611" t="s">
        <v>1782</v>
      </c>
      <c r="D253" s="611" t="s">
        <v>2449</v>
      </c>
      <c r="E253" s="611" t="s">
        <v>2450</v>
      </c>
      <c r="F253" s="614">
        <v>74</v>
      </c>
      <c r="G253" s="614">
        <v>35964</v>
      </c>
      <c r="H253" s="614">
        <v>1</v>
      </c>
      <c r="I253" s="614">
        <v>486</v>
      </c>
      <c r="J253" s="614">
        <v>174</v>
      </c>
      <c r="K253" s="614">
        <v>80790</v>
      </c>
      <c r="L253" s="614">
        <v>2.246413079746413</v>
      </c>
      <c r="M253" s="614">
        <v>464.31034482758622</v>
      </c>
      <c r="N253" s="614">
        <v>223</v>
      </c>
      <c r="O253" s="614">
        <v>108601</v>
      </c>
      <c r="P253" s="627">
        <v>3.0197141586030476</v>
      </c>
      <c r="Q253" s="615">
        <v>487</v>
      </c>
    </row>
    <row r="254" spans="1:17" ht="14.4" customHeight="1" x14ac:dyDescent="0.3">
      <c r="A254" s="610" t="s">
        <v>2504</v>
      </c>
      <c r="B254" s="611" t="s">
        <v>2505</v>
      </c>
      <c r="C254" s="611" t="s">
        <v>1782</v>
      </c>
      <c r="D254" s="611" t="s">
        <v>2530</v>
      </c>
      <c r="E254" s="611" t="s">
        <v>2531</v>
      </c>
      <c r="F254" s="614"/>
      <c r="G254" s="614"/>
      <c r="H254" s="614"/>
      <c r="I254" s="614"/>
      <c r="J254" s="614"/>
      <c r="K254" s="614"/>
      <c r="L254" s="614"/>
      <c r="M254" s="614"/>
      <c r="N254" s="614">
        <v>2</v>
      </c>
      <c r="O254" s="614">
        <v>646</v>
      </c>
      <c r="P254" s="627"/>
      <c r="Q254" s="615">
        <v>323</v>
      </c>
    </row>
    <row r="255" spans="1:17" ht="14.4" customHeight="1" x14ac:dyDescent="0.3">
      <c r="A255" s="610" t="s">
        <v>2504</v>
      </c>
      <c r="B255" s="611" t="s">
        <v>2505</v>
      </c>
      <c r="C255" s="611" t="s">
        <v>1782</v>
      </c>
      <c r="D255" s="611" t="s">
        <v>2532</v>
      </c>
      <c r="E255" s="611" t="s">
        <v>2533</v>
      </c>
      <c r="F255" s="614"/>
      <c r="G255" s="614"/>
      <c r="H255" s="614"/>
      <c r="I255" s="614"/>
      <c r="J255" s="614"/>
      <c r="K255" s="614"/>
      <c r="L255" s="614"/>
      <c r="M255" s="614"/>
      <c r="N255" s="614">
        <v>1</v>
      </c>
      <c r="O255" s="614">
        <v>67</v>
      </c>
      <c r="P255" s="627"/>
      <c r="Q255" s="615">
        <v>67</v>
      </c>
    </row>
    <row r="256" spans="1:17" ht="14.4" customHeight="1" x14ac:dyDescent="0.3">
      <c r="A256" s="610" t="s">
        <v>2504</v>
      </c>
      <c r="B256" s="611" t="s">
        <v>2505</v>
      </c>
      <c r="C256" s="611" t="s">
        <v>1782</v>
      </c>
      <c r="D256" s="611" t="s">
        <v>2534</v>
      </c>
      <c r="E256" s="611" t="s">
        <v>2535</v>
      </c>
      <c r="F256" s="614">
        <v>60</v>
      </c>
      <c r="G256" s="614">
        <v>2400</v>
      </c>
      <c r="H256" s="614">
        <v>1</v>
      </c>
      <c r="I256" s="614">
        <v>40</v>
      </c>
      <c r="J256" s="614">
        <v>52</v>
      </c>
      <c r="K256" s="614">
        <v>1792</v>
      </c>
      <c r="L256" s="614">
        <v>0.7466666666666667</v>
      </c>
      <c r="M256" s="614">
        <v>34.46153846153846</v>
      </c>
      <c r="N256" s="614">
        <v>80</v>
      </c>
      <c r="O256" s="614">
        <v>3280</v>
      </c>
      <c r="P256" s="627">
        <v>1.3666666666666667</v>
      </c>
      <c r="Q256" s="615">
        <v>41</v>
      </c>
    </row>
    <row r="257" spans="1:17" ht="14.4" customHeight="1" x14ac:dyDescent="0.3">
      <c r="A257" s="610" t="s">
        <v>2504</v>
      </c>
      <c r="B257" s="611" t="s">
        <v>2505</v>
      </c>
      <c r="C257" s="611" t="s">
        <v>1782</v>
      </c>
      <c r="D257" s="611" t="s">
        <v>2536</v>
      </c>
      <c r="E257" s="611" t="s">
        <v>2537</v>
      </c>
      <c r="F257" s="614">
        <v>3</v>
      </c>
      <c r="G257" s="614">
        <v>1812</v>
      </c>
      <c r="H257" s="614">
        <v>1</v>
      </c>
      <c r="I257" s="614">
        <v>604</v>
      </c>
      <c r="J257" s="614">
        <v>3</v>
      </c>
      <c r="K257" s="614">
        <v>1818</v>
      </c>
      <c r="L257" s="614">
        <v>1.0033112582781456</v>
      </c>
      <c r="M257" s="614">
        <v>606</v>
      </c>
      <c r="N257" s="614">
        <v>9</v>
      </c>
      <c r="O257" s="614">
        <v>5472</v>
      </c>
      <c r="P257" s="627">
        <v>3.0198675496688741</v>
      </c>
      <c r="Q257" s="615">
        <v>608</v>
      </c>
    </row>
    <row r="258" spans="1:17" ht="14.4" customHeight="1" x14ac:dyDescent="0.3">
      <c r="A258" s="610" t="s">
        <v>2504</v>
      </c>
      <c r="B258" s="611" t="s">
        <v>2505</v>
      </c>
      <c r="C258" s="611" t="s">
        <v>1782</v>
      </c>
      <c r="D258" s="611" t="s">
        <v>2538</v>
      </c>
      <c r="E258" s="611" t="s">
        <v>2539</v>
      </c>
      <c r="F258" s="614">
        <v>14</v>
      </c>
      <c r="G258" s="614">
        <v>3430</v>
      </c>
      <c r="H258" s="614">
        <v>1</v>
      </c>
      <c r="I258" s="614">
        <v>245</v>
      </c>
      <c r="J258" s="614">
        <v>4</v>
      </c>
      <c r="K258" s="614">
        <v>982</v>
      </c>
      <c r="L258" s="614">
        <v>0.28629737609329448</v>
      </c>
      <c r="M258" s="614">
        <v>245.5</v>
      </c>
      <c r="N258" s="614">
        <v>6</v>
      </c>
      <c r="O258" s="614">
        <v>1488</v>
      </c>
      <c r="P258" s="627">
        <v>0.43381924198250726</v>
      </c>
      <c r="Q258" s="615">
        <v>248</v>
      </c>
    </row>
    <row r="259" spans="1:17" ht="14.4" customHeight="1" x14ac:dyDescent="0.3">
      <c r="A259" s="610" t="s">
        <v>2504</v>
      </c>
      <c r="B259" s="611" t="s">
        <v>2505</v>
      </c>
      <c r="C259" s="611" t="s">
        <v>1782</v>
      </c>
      <c r="D259" s="611" t="s">
        <v>2540</v>
      </c>
      <c r="E259" s="611" t="s">
        <v>2541</v>
      </c>
      <c r="F259" s="614">
        <v>314</v>
      </c>
      <c r="G259" s="614">
        <v>8478</v>
      </c>
      <c r="H259" s="614">
        <v>1</v>
      </c>
      <c r="I259" s="614">
        <v>27</v>
      </c>
      <c r="J259" s="614">
        <v>173</v>
      </c>
      <c r="K259" s="614">
        <v>4347</v>
      </c>
      <c r="L259" s="614">
        <v>0.51273885350318471</v>
      </c>
      <c r="M259" s="614">
        <v>25.127167630057805</v>
      </c>
      <c r="N259" s="614">
        <v>159</v>
      </c>
      <c r="O259" s="614">
        <v>4293</v>
      </c>
      <c r="P259" s="627">
        <v>0.50636942675159236</v>
      </c>
      <c r="Q259" s="615">
        <v>27</v>
      </c>
    </row>
    <row r="260" spans="1:17" ht="14.4" customHeight="1" x14ac:dyDescent="0.3">
      <c r="A260" s="610" t="s">
        <v>2542</v>
      </c>
      <c r="B260" s="611" t="s">
        <v>2346</v>
      </c>
      <c r="C260" s="611" t="s">
        <v>1782</v>
      </c>
      <c r="D260" s="611" t="s">
        <v>2543</v>
      </c>
      <c r="E260" s="611" t="s">
        <v>2544</v>
      </c>
      <c r="F260" s="614"/>
      <c r="G260" s="614"/>
      <c r="H260" s="614"/>
      <c r="I260" s="614"/>
      <c r="J260" s="614"/>
      <c r="K260" s="614"/>
      <c r="L260" s="614"/>
      <c r="M260" s="614"/>
      <c r="N260" s="614">
        <v>1</v>
      </c>
      <c r="O260" s="614">
        <v>167</v>
      </c>
      <c r="P260" s="627"/>
      <c r="Q260" s="615">
        <v>167</v>
      </c>
    </row>
    <row r="261" spans="1:17" ht="14.4" customHeight="1" x14ac:dyDescent="0.3">
      <c r="A261" s="610" t="s">
        <v>2542</v>
      </c>
      <c r="B261" s="611" t="s">
        <v>2346</v>
      </c>
      <c r="C261" s="611" t="s">
        <v>1782</v>
      </c>
      <c r="D261" s="611" t="s">
        <v>2545</v>
      </c>
      <c r="E261" s="611" t="s">
        <v>2546</v>
      </c>
      <c r="F261" s="614"/>
      <c r="G261" s="614"/>
      <c r="H261" s="614"/>
      <c r="I261" s="614"/>
      <c r="J261" s="614"/>
      <c r="K261" s="614"/>
      <c r="L261" s="614"/>
      <c r="M261" s="614"/>
      <c r="N261" s="614">
        <v>1</v>
      </c>
      <c r="O261" s="614">
        <v>173</v>
      </c>
      <c r="P261" s="627"/>
      <c r="Q261" s="615">
        <v>173</v>
      </c>
    </row>
    <row r="262" spans="1:17" ht="14.4" customHeight="1" x14ac:dyDescent="0.3">
      <c r="A262" s="610" t="s">
        <v>2542</v>
      </c>
      <c r="B262" s="611" t="s">
        <v>2346</v>
      </c>
      <c r="C262" s="611" t="s">
        <v>1782</v>
      </c>
      <c r="D262" s="611" t="s">
        <v>2547</v>
      </c>
      <c r="E262" s="611" t="s">
        <v>2548</v>
      </c>
      <c r="F262" s="614">
        <v>1</v>
      </c>
      <c r="G262" s="614">
        <v>545</v>
      </c>
      <c r="H262" s="614">
        <v>1</v>
      </c>
      <c r="I262" s="614">
        <v>545</v>
      </c>
      <c r="J262" s="614">
        <v>3</v>
      </c>
      <c r="K262" s="614">
        <v>1637</v>
      </c>
      <c r="L262" s="614">
        <v>3.0036697247706421</v>
      </c>
      <c r="M262" s="614">
        <v>545.66666666666663</v>
      </c>
      <c r="N262" s="614">
        <v>8</v>
      </c>
      <c r="O262" s="614">
        <v>4376</v>
      </c>
      <c r="P262" s="627">
        <v>8.0293577981651367</v>
      </c>
      <c r="Q262" s="615">
        <v>547</v>
      </c>
    </row>
    <row r="263" spans="1:17" ht="14.4" customHeight="1" x14ac:dyDescent="0.3">
      <c r="A263" s="610" t="s">
        <v>2542</v>
      </c>
      <c r="B263" s="611" t="s">
        <v>2346</v>
      </c>
      <c r="C263" s="611" t="s">
        <v>1782</v>
      </c>
      <c r="D263" s="611" t="s">
        <v>2549</v>
      </c>
      <c r="E263" s="611" t="s">
        <v>2550</v>
      </c>
      <c r="F263" s="614">
        <v>2</v>
      </c>
      <c r="G263" s="614">
        <v>1300</v>
      </c>
      <c r="H263" s="614">
        <v>1</v>
      </c>
      <c r="I263" s="614">
        <v>650</v>
      </c>
      <c r="J263" s="614">
        <v>5</v>
      </c>
      <c r="K263" s="614">
        <v>3253</v>
      </c>
      <c r="L263" s="614">
        <v>2.5023076923076921</v>
      </c>
      <c r="M263" s="614">
        <v>650.6</v>
      </c>
      <c r="N263" s="614">
        <v>8</v>
      </c>
      <c r="O263" s="614">
        <v>5216</v>
      </c>
      <c r="P263" s="627">
        <v>4.0123076923076919</v>
      </c>
      <c r="Q263" s="615">
        <v>652</v>
      </c>
    </row>
    <row r="264" spans="1:17" ht="14.4" customHeight="1" x14ac:dyDescent="0.3">
      <c r="A264" s="610" t="s">
        <v>2542</v>
      </c>
      <c r="B264" s="611" t="s">
        <v>2346</v>
      </c>
      <c r="C264" s="611" t="s">
        <v>1782</v>
      </c>
      <c r="D264" s="611" t="s">
        <v>2551</v>
      </c>
      <c r="E264" s="611" t="s">
        <v>2552</v>
      </c>
      <c r="F264" s="614">
        <v>2</v>
      </c>
      <c r="G264" s="614">
        <v>1300</v>
      </c>
      <c r="H264" s="614">
        <v>1</v>
      </c>
      <c r="I264" s="614">
        <v>650</v>
      </c>
      <c r="J264" s="614">
        <v>5</v>
      </c>
      <c r="K264" s="614">
        <v>3253</v>
      </c>
      <c r="L264" s="614">
        <v>2.5023076923076921</v>
      </c>
      <c r="M264" s="614">
        <v>650.6</v>
      </c>
      <c r="N264" s="614">
        <v>8</v>
      </c>
      <c r="O264" s="614">
        <v>5216</v>
      </c>
      <c r="P264" s="627">
        <v>4.0123076923076919</v>
      </c>
      <c r="Q264" s="615">
        <v>652</v>
      </c>
    </row>
    <row r="265" spans="1:17" ht="14.4" customHeight="1" x14ac:dyDescent="0.3">
      <c r="A265" s="610" t="s">
        <v>2542</v>
      </c>
      <c r="B265" s="611" t="s">
        <v>2346</v>
      </c>
      <c r="C265" s="611" t="s">
        <v>1782</v>
      </c>
      <c r="D265" s="611" t="s">
        <v>2553</v>
      </c>
      <c r="E265" s="611" t="s">
        <v>2554</v>
      </c>
      <c r="F265" s="614"/>
      <c r="G265" s="614"/>
      <c r="H265" s="614"/>
      <c r="I265" s="614"/>
      <c r="J265" s="614"/>
      <c r="K265" s="614"/>
      <c r="L265" s="614"/>
      <c r="M265" s="614"/>
      <c r="N265" s="614">
        <v>1</v>
      </c>
      <c r="O265" s="614">
        <v>347</v>
      </c>
      <c r="P265" s="627"/>
      <c r="Q265" s="615">
        <v>347</v>
      </c>
    </row>
    <row r="266" spans="1:17" ht="14.4" customHeight="1" x14ac:dyDescent="0.3">
      <c r="A266" s="610" t="s">
        <v>2542</v>
      </c>
      <c r="B266" s="611" t="s">
        <v>2346</v>
      </c>
      <c r="C266" s="611" t="s">
        <v>1782</v>
      </c>
      <c r="D266" s="611" t="s">
        <v>2555</v>
      </c>
      <c r="E266" s="611" t="s">
        <v>2556</v>
      </c>
      <c r="F266" s="614">
        <v>2</v>
      </c>
      <c r="G266" s="614">
        <v>620</v>
      </c>
      <c r="H266" s="614">
        <v>1</v>
      </c>
      <c r="I266" s="614">
        <v>310</v>
      </c>
      <c r="J266" s="614">
        <v>5</v>
      </c>
      <c r="K266" s="614">
        <v>1553</v>
      </c>
      <c r="L266" s="614">
        <v>2.5048387096774194</v>
      </c>
      <c r="M266" s="614">
        <v>310.60000000000002</v>
      </c>
      <c r="N266" s="614">
        <v>15</v>
      </c>
      <c r="O266" s="614">
        <v>4665</v>
      </c>
      <c r="P266" s="627">
        <v>7.524193548387097</v>
      </c>
      <c r="Q266" s="615">
        <v>311</v>
      </c>
    </row>
    <row r="267" spans="1:17" ht="14.4" customHeight="1" x14ac:dyDescent="0.3">
      <c r="A267" s="610" t="s">
        <v>2542</v>
      </c>
      <c r="B267" s="611" t="s">
        <v>2346</v>
      </c>
      <c r="C267" s="611" t="s">
        <v>1782</v>
      </c>
      <c r="D267" s="611" t="s">
        <v>2056</v>
      </c>
      <c r="E267" s="611" t="s">
        <v>2057</v>
      </c>
      <c r="F267" s="614"/>
      <c r="G267" s="614"/>
      <c r="H267" s="614"/>
      <c r="I267" s="614"/>
      <c r="J267" s="614">
        <v>3</v>
      </c>
      <c r="K267" s="614">
        <v>69</v>
      </c>
      <c r="L267" s="614"/>
      <c r="M267" s="614">
        <v>23</v>
      </c>
      <c r="N267" s="614">
        <v>5</v>
      </c>
      <c r="O267" s="614">
        <v>115</v>
      </c>
      <c r="P267" s="627"/>
      <c r="Q267" s="615">
        <v>23</v>
      </c>
    </row>
    <row r="268" spans="1:17" ht="14.4" customHeight="1" x14ac:dyDescent="0.3">
      <c r="A268" s="610" t="s">
        <v>2542</v>
      </c>
      <c r="B268" s="611" t="s">
        <v>2346</v>
      </c>
      <c r="C268" s="611" t="s">
        <v>1782</v>
      </c>
      <c r="D268" s="611" t="s">
        <v>2557</v>
      </c>
      <c r="E268" s="611" t="s">
        <v>2558</v>
      </c>
      <c r="F268" s="614"/>
      <c r="G268" s="614"/>
      <c r="H268" s="614"/>
      <c r="I268" s="614"/>
      <c r="J268" s="614"/>
      <c r="K268" s="614"/>
      <c r="L268" s="614"/>
      <c r="M268" s="614"/>
      <c r="N268" s="614">
        <v>5</v>
      </c>
      <c r="O268" s="614">
        <v>1745</v>
      </c>
      <c r="P268" s="627"/>
      <c r="Q268" s="615">
        <v>349</v>
      </c>
    </row>
    <row r="269" spans="1:17" ht="14.4" customHeight="1" x14ac:dyDescent="0.3">
      <c r="A269" s="610" t="s">
        <v>2542</v>
      </c>
      <c r="B269" s="611" t="s">
        <v>2346</v>
      </c>
      <c r="C269" s="611" t="s">
        <v>1782</v>
      </c>
      <c r="D269" s="611" t="s">
        <v>2049</v>
      </c>
      <c r="E269" s="611" t="s">
        <v>2050</v>
      </c>
      <c r="F269" s="614"/>
      <c r="G269" s="614"/>
      <c r="H269" s="614"/>
      <c r="I269" s="614"/>
      <c r="J269" s="614">
        <v>3</v>
      </c>
      <c r="K269" s="614">
        <v>3783</v>
      </c>
      <c r="L269" s="614"/>
      <c r="M269" s="614">
        <v>1261</v>
      </c>
      <c r="N269" s="614">
        <v>5</v>
      </c>
      <c r="O269" s="614">
        <v>6340</v>
      </c>
      <c r="P269" s="627"/>
      <c r="Q269" s="615">
        <v>1268</v>
      </c>
    </row>
    <row r="270" spans="1:17" ht="14.4" customHeight="1" x14ac:dyDescent="0.3">
      <c r="A270" s="610" t="s">
        <v>2542</v>
      </c>
      <c r="B270" s="611" t="s">
        <v>2346</v>
      </c>
      <c r="C270" s="611" t="s">
        <v>1782</v>
      </c>
      <c r="D270" s="611" t="s">
        <v>2559</v>
      </c>
      <c r="E270" s="611" t="s">
        <v>2560</v>
      </c>
      <c r="F270" s="614"/>
      <c r="G270" s="614"/>
      <c r="H270" s="614"/>
      <c r="I270" s="614"/>
      <c r="J270" s="614"/>
      <c r="K270" s="614"/>
      <c r="L270" s="614"/>
      <c r="M270" s="614"/>
      <c r="N270" s="614">
        <v>1</v>
      </c>
      <c r="O270" s="614">
        <v>39</v>
      </c>
      <c r="P270" s="627"/>
      <c r="Q270" s="615">
        <v>39</v>
      </c>
    </row>
    <row r="271" spans="1:17" ht="14.4" customHeight="1" x14ac:dyDescent="0.3">
      <c r="A271" s="610" t="s">
        <v>2542</v>
      </c>
      <c r="B271" s="611" t="s">
        <v>2346</v>
      </c>
      <c r="C271" s="611" t="s">
        <v>1782</v>
      </c>
      <c r="D271" s="611" t="s">
        <v>2561</v>
      </c>
      <c r="E271" s="611" t="s">
        <v>2562</v>
      </c>
      <c r="F271" s="614"/>
      <c r="G271" s="614"/>
      <c r="H271" s="614"/>
      <c r="I271" s="614"/>
      <c r="J271" s="614">
        <v>1</v>
      </c>
      <c r="K271" s="614">
        <v>5000</v>
      </c>
      <c r="L271" s="614"/>
      <c r="M271" s="614">
        <v>5000</v>
      </c>
      <c r="N271" s="614">
        <v>2</v>
      </c>
      <c r="O271" s="614">
        <v>10006</v>
      </c>
      <c r="P271" s="627"/>
      <c r="Q271" s="615">
        <v>5003</v>
      </c>
    </row>
    <row r="272" spans="1:17" ht="14.4" customHeight="1" x14ac:dyDescent="0.3">
      <c r="A272" s="610" t="s">
        <v>2542</v>
      </c>
      <c r="B272" s="611" t="s">
        <v>2346</v>
      </c>
      <c r="C272" s="611" t="s">
        <v>1782</v>
      </c>
      <c r="D272" s="611" t="s">
        <v>2259</v>
      </c>
      <c r="E272" s="611" t="s">
        <v>2260</v>
      </c>
      <c r="F272" s="614"/>
      <c r="G272" s="614"/>
      <c r="H272" s="614"/>
      <c r="I272" s="614"/>
      <c r="J272" s="614">
        <v>2</v>
      </c>
      <c r="K272" s="614">
        <v>340</v>
      </c>
      <c r="L272" s="614"/>
      <c r="M272" s="614">
        <v>170</v>
      </c>
      <c r="N272" s="614">
        <v>3</v>
      </c>
      <c r="O272" s="614">
        <v>510</v>
      </c>
      <c r="P272" s="627"/>
      <c r="Q272" s="615">
        <v>170</v>
      </c>
    </row>
    <row r="273" spans="1:17" ht="14.4" customHeight="1" x14ac:dyDescent="0.3">
      <c r="A273" s="610" t="s">
        <v>2542</v>
      </c>
      <c r="B273" s="611" t="s">
        <v>2346</v>
      </c>
      <c r="C273" s="611" t="s">
        <v>1782</v>
      </c>
      <c r="D273" s="611" t="s">
        <v>2563</v>
      </c>
      <c r="E273" s="611" t="s">
        <v>2564</v>
      </c>
      <c r="F273" s="614">
        <v>2</v>
      </c>
      <c r="G273" s="614">
        <v>1372</v>
      </c>
      <c r="H273" s="614">
        <v>1</v>
      </c>
      <c r="I273" s="614">
        <v>686</v>
      </c>
      <c r="J273" s="614">
        <v>5</v>
      </c>
      <c r="K273" s="614">
        <v>3433</v>
      </c>
      <c r="L273" s="614">
        <v>2.5021865889212829</v>
      </c>
      <c r="M273" s="614">
        <v>686.6</v>
      </c>
      <c r="N273" s="614">
        <v>8</v>
      </c>
      <c r="O273" s="614">
        <v>5504</v>
      </c>
      <c r="P273" s="627">
        <v>4.0116618075801753</v>
      </c>
      <c r="Q273" s="615">
        <v>688</v>
      </c>
    </row>
    <row r="274" spans="1:17" ht="14.4" customHeight="1" x14ac:dyDescent="0.3">
      <c r="A274" s="610" t="s">
        <v>2542</v>
      </c>
      <c r="B274" s="611" t="s">
        <v>2346</v>
      </c>
      <c r="C274" s="611" t="s">
        <v>1782</v>
      </c>
      <c r="D274" s="611" t="s">
        <v>2565</v>
      </c>
      <c r="E274" s="611" t="s">
        <v>2566</v>
      </c>
      <c r="F274" s="614">
        <v>1</v>
      </c>
      <c r="G274" s="614">
        <v>347</v>
      </c>
      <c r="H274" s="614">
        <v>1</v>
      </c>
      <c r="I274" s="614">
        <v>347</v>
      </c>
      <c r="J274" s="614"/>
      <c r="K274" s="614"/>
      <c r="L274" s="614"/>
      <c r="M274" s="614"/>
      <c r="N274" s="614">
        <v>1</v>
      </c>
      <c r="O274" s="614">
        <v>348</v>
      </c>
      <c r="P274" s="627">
        <v>1.0028818443804035</v>
      </c>
      <c r="Q274" s="615">
        <v>348</v>
      </c>
    </row>
    <row r="275" spans="1:17" ht="14.4" customHeight="1" x14ac:dyDescent="0.3">
      <c r="A275" s="610" t="s">
        <v>2542</v>
      </c>
      <c r="B275" s="611" t="s">
        <v>2346</v>
      </c>
      <c r="C275" s="611" t="s">
        <v>1782</v>
      </c>
      <c r="D275" s="611" t="s">
        <v>2567</v>
      </c>
      <c r="E275" s="611" t="s">
        <v>2568</v>
      </c>
      <c r="F275" s="614"/>
      <c r="G275" s="614"/>
      <c r="H275" s="614"/>
      <c r="I275" s="614"/>
      <c r="J275" s="614">
        <v>1</v>
      </c>
      <c r="K275" s="614">
        <v>173</v>
      </c>
      <c r="L275" s="614"/>
      <c r="M275" s="614">
        <v>173</v>
      </c>
      <c r="N275" s="614">
        <v>1</v>
      </c>
      <c r="O275" s="614">
        <v>173</v>
      </c>
      <c r="P275" s="627"/>
      <c r="Q275" s="615">
        <v>173</v>
      </c>
    </row>
    <row r="276" spans="1:17" ht="14.4" customHeight="1" x14ac:dyDescent="0.3">
      <c r="A276" s="610" t="s">
        <v>2542</v>
      </c>
      <c r="B276" s="611" t="s">
        <v>2346</v>
      </c>
      <c r="C276" s="611" t="s">
        <v>1782</v>
      </c>
      <c r="D276" s="611" t="s">
        <v>2569</v>
      </c>
      <c r="E276" s="611" t="s">
        <v>2570</v>
      </c>
      <c r="F276" s="614">
        <v>2</v>
      </c>
      <c r="G276" s="614">
        <v>1300</v>
      </c>
      <c r="H276" s="614">
        <v>1</v>
      </c>
      <c r="I276" s="614">
        <v>650</v>
      </c>
      <c r="J276" s="614">
        <v>5</v>
      </c>
      <c r="K276" s="614">
        <v>3253</v>
      </c>
      <c r="L276" s="614">
        <v>2.5023076923076921</v>
      </c>
      <c r="M276" s="614">
        <v>650.6</v>
      </c>
      <c r="N276" s="614">
        <v>8</v>
      </c>
      <c r="O276" s="614">
        <v>5216</v>
      </c>
      <c r="P276" s="627">
        <v>4.0123076923076919</v>
      </c>
      <c r="Q276" s="615">
        <v>652</v>
      </c>
    </row>
    <row r="277" spans="1:17" ht="14.4" customHeight="1" x14ac:dyDescent="0.3">
      <c r="A277" s="610" t="s">
        <v>2542</v>
      </c>
      <c r="B277" s="611" t="s">
        <v>2346</v>
      </c>
      <c r="C277" s="611" t="s">
        <v>1782</v>
      </c>
      <c r="D277" s="611" t="s">
        <v>2571</v>
      </c>
      <c r="E277" s="611" t="s">
        <v>2572</v>
      </c>
      <c r="F277" s="614">
        <v>2</v>
      </c>
      <c r="G277" s="614">
        <v>1300</v>
      </c>
      <c r="H277" s="614">
        <v>1</v>
      </c>
      <c r="I277" s="614">
        <v>650</v>
      </c>
      <c r="J277" s="614">
        <v>5</v>
      </c>
      <c r="K277" s="614">
        <v>3253</v>
      </c>
      <c r="L277" s="614">
        <v>2.5023076923076921</v>
      </c>
      <c r="M277" s="614">
        <v>650.6</v>
      </c>
      <c r="N277" s="614">
        <v>8</v>
      </c>
      <c r="O277" s="614">
        <v>5216</v>
      </c>
      <c r="P277" s="627">
        <v>4.0123076923076919</v>
      </c>
      <c r="Q277" s="615">
        <v>652</v>
      </c>
    </row>
    <row r="278" spans="1:17" ht="14.4" customHeight="1" x14ac:dyDescent="0.3">
      <c r="A278" s="610" t="s">
        <v>2542</v>
      </c>
      <c r="B278" s="611" t="s">
        <v>2346</v>
      </c>
      <c r="C278" s="611" t="s">
        <v>1782</v>
      </c>
      <c r="D278" s="611" t="s">
        <v>2058</v>
      </c>
      <c r="E278" s="611" t="s">
        <v>2059</v>
      </c>
      <c r="F278" s="614"/>
      <c r="G278" s="614"/>
      <c r="H278" s="614"/>
      <c r="I278" s="614"/>
      <c r="J278" s="614">
        <v>10</v>
      </c>
      <c r="K278" s="614">
        <v>4300</v>
      </c>
      <c r="L278" s="614"/>
      <c r="M278" s="614">
        <v>430</v>
      </c>
      <c r="N278" s="614">
        <v>20</v>
      </c>
      <c r="O278" s="614">
        <v>8640</v>
      </c>
      <c r="P278" s="627"/>
      <c r="Q278" s="615">
        <v>432</v>
      </c>
    </row>
    <row r="279" spans="1:17" ht="14.4" customHeight="1" x14ac:dyDescent="0.3">
      <c r="A279" s="610" t="s">
        <v>2542</v>
      </c>
      <c r="B279" s="611" t="s">
        <v>2346</v>
      </c>
      <c r="C279" s="611" t="s">
        <v>1782</v>
      </c>
      <c r="D279" s="611" t="s">
        <v>2573</v>
      </c>
      <c r="E279" s="611" t="s">
        <v>2574</v>
      </c>
      <c r="F279" s="614"/>
      <c r="G279" s="614"/>
      <c r="H279" s="614"/>
      <c r="I279" s="614"/>
      <c r="J279" s="614"/>
      <c r="K279" s="614"/>
      <c r="L279" s="614"/>
      <c r="M279" s="614"/>
      <c r="N279" s="614">
        <v>1</v>
      </c>
      <c r="O279" s="614">
        <v>475</v>
      </c>
      <c r="P279" s="627"/>
      <c r="Q279" s="615">
        <v>475</v>
      </c>
    </row>
    <row r="280" spans="1:17" ht="14.4" customHeight="1" x14ac:dyDescent="0.3">
      <c r="A280" s="610" t="s">
        <v>2542</v>
      </c>
      <c r="B280" s="611" t="s">
        <v>2346</v>
      </c>
      <c r="C280" s="611" t="s">
        <v>1782</v>
      </c>
      <c r="D280" s="611" t="s">
        <v>2060</v>
      </c>
      <c r="E280" s="611" t="s">
        <v>2061</v>
      </c>
      <c r="F280" s="614"/>
      <c r="G280" s="614"/>
      <c r="H280" s="614"/>
      <c r="I280" s="614"/>
      <c r="J280" s="614">
        <v>10</v>
      </c>
      <c r="K280" s="614">
        <v>10060</v>
      </c>
      <c r="L280" s="614"/>
      <c r="M280" s="614">
        <v>1006</v>
      </c>
      <c r="N280" s="614">
        <v>20</v>
      </c>
      <c r="O280" s="614">
        <v>20160</v>
      </c>
      <c r="P280" s="627"/>
      <c r="Q280" s="615">
        <v>1008</v>
      </c>
    </row>
    <row r="281" spans="1:17" ht="14.4" customHeight="1" x14ac:dyDescent="0.3">
      <c r="A281" s="610" t="s">
        <v>2542</v>
      </c>
      <c r="B281" s="611" t="s">
        <v>2346</v>
      </c>
      <c r="C281" s="611" t="s">
        <v>1782</v>
      </c>
      <c r="D281" s="611" t="s">
        <v>2575</v>
      </c>
      <c r="E281" s="611" t="s">
        <v>2576</v>
      </c>
      <c r="F281" s="614"/>
      <c r="G281" s="614"/>
      <c r="H281" s="614"/>
      <c r="I281" s="614"/>
      <c r="J281" s="614"/>
      <c r="K281" s="614"/>
      <c r="L281" s="614"/>
      <c r="M281" s="614"/>
      <c r="N281" s="614">
        <v>1</v>
      </c>
      <c r="O281" s="614">
        <v>167</v>
      </c>
      <c r="P281" s="627"/>
      <c r="Q281" s="615">
        <v>167</v>
      </c>
    </row>
    <row r="282" spans="1:17" ht="14.4" customHeight="1" x14ac:dyDescent="0.3">
      <c r="A282" s="610" t="s">
        <v>2542</v>
      </c>
      <c r="B282" s="611" t="s">
        <v>2346</v>
      </c>
      <c r="C282" s="611" t="s">
        <v>1782</v>
      </c>
      <c r="D282" s="611" t="s">
        <v>2577</v>
      </c>
      <c r="E282" s="611" t="s">
        <v>2578</v>
      </c>
      <c r="F282" s="614">
        <v>2</v>
      </c>
      <c r="G282" s="614">
        <v>2790</v>
      </c>
      <c r="H282" s="614">
        <v>1</v>
      </c>
      <c r="I282" s="614">
        <v>1395</v>
      </c>
      <c r="J282" s="614">
        <v>5</v>
      </c>
      <c r="K282" s="614">
        <v>6978</v>
      </c>
      <c r="L282" s="614">
        <v>2.5010752688172042</v>
      </c>
      <c r="M282" s="614">
        <v>1395.6</v>
      </c>
      <c r="N282" s="614">
        <v>8</v>
      </c>
      <c r="O282" s="614">
        <v>11176</v>
      </c>
      <c r="P282" s="627">
        <v>4.00573476702509</v>
      </c>
      <c r="Q282" s="615">
        <v>1397</v>
      </c>
    </row>
    <row r="283" spans="1:17" ht="14.4" customHeight="1" x14ac:dyDescent="0.3">
      <c r="A283" s="610" t="s">
        <v>2542</v>
      </c>
      <c r="B283" s="611" t="s">
        <v>2346</v>
      </c>
      <c r="C283" s="611" t="s">
        <v>1782</v>
      </c>
      <c r="D283" s="611" t="s">
        <v>2579</v>
      </c>
      <c r="E283" s="611" t="s">
        <v>2580</v>
      </c>
      <c r="F283" s="614">
        <v>1</v>
      </c>
      <c r="G283" s="614">
        <v>1016</v>
      </c>
      <c r="H283" s="614">
        <v>1</v>
      </c>
      <c r="I283" s="614">
        <v>1016</v>
      </c>
      <c r="J283" s="614">
        <v>3</v>
      </c>
      <c r="K283" s="614">
        <v>3051</v>
      </c>
      <c r="L283" s="614">
        <v>3.002952755905512</v>
      </c>
      <c r="M283" s="614">
        <v>1017</v>
      </c>
      <c r="N283" s="614">
        <v>4</v>
      </c>
      <c r="O283" s="614">
        <v>4072</v>
      </c>
      <c r="P283" s="627">
        <v>4.0078740157480315</v>
      </c>
      <c r="Q283" s="615">
        <v>1018</v>
      </c>
    </row>
    <row r="284" spans="1:17" ht="14.4" customHeight="1" thickBot="1" x14ac:dyDescent="0.35">
      <c r="A284" s="616" t="s">
        <v>2542</v>
      </c>
      <c r="B284" s="617" t="s">
        <v>2346</v>
      </c>
      <c r="C284" s="617" t="s">
        <v>1782</v>
      </c>
      <c r="D284" s="617" t="s">
        <v>2581</v>
      </c>
      <c r="E284" s="617" t="s">
        <v>2582</v>
      </c>
      <c r="F284" s="620"/>
      <c r="G284" s="620"/>
      <c r="H284" s="620"/>
      <c r="I284" s="620"/>
      <c r="J284" s="620">
        <v>3</v>
      </c>
      <c r="K284" s="620">
        <v>567</v>
      </c>
      <c r="L284" s="620"/>
      <c r="M284" s="620">
        <v>189</v>
      </c>
      <c r="N284" s="620"/>
      <c r="O284" s="620"/>
      <c r="P284" s="628"/>
      <c r="Q284" s="621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7" t="s">
        <v>162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</row>
    <row r="2" spans="1:14" ht="14.4" customHeight="1" thickBot="1" x14ac:dyDescent="0.35">
      <c r="A2" s="360" t="s">
        <v>306</v>
      </c>
      <c r="B2" s="178"/>
      <c r="C2" s="178"/>
      <c r="D2" s="178"/>
      <c r="E2" s="178"/>
      <c r="F2" s="178"/>
      <c r="G2" s="428"/>
      <c r="H2" s="428"/>
      <c r="I2" s="428"/>
      <c r="J2" s="178"/>
      <c r="K2" s="428"/>
      <c r="L2" s="428"/>
      <c r="M2" s="428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8888</v>
      </c>
      <c r="D3" s="182">
        <f>SUBTOTAL(9,D6:D1048576)</f>
        <v>9111</v>
      </c>
      <c r="E3" s="182">
        <f>SUBTOTAL(9,E6:E1048576)</f>
        <v>8999</v>
      </c>
      <c r="F3" s="183">
        <f>IF(OR(E3=0,C3=0),"",E3/C3)</f>
        <v>1.0124887488748875</v>
      </c>
      <c r="G3" s="429">
        <f>SUBTOTAL(9,G6:G1048576)</f>
        <v>39573.978600000002</v>
      </c>
      <c r="H3" s="430">
        <f>SUBTOTAL(9,H6:H1048576)</f>
        <v>36742.429400000001</v>
      </c>
      <c r="I3" s="430">
        <f>SUBTOTAL(9,I6:I1048576)</f>
        <v>38719.179800000005</v>
      </c>
      <c r="J3" s="183">
        <f>IF(OR(I3=0,G3=0),"",I3/G3)</f>
        <v>0.97839997821194569</v>
      </c>
      <c r="K3" s="429">
        <f>SUBTOTAL(9,K6:K1048576)</f>
        <v>9524.2200000000012</v>
      </c>
      <c r="L3" s="430">
        <f>SUBTOTAL(9,L6:L1048576)</f>
        <v>8690.52</v>
      </c>
      <c r="M3" s="430">
        <f>SUBTOTAL(9,M6:M1048576)</f>
        <v>9109.76</v>
      </c>
      <c r="N3" s="184">
        <f>IF(OR(M3=0,E3=0),"",M3/E3)</f>
        <v>1.0123080342260251</v>
      </c>
    </row>
    <row r="4" spans="1:14" ht="14.4" customHeight="1" x14ac:dyDescent="0.3">
      <c r="A4" s="559" t="s">
        <v>77</v>
      </c>
      <c r="B4" s="560" t="s">
        <v>11</v>
      </c>
      <c r="C4" s="561" t="s">
        <v>78</v>
      </c>
      <c r="D4" s="561"/>
      <c r="E4" s="561"/>
      <c r="F4" s="562"/>
      <c r="G4" s="563" t="s">
        <v>14</v>
      </c>
      <c r="H4" s="561"/>
      <c r="I4" s="561"/>
      <c r="J4" s="562"/>
      <c r="K4" s="563" t="s">
        <v>79</v>
      </c>
      <c r="L4" s="561"/>
      <c r="M4" s="561"/>
      <c r="N4" s="564"/>
    </row>
    <row r="5" spans="1:14" ht="14.4" customHeight="1" thickBot="1" x14ac:dyDescent="0.35">
      <c r="A5" s="797"/>
      <c r="B5" s="798"/>
      <c r="C5" s="805">
        <v>2013</v>
      </c>
      <c r="D5" s="805">
        <v>2014</v>
      </c>
      <c r="E5" s="805">
        <v>2015</v>
      </c>
      <c r="F5" s="806" t="s">
        <v>2</v>
      </c>
      <c r="G5" s="816">
        <v>2013</v>
      </c>
      <c r="H5" s="805">
        <v>2014</v>
      </c>
      <c r="I5" s="805">
        <v>2015</v>
      </c>
      <c r="J5" s="806" t="s">
        <v>2</v>
      </c>
      <c r="K5" s="816">
        <v>2013</v>
      </c>
      <c r="L5" s="805">
        <v>2014</v>
      </c>
      <c r="M5" s="805">
        <v>2015</v>
      </c>
      <c r="N5" s="817" t="s">
        <v>80</v>
      </c>
    </row>
    <row r="6" spans="1:14" ht="14.4" customHeight="1" x14ac:dyDescent="0.3">
      <c r="A6" s="799" t="s">
        <v>1844</v>
      </c>
      <c r="B6" s="802" t="s">
        <v>2584</v>
      </c>
      <c r="C6" s="807">
        <v>5749</v>
      </c>
      <c r="D6" s="808">
        <v>5910</v>
      </c>
      <c r="E6" s="808">
        <v>5879</v>
      </c>
      <c r="F6" s="813">
        <v>1.0226126282831798</v>
      </c>
      <c r="G6" s="807">
        <v>4909.7937000000002</v>
      </c>
      <c r="H6" s="808">
        <v>4898.1686000000009</v>
      </c>
      <c r="I6" s="808">
        <v>5023.1519000000017</v>
      </c>
      <c r="J6" s="813">
        <v>1.0230881798557039</v>
      </c>
      <c r="K6" s="807">
        <v>344.94</v>
      </c>
      <c r="L6" s="808">
        <v>354.6</v>
      </c>
      <c r="M6" s="808">
        <v>352.74</v>
      </c>
      <c r="N6" s="818">
        <v>60</v>
      </c>
    </row>
    <row r="7" spans="1:14" ht="14.4" customHeight="1" x14ac:dyDescent="0.3">
      <c r="A7" s="800" t="s">
        <v>1818</v>
      </c>
      <c r="B7" s="803" t="s">
        <v>2584</v>
      </c>
      <c r="C7" s="809">
        <v>388</v>
      </c>
      <c r="D7" s="810">
        <v>532</v>
      </c>
      <c r="E7" s="810">
        <v>417</v>
      </c>
      <c r="F7" s="814">
        <v>1.0747422680412371</v>
      </c>
      <c r="G7" s="809">
        <v>60.411600000000021</v>
      </c>
      <c r="H7" s="810">
        <v>81.524699999999996</v>
      </c>
      <c r="I7" s="810">
        <v>66.428099999999986</v>
      </c>
      <c r="J7" s="814">
        <v>1.0995918002502825</v>
      </c>
      <c r="K7" s="809">
        <v>23.28</v>
      </c>
      <c r="L7" s="810">
        <v>31.92</v>
      </c>
      <c r="M7" s="810">
        <v>25.02</v>
      </c>
      <c r="N7" s="819">
        <v>60</v>
      </c>
    </row>
    <row r="8" spans="1:14" ht="14.4" customHeight="1" x14ac:dyDescent="0.3">
      <c r="A8" s="800" t="s">
        <v>1890</v>
      </c>
      <c r="B8" s="803" t="s">
        <v>2585</v>
      </c>
      <c r="C8" s="809">
        <v>241</v>
      </c>
      <c r="D8" s="810">
        <v>155</v>
      </c>
      <c r="E8" s="810">
        <v>240</v>
      </c>
      <c r="F8" s="814">
        <v>0.99585062240663902</v>
      </c>
      <c r="G8" s="809">
        <v>6282.4490999999998</v>
      </c>
      <c r="H8" s="810">
        <v>4040.6174999999998</v>
      </c>
      <c r="I8" s="810">
        <v>6256.44</v>
      </c>
      <c r="J8" s="814">
        <v>0.99586003808610235</v>
      </c>
      <c r="K8" s="809">
        <v>1928</v>
      </c>
      <c r="L8" s="810">
        <v>1240</v>
      </c>
      <c r="M8" s="810">
        <v>1920</v>
      </c>
      <c r="N8" s="819">
        <v>8000</v>
      </c>
    </row>
    <row r="9" spans="1:14" ht="14.4" customHeight="1" x14ac:dyDescent="0.3">
      <c r="A9" s="800" t="s">
        <v>1908</v>
      </c>
      <c r="B9" s="803" t="s">
        <v>2585</v>
      </c>
      <c r="C9" s="809">
        <v>658</v>
      </c>
      <c r="D9" s="810">
        <v>676</v>
      </c>
      <c r="E9" s="810">
        <v>682</v>
      </c>
      <c r="F9" s="814">
        <v>1.0364741641337385</v>
      </c>
      <c r="G9" s="809">
        <v>14647.831199999999</v>
      </c>
      <c r="H9" s="810">
        <v>14915.205</v>
      </c>
      <c r="I9" s="810">
        <v>15182.343000000001</v>
      </c>
      <c r="J9" s="814">
        <v>1.0364908492391693</v>
      </c>
      <c r="K9" s="809">
        <v>3948</v>
      </c>
      <c r="L9" s="810">
        <v>4056</v>
      </c>
      <c r="M9" s="810">
        <v>4092</v>
      </c>
      <c r="N9" s="819">
        <v>6000</v>
      </c>
    </row>
    <row r="10" spans="1:14" ht="14.4" customHeight="1" x14ac:dyDescent="0.3">
      <c r="A10" s="800" t="s">
        <v>1892</v>
      </c>
      <c r="B10" s="803" t="s">
        <v>2585</v>
      </c>
      <c r="C10" s="809">
        <v>476</v>
      </c>
      <c r="D10" s="810">
        <v>390</v>
      </c>
      <c r="E10" s="810">
        <v>313</v>
      </c>
      <c r="F10" s="814">
        <v>0.65756302521008403</v>
      </c>
      <c r="G10" s="809">
        <v>5856.9317999999985</v>
      </c>
      <c r="H10" s="810">
        <v>4774.2623999999987</v>
      </c>
      <c r="I10" s="810">
        <v>3851.4024000000009</v>
      </c>
      <c r="J10" s="814">
        <v>0.65758020265832728</v>
      </c>
      <c r="K10" s="809">
        <v>1904</v>
      </c>
      <c r="L10" s="810">
        <v>1560</v>
      </c>
      <c r="M10" s="810">
        <v>1252</v>
      </c>
      <c r="N10" s="819">
        <v>4000</v>
      </c>
    </row>
    <row r="11" spans="1:14" ht="14.4" customHeight="1" thickBot="1" x14ac:dyDescent="0.35">
      <c r="A11" s="801" t="s">
        <v>1906</v>
      </c>
      <c r="B11" s="804" t="s">
        <v>2585</v>
      </c>
      <c r="C11" s="811">
        <v>1376</v>
      </c>
      <c r="D11" s="812">
        <v>1448</v>
      </c>
      <c r="E11" s="812">
        <v>1468</v>
      </c>
      <c r="F11" s="815">
        <v>1.066860465116279</v>
      </c>
      <c r="G11" s="811">
        <v>7816.5612000000028</v>
      </c>
      <c r="H11" s="812">
        <v>8032.6512000000012</v>
      </c>
      <c r="I11" s="812">
        <v>8339.4143999999997</v>
      </c>
      <c r="J11" s="815">
        <v>1.0668904377029629</v>
      </c>
      <c r="K11" s="811">
        <v>1376</v>
      </c>
      <c r="L11" s="812">
        <v>1448</v>
      </c>
      <c r="M11" s="812">
        <v>1468</v>
      </c>
      <c r="N11" s="820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1" t="s">
        <v>157</v>
      </c>
      <c r="B1" s="451"/>
      <c r="C1" s="451"/>
      <c r="D1" s="451"/>
      <c r="E1" s="451"/>
      <c r="F1" s="451"/>
      <c r="G1" s="452"/>
      <c r="H1" s="452"/>
    </row>
    <row r="2" spans="1:8" ht="14.4" customHeight="1" thickBot="1" x14ac:dyDescent="0.35">
      <c r="A2" s="360" t="s">
        <v>306</v>
      </c>
      <c r="B2" s="208"/>
      <c r="C2" s="208"/>
      <c r="D2" s="208"/>
      <c r="E2" s="208"/>
      <c r="F2" s="208"/>
    </row>
    <row r="3" spans="1:8" ht="14.4" customHeight="1" x14ac:dyDescent="0.3">
      <c r="A3" s="453"/>
      <c r="B3" s="204">
        <v>2013</v>
      </c>
      <c r="C3" s="44">
        <v>2014</v>
      </c>
      <c r="D3" s="11"/>
      <c r="E3" s="457">
        <v>2015</v>
      </c>
      <c r="F3" s="458"/>
      <c r="G3" s="458"/>
      <c r="H3" s="459"/>
    </row>
    <row r="4" spans="1:8" ht="14.4" customHeight="1" thickBot="1" x14ac:dyDescent="0.35">
      <c r="A4" s="454"/>
      <c r="B4" s="455" t="s">
        <v>81</v>
      </c>
      <c r="C4" s="456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1627.9293999999998</v>
      </c>
      <c r="C5" s="33">
        <v>1450.12896</v>
      </c>
      <c r="D5" s="12"/>
      <c r="E5" s="214">
        <v>1521.8170299999999</v>
      </c>
      <c r="F5" s="32">
        <v>1502.4138596200837</v>
      </c>
      <c r="G5" s="213">
        <f>E5-F5</f>
        <v>19.403170379916219</v>
      </c>
      <c r="H5" s="219">
        <f>IF(F5&lt;0.00000001,"",E5/F5)</f>
        <v>1.012914664129112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1989.1375999999989</v>
      </c>
      <c r="C6" s="35">
        <v>2023.5475700000011</v>
      </c>
      <c r="D6" s="12"/>
      <c r="E6" s="215">
        <v>2853.5839300000011</v>
      </c>
      <c r="F6" s="34">
        <v>2541.8720144967824</v>
      </c>
      <c r="G6" s="216">
        <f>E6-F6</f>
        <v>311.71191550321873</v>
      </c>
      <c r="H6" s="220">
        <f>IF(F6&lt;0.00000001,"",E6/F6)</f>
        <v>1.1226308459770855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23383.44341</v>
      </c>
      <c r="C7" s="35">
        <v>23389.134100000017</v>
      </c>
      <c r="D7" s="12"/>
      <c r="E7" s="215">
        <v>26248.992400000003</v>
      </c>
      <c r="F7" s="34">
        <v>23745.749286994607</v>
      </c>
      <c r="G7" s="216">
        <f>E7-F7</f>
        <v>2503.2431130053956</v>
      </c>
      <c r="H7" s="220">
        <f>IF(F7&lt;0.00000001,"",E7/F7)</f>
        <v>1.105418577563118</v>
      </c>
    </row>
    <row r="8" spans="1:8" ht="14.4" customHeight="1" thickBot="1" x14ac:dyDescent="0.35">
      <c r="A8" s="1" t="s">
        <v>84</v>
      </c>
      <c r="B8" s="15">
        <v>5376.6646800000017</v>
      </c>
      <c r="C8" s="37">
        <v>5198.5244300000049</v>
      </c>
      <c r="D8" s="12"/>
      <c r="E8" s="217">
        <v>5377.9930800000129</v>
      </c>
      <c r="F8" s="36">
        <v>4945.435243804468</v>
      </c>
      <c r="G8" s="218">
        <f>E8-F8</f>
        <v>432.55783619554495</v>
      </c>
      <c r="H8" s="221">
        <f>IF(F8&lt;0.00000001,"",E8/F8)</f>
        <v>1.0874660803085925</v>
      </c>
    </row>
    <row r="9" spans="1:8" ht="14.4" customHeight="1" thickBot="1" x14ac:dyDescent="0.35">
      <c r="A9" s="2" t="s">
        <v>85</v>
      </c>
      <c r="B9" s="3">
        <v>32377.175090000001</v>
      </c>
      <c r="C9" s="39">
        <v>32061.335060000023</v>
      </c>
      <c r="D9" s="12"/>
      <c r="E9" s="3">
        <v>36002.386440000017</v>
      </c>
      <c r="F9" s="38">
        <v>32735.470404915941</v>
      </c>
      <c r="G9" s="38">
        <f>E9-F9</f>
        <v>3266.9160350840757</v>
      </c>
      <c r="H9" s="222">
        <f>IF(F9&lt;0.00000001,"",E9/F9)</f>
        <v>1.0997974366848713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34672.800000000003</v>
      </c>
      <c r="C12" s="37">
        <f>IF(ISERROR(VLOOKUP("Celkem",CaseMix!A:D,3,0)),0,VLOOKUP("Celkem",CaseMix!A:D,3,0)*30)</f>
        <v>35269.020000000004</v>
      </c>
      <c r="D12" s="12"/>
      <c r="E12" s="217">
        <f>IF(ISERROR(VLOOKUP("Celkem",CaseMix!A:D,4,0)),0,VLOOKUP("Celkem",CaseMix!A:D,4,0)*30)</f>
        <v>41790.39</v>
      </c>
      <c r="F12" s="36">
        <f>B12</f>
        <v>34672.800000000003</v>
      </c>
      <c r="G12" s="218">
        <f>E12-F12</f>
        <v>7117.5899999999965</v>
      </c>
      <c r="H12" s="221">
        <f>IF(F12&lt;0.00000001,"",E12/F12)</f>
        <v>1.205278777600886</v>
      </c>
    </row>
    <row r="13" spans="1:8" ht="14.4" customHeight="1" thickBot="1" x14ac:dyDescent="0.35">
      <c r="A13" s="4" t="s">
        <v>88</v>
      </c>
      <c r="B13" s="9">
        <f>SUM(B11:B12)</f>
        <v>34672.800000000003</v>
      </c>
      <c r="C13" s="41">
        <f>SUM(C11:C12)</f>
        <v>35269.020000000004</v>
      </c>
      <c r="D13" s="12"/>
      <c r="E13" s="9">
        <f>SUM(E11:E12)</f>
        <v>41790.39</v>
      </c>
      <c r="F13" s="40">
        <f>SUM(F11:F12)</f>
        <v>34672.800000000003</v>
      </c>
      <c r="G13" s="40">
        <f>E13-F13</f>
        <v>7117.5899999999965</v>
      </c>
      <c r="H13" s="223">
        <f>IF(F13&lt;0.00000001,"",E13/F13)</f>
        <v>1.205278777600886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1.0709025695916574</v>
      </c>
      <c r="C15" s="43">
        <f>IF(C9=0,"",C13/C9)</f>
        <v>1.1000483895632254</v>
      </c>
      <c r="D15" s="12"/>
      <c r="E15" s="10">
        <f>IF(E9=0,"",E13/E9)</f>
        <v>1.1607672194076917</v>
      </c>
      <c r="F15" s="42">
        <f>IF(F9=0,"",F13/F9)</f>
        <v>1.0591813580535299</v>
      </c>
      <c r="G15" s="42">
        <f>IF(ISERROR(F15-E15),"",E15-F15)</f>
        <v>0.10158586135416181</v>
      </c>
      <c r="H15" s="224">
        <f>IF(ISERROR(F15-E15),"",IF(F15&lt;0.00000001,"",E15/F15))</f>
        <v>1.0959097897463446</v>
      </c>
    </row>
    <row r="17" spans="1:8" ht="14.4" customHeight="1" x14ac:dyDescent="0.3">
      <c r="A17" s="210" t="s">
        <v>177</v>
      </c>
    </row>
    <row r="18" spans="1:8" ht="14.4" customHeight="1" x14ac:dyDescent="0.3">
      <c r="A18" s="413" t="s">
        <v>222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221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11" t="s">
        <v>279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1" t="s">
        <v>115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14.4" customHeight="1" x14ac:dyDescent="0.3">
      <c r="A2" s="360" t="s">
        <v>306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09"/>
      <c r="B3" s="310" t="s">
        <v>90</v>
      </c>
      <c r="C3" s="311" t="s">
        <v>91</v>
      </c>
      <c r="D3" s="311" t="s">
        <v>92</v>
      </c>
      <c r="E3" s="310" t="s">
        <v>93</v>
      </c>
      <c r="F3" s="311" t="s">
        <v>94</v>
      </c>
      <c r="G3" s="311" t="s">
        <v>95</v>
      </c>
      <c r="H3" s="311" t="s">
        <v>96</v>
      </c>
      <c r="I3" s="311" t="s">
        <v>97</v>
      </c>
      <c r="J3" s="311" t="s">
        <v>98</v>
      </c>
      <c r="K3" s="311" t="s">
        <v>99</v>
      </c>
      <c r="L3" s="311" t="s">
        <v>100</v>
      </c>
      <c r="M3" s="311" t="s">
        <v>101</v>
      </c>
    </row>
    <row r="4" spans="1:13" ht="14.4" customHeight="1" x14ac:dyDescent="0.3">
      <c r="A4" s="309" t="s">
        <v>89</v>
      </c>
      <c r="B4" s="312">
        <f>(B10+B8)/B6</f>
        <v>1.1142415197625994</v>
      </c>
      <c r="C4" s="312">
        <f t="shared" ref="C4:M4" si="0">(C10+C8)/C6</f>
        <v>1.1971396465184583</v>
      </c>
      <c r="D4" s="312">
        <f t="shared" si="0"/>
        <v>1.131464010287512</v>
      </c>
      <c r="E4" s="312">
        <f t="shared" si="0"/>
        <v>1.0871502706334091</v>
      </c>
      <c r="F4" s="312">
        <f t="shared" si="0"/>
        <v>1.1108344456611792</v>
      </c>
      <c r="G4" s="312">
        <f t="shared" si="0"/>
        <v>1.2066568756800216</v>
      </c>
      <c r="H4" s="312">
        <f t="shared" si="0"/>
        <v>1.1607672194076917</v>
      </c>
      <c r="I4" s="312">
        <f t="shared" si="0"/>
        <v>0</v>
      </c>
      <c r="J4" s="312">
        <f t="shared" si="0"/>
        <v>0</v>
      </c>
      <c r="K4" s="312">
        <f t="shared" si="0"/>
        <v>0</v>
      </c>
      <c r="L4" s="312">
        <f t="shared" si="0"/>
        <v>0</v>
      </c>
      <c r="M4" s="312">
        <f t="shared" si="0"/>
        <v>0</v>
      </c>
    </row>
    <row r="5" spans="1:13" ht="14.4" customHeight="1" x14ac:dyDescent="0.3">
      <c r="A5" s="313" t="s">
        <v>40</v>
      </c>
      <c r="B5" s="312">
        <f>IF(ISERROR(VLOOKUP($A5,'Man Tab'!$A:$Q,COLUMN()+2,0)),0,VLOOKUP($A5,'Man Tab'!$A:$Q,COLUMN()+2,0))</f>
        <v>4450.4803599999996</v>
      </c>
      <c r="C5" s="312">
        <f>IF(ISERROR(VLOOKUP($A5,'Man Tab'!$A:$Q,COLUMN()+2,0)),0,VLOOKUP($A5,'Man Tab'!$A:$Q,COLUMN()+2,0))</f>
        <v>4665.6992200000104</v>
      </c>
      <c r="D5" s="312">
        <f>IF(ISERROR(VLOOKUP($A5,'Man Tab'!$A:$Q,COLUMN()+2,0)),0,VLOOKUP($A5,'Man Tab'!$A:$Q,COLUMN()+2,0))</f>
        <v>5041.2481900000002</v>
      </c>
      <c r="E5" s="312">
        <f>IF(ISERROR(VLOOKUP($A5,'Man Tab'!$A:$Q,COLUMN()+2,0)),0,VLOOKUP($A5,'Man Tab'!$A:$Q,COLUMN()+2,0))</f>
        <v>5246.32953</v>
      </c>
      <c r="F5" s="312">
        <f>IF(ISERROR(VLOOKUP($A5,'Man Tab'!$A:$Q,COLUMN()+2,0)),0,VLOOKUP($A5,'Man Tab'!$A:$Q,COLUMN()+2,0))</f>
        <v>5231.2907999999998</v>
      </c>
      <c r="G5" s="312">
        <f>IF(ISERROR(VLOOKUP($A5,'Man Tab'!$A:$Q,COLUMN()+2,0)),0,VLOOKUP($A5,'Man Tab'!$A:$Q,COLUMN()+2,0))</f>
        <v>4983.3220600000004</v>
      </c>
      <c r="H5" s="312">
        <f>IF(ISERROR(VLOOKUP($A5,'Man Tab'!$A:$Q,COLUMN()+2,0)),0,VLOOKUP($A5,'Man Tab'!$A:$Q,COLUMN()+2,0))</f>
        <v>6384.0162799999998</v>
      </c>
      <c r="I5" s="312">
        <f>IF(ISERROR(VLOOKUP($A5,'Man Tab'!$A:$Q,COLUMN()+2,0)),0,VLOOKUP($A5,'Man Tab'!$A:$Q,COLUMN()+2,0))</f>
        <v>0</v>
      </c>
      <c r="J5" s="312">
        <f>IF(ISERROR(VLOOKUP($A5,'Man Tab'!$A:$Q,COLUMN()+2,0)),0,VLOOKUP($A5,'Man Tab'!$A:$Q,COLUMN()+2,0))</f>
        <v>0</v>
      </c>
      <c r="K5" s="312">
        <f>IF(ISERROR(VLOOKUP($A5,'Man Tab'!$A:$Q,COLUMN()+2,0)),0,VLOOKUP($A5,'Man Tab'!$A:$Q,COLUMN()+2,0))</f>
        <v>0</v>
      </c>
      <c r="L5" s="312">
        <f>IF(ISERROR(VLOOKUP($A5,'Man Tab'!$A:$Q,COLUMN()+2,0)),0,VLOOKUP($A5,'Man Tab'!$A:$Q,COLUMN()+2,0))</f>
        <v>0</v>
      </c>
      <c r="M5" s="312">
        <f>IF(ISERROR(VLOOKUP($A5,'Man Tab'!$A:$Q,COLUMN()+2,0)),0,VLOOKUP($A5,'Man Tab'!$A:$Q,COLUMN()+2,0))</f>
        <v>0</v>
      </c>
    </row>
    <row r="6" spans="1:13" ht="14.4" customHeight="1" x14ac:dyDescent="0.3">
      <c r="A6" s="313" t="s">
        <v>85</v>
      </c>
      <c r="B6" s="314">
        <f>B5</f>
        <v>4450.4803599999996</v>
      </c>
      <c r="C6" s="314">
        <f t="shared" ref="C6:M6" si="1">C5+B6</f>
        <v>9116.1795800000109</v>
      </c>
      <c r="D6" s="314">
        <f t="shared" si="1"/>
        <v>14157.427770000011</v>
      </c>
      <c r="E6" s="314">
        <f t="shared" si="1"/>
        <v>19403.757300000012</v>
      </c>
      <c r="F6" s="314">
        <f t="shared" si="1"/>
        <v>24635.048100000011</v>
      </c>
      <c r="G6" s="314">
        <f t="shared" si="1"/>
        <v>29618.370160000013</v>
      </c>
      <c r="H6" s="314">
        <f t="shared" si="1"/>
        <v>36002.386440000017</v>
      </c>
      <c r="I6" s="314">
        <f t="shared" si="1"/>
        <v>36002.386440000017</v>
      </c>
      <c r="J6" s="314">
        <f t="shared" si="1"/>
        <v>36002.386440000017</v>
      </c>
      <c r="K6" s="314">
        <f t="shared" si="1"/>
        <v>36002.386440000017</v>
      </c>
      <c r="L6" s="314">
        <f t="shared" si="1"/>
        <v>36002.386440000017</v>
      </c>
      <c r="M6" s="314">
        <f t="shared" si="1"/>
        <v>36002.386440000017</v>
      </c>
    </row>
    <row r="7" spans="1:13" ht="14.4" customHeight="1" x14ac:dyDescent="0.3">
      <c r="A7" s="313" t="s">
        <v>113</v>
      </c>
      <c r="B7" s="313">
        <v>165.297</v>
      </c>
      <c r="C7" s="313">
        <v>363.77800000000002</v>
      </c>
      <c r="D7" s="313">
        <v>533.95399999999995</v>
      </c>
      <c r="E7" s="313">
        <v>703.16</v>
      </c>
      <c r="F7" s="313">
        <v>912.18200000000002</v>
      </c>
      <c r="G7" s="313">
        <v>1191.307</v>
      </c>
      <c r="H7" s="313">
        <v>1393.0129999999999</v>
      </c>
      <c r="I7" s="313"/>
      <c r="J7" s="313"/>
      <c r="K7" s="313"/>
      <c r="L7" s="313"/>
      <c r="M7" s="313"/>
    </row>
    <row r="8" spans="1:13" ht="14.4" customHeight="1" x14ac:dyDescent="0.3">
      <c r="A8" s="313" t="s">
        <v>86</v>
      </c>
      <c r="B8" s="314">
        <f>B7*30</f>
        <v>4958.91</v>
      </c>
      <c r="C8" s="314">
        <f t="shared" ref="C8:M8" si="2">C7*30</f>
        <v>10913.34</v>
      </c>
      <c r="D8" s="314">
        <f t="shared" si="2"/>
        <v>16018.619999999999</v>
      </c>
      <c r="E8" s="314">
        <f t="shared" si="2"/>
        <v>21094.799999999999</v>
      </c>
      <c r="F8" s="314">
        <f t="shared" si="2"/>
        <v>27365.46</v>
      </c>
      <c r="G8" s="314">
        <f t="shared" si="2"/>
        <v>35739.21</v>
      </c>
      <c r="H8" s="314">
        <f t="shared" si="2"/>
        <v>41790.39</v>
      </c>
      <c r="I8" s="314">
        <f t="shared" si="2"/>
        <v>0</v>
      </c>
      <c r="J8" s="314">
        <f t="shared" si="2"/>
        <v>0</v>
      </c>
      <c r="K8" s="314">
        <f t="shared" si="2"/>
        <v>0</v>
      </c>
      <c r="L8" s="314">
        <f t="shared" si="2"/>
        <v>0</v>
      </c>
      <c r="M8" s="314">
        <f t="shared" si="2"/>
        <v>0</v>
      </c>
    </row>
    <row r="9" spans="1:13" ht="14.4" customHeight="1" x14ac:dyDescent="0.3">
      <c r="A9" s="313" t="s">
        <v>114</v>
      </c>
      <c r="B9" s="313">
        <v>0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0</v>
      </c>
    </row>
    <row r="10" spans="1:13" ht="14.4" customHeight="1" x14ac:dyDescent="0.3">
      <c r="A10" s="313" t="s">
        <v>87</v>
      </c>
      <c r="B10" s="314">
        <f>B9/1000</f>
        <v>0</v>
      </c>
      <c r="C10" s="314">
        <f t="shared" ref="C10:M10" si="3">C9/1000+B10</f>
        <v>0</v>
      </c>
      <c r="D10" s="314">
        <f t="shared" si="3"/>
        <v>0</v>
      </c>
      <c r="E10" s="314">
        <f t="shared" si="3"/>
        <v>0</v>
      </c>
      <c r="F10" s="314">
        <f t="shared" si="3"/>
        <v>0</v>
      </c>
      <c r="G10" s="314">
        <f t="shared" si="3"/>
        <v>0</v>
      </c>
      <c r="H10" s="314">
        <f t="shared" si="3"/>
        <v>0</v>
      </c>
      <c r="I10" s="314">
        <f t="shared" si="3"/>
        <v>0</v>
      </c>
      <c r="J10" s="314">
        <f t="shared" si="3"/>
        <v>0</v>
      </c>
      <c r="K10" s="314">
        <f t="shared" si="3"/>
        <v>0</v>
      </c>
      <c r="L10" s="314">
        <f t="shared" si="3"/>
        <v>0</v>
      </c>
      <c r="M10" s="314">
        <f t="shared" si="3"/>
        <v>0</v>
      </c>
    </row>
    <row r="11" spans="1:13" ht="14.4" customHeight="1" x14ac:dyDescent="0.3">
      <c r="A11" s="309"/>
      <c r="B11" s="309" t="s">
        <v>103</v>
      </c>
      <c r="C11" s="309">
        <f ca="1">IF(MONTH(TODAY())=1,12,MONTH(TODAY())-1)</f>
        <v>7</v>
      </c>
      <c r="D11" s="309"/>
      <c r="E11" s="309"/>
      <c r="F11" s="309"/>
      <c r="G11" s="309"/>
      <c r="H11" s="309"/>
      <c r="I11" s="309"/>
      <c r="J11" s="309"/>
      <c r="K11" s="309"/>
      <c r="L11" s="309"/>
      <c r="M11" s="309"/>
    </row>
    <row r="12" spans="1:13" ht="14.4" customHeight="1" x14ac:dyDescent="0.3">
      <c r="A12" s="309">
        <v>0</v>
      </c>
      <c r="B12" s="312">
        <f>IF(ISERROR(HI!F15),#REF!,HI!F15)</f>
        <v>1.0591813580535299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</row>
    <row r="13" spans="1:13" ht="14.4" customHeight="1" x14ac:dyDescent="0.3">
      <c r="A13" s="309">
        <v>1</v>
      </c>
      <c r="B13" s="312">
        <f>IF(ISERROR(HI!F15),#REF!,HI!F15)</f>
        <v>1.0591813580535299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5" customFormat="1" ht="18.600000000000001" customHeight="1" thickBot="1" x14ac:dyDescent="0.4">
      <c r="A1" s="460" t="s">
        <v>308</v>
      </c>
      <c r="B1" s="460"/>
      <c r="C1" s="460"/>
      <c r="D1" s="460"/>
      <c r="E1" s="460"/>
      <c r="F1" s="460"/>
      <c r="G1" s="460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17" s="315" customFormat="1" ht="14.4" customHeight="1" thickBot="1" x14ac:dyDescent="0.3">
      <c r="A2" s="360" t="s">
        <v>306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ht="14.4" customHeight="1" x14ac:dyDescent="0.3">
      <c r="A3" s="92"/>
      <c r="B3" s="461" t="s">
        <v>16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247"/>
      <c r="Q3" s="249"/>
    </row>
    <row r="4" spans="1:17" ht="14.4" customHeight="1" x14ac:dyDescent="0.3">
      <c r="A4" s="93"/>
      <c r="B4" s="24">
        <v>2015</v>
      </c>
      <c r="C4" s="248" t="s">
        <v>17</v>
      </c>
      <c r="D4" s="226" t="s">
        <v>280</v>
      </c>
      <c r="E4" s="226" t="s">
        <v>281</v>
      </c>
      <c r="F4" s="226" t="s">
        <v>282</v>
      </c>
      <c r="G4" s="226" t="s">
        <v>283</v>
      </c>
      <c r="H4" s="226" t="s">
        <v>284</v>
      </c>
      <c r="I4" s="226" t="s">
        <v>285</v>
      </c>
      <c r="J4" s="226" t="s">
        <v>286</v>
      </c>
      <c r="K4" s="226" t="s">
        <v>287</v>
      </c>
      <c r="L4" s="226" t="s">
        <v>288</v>
      </c>
      <c r="M4" s="226" t="s">
        <v>289</v>
      </c>
      <c r="N4" s="226" t="s">
        <v>290</v>
      </c>
      <c r="O4" s="226" t="s">
        <v>291</v>
      </c>
      <c r="P4" s="463" t="s">
        <v>3</v>
      </c>
      <c r="Q4" s="464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307</v>
      </c>
    </row>
    <row r="7" spans="1:17" ht="14.4" customHeight="1" x14ac:dyDescent="0.3">
      <c r="A7" s="19" t="s">
        <v>22</v>
      </c>
      <c r="B7" s="55">
        <v>2575.5666164915701</v>
      </c>
      <c r="C7" s="56">
        <v>214.63055137429799</v>
      </c>
      <c r="D7" s="56">
        <v>140.37857</v>
      </c>
      <c r="E7" s="56">
        <v>218.02950000000101</v>
      </c>
      <c r="F7" s="56">
        <v>251.41833</v>
      </c>
      <c r="G7" s="56">
        <v>326.19585999999998</v>
      </c>
      <c r="H7" s="56">
        <v>183.16876999999999</v>
      </c>
      <c r="I7" s="56">
        <v>210.98495</v>
      </c>
      <c r="J7" s="56">
        <v>191.64105000000001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1521.8170299999999</v>
      </c>
      <c r="Q7" s="174">
        <v>1.0129146641290001</v>
      </c>
    </row>
    <row r="8" spans="1:17" ht="14.4" customHeight="1" x14ac:dyDescent="0.3">
      <c r="A8" s="19" t="s">
        <v>23</v>
      </c>
      <c r="B8" s="55">
        <v>329.06808144206298</v>
      </c>
      <c r="C8" s="56">
        <v>27.422340120171</v>
      </c>
      <c r="D8" s="56">
        <v>11.711</v>
      </c>
      <c r="E8" s="56">
        <v>17.672000000000001</v>
      </c>
      <c r="F8" s="56">
        <v>29.382999999999999</v>
      </c>
      <c r="G8" s="56">
        <v>59.136000000000003</v>
      </c>
      <c r="H8" s="56">
        <v>24.11</v>
      </c>
      <c r="I8" s="56">
        <v>23.422999999999998</v>
      </c>
      <c r="J8" s="56">
        <v>12.182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177.61699999999999</v>
      </c>
      <c r="Q8" s="174">
        <v>0.92529875392299998</v>
      </c>
    </row>
    <row r="9" spans="1:17" ht="14.4" customHeight="1" x14ac:dyDescent="0.3">
      <c r="A9" s="19" t="s">
        <v>24</v>
      </c>
      <c r="B9" s="55">
        <v>4357.4948819944902</v>
      </c>
      <c r="C9" s="56">
        <v>363.12457349954099</v>
      </c>
      <c r="D9" s="56">
        <v>261.45222000000001</v>
      </c>
      <c r="E9" s="56">
        <v>380.27065000000101</v>
      </c>
      <c r="F9" s="56">
        <v>405.45771000000002</v>
      </c>
      <c r="G9" s="56">
        <v>503.99547000000001</v>
      </c>
      <c r="H9" s="56">
        <v>448.47534999999999</v>
      </c>
      <c r="I9" s="56">
        <v>404.90406999999999</v>
      </c>
      <c r="J9" s="56">
        <v>449.02846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2853.5839299999998</v>
      </c>
      <c r="Q9" s="174">
        <v>1.122630845977</v>
      </c>
    </row>
    <row r="10" spans="1:17" ht="14.4" customHeight="1" x14ac:dyDescent="0.3">
      <c r="A10" s="19" t="s">
        <v>25</v>
      </c>
      <c r="B10" s="55">
        <v>296.336027406401</v>
      </c>
      <c r="C10" s="56">
        <v>24.694668950533</v>
      </c>
      <c r="D10" s="56">
        <v>32.210050000000003</v>
      </c>
      <c r="E10" s="56">
        <v>15.70642</v>
      </c>
      <c r="F10" s="56">
        <v>28.09205</v>
      </c>
      <c r="G10" s="56">
        <v>22.19228</v>
      </c>
      <c r="H10" s="56">
        <v>28.842459999999999</v>
      </c>
      <c r="I10" s="56">
        <v>22.777550000000002</v>
      </c>
      <c r="J10" s="56">
        <v>28.873339999999999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178.69415000000001</v>
      </c>
      <c r="Q10" s="174">
        <v>1.033734680364</v>
      </c>
    </row>
    <row r="11" spans="1:17" ht="14.4" customHeight="1" x14ac:dyDescent="0.3">
      <c r="A11" s="19" t="s">
        <v>26</v>
      </c>
      <c r="B11" s="55">
        <v>676.98212078851702</v>
      </c>
      <c r="C11" s="56">
        <v>56.415176732375997</v>
      </c>
      <c r="D11" s="56">
        <v>52.501829999999998</v>
      </c>
      <c r="E11" s="56">
        <v>61.426380000000002</v>
      </c>
      <c r="F11" s="56">
        <v>73.022880000000001</v>
      </c>
      <c r="G11" s="56">
        <v>76.29786</v>
      </c>
      <c r="H11" s="56">
        <v>64.228809999999996</v>
      </c>
      <c r="I11" s="56">
        <v>76.943070000000006</v>
      </c>
      <c r="J11" s="56">
        <v>56.949469999999998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461.37029999999999</v>
      </c>
      <c r="Q11" s="174">
        <v>1.1683034012239999</v>
      </c>
    </row>
    <row r="12" spans="1:17" ht="14.4" customHeight="1" x14ac:dyDescent="0.3">
      <c r="A12" s="19" t="s">
        <v>27</v>
      </c>
      <c r="B12" s="55">
        <v>305.06823129983297</v>
      </c>
      <c r="C12" s="56">
        <v>25.422352608318999</v>
      </c>
      <c r="D12" s="56">
        <v>48.677610000000001</v>
      </c>
      <c r="E12" s="56">
        <v>37.191929999999999</v>
      </c>
      <c r="F12" s="56">
        <v>48.230870000000003</v>
      </c>
      <c r="G12" s="56">
        <v>41.557470000000002</v>
      </c>
      <c r="H12" s="56">
        <v>30.29814</v>
      </c>
      <c r="I12" s="56">
        <v>0.32400000000000001</v>
      </c>
      <c r="J12" s="56">
        <v>34.624189999999999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240.90421000000001</v>
      </c>
      <c r="Q12" s="174">
        <v>1.353725505781</v>
      </c>
    </row>
    <row r="13" spans="1:17" ht="14.4" customHeight="1" x14ac:dyDescent="0.3">
      <c r="A13" s="19" t="s">
        <v>28</v>
      </c>
      <c r="B13" s="55">
        <v>544.99998292831299</v>
      </c>
      <c r="C13" s="56">
        <v>45.416665244025999</v>
      </c>
      <c r="D13" s="56">
        <v>27.237680000000001</v>
      </c>
      <c r="E13" s="56">
        <v>34.664740000000002</v>
      </c>
      <c r="F13" s="56">
        <v>39.500549999999997</v>
      </c>
      <c r="G13" s="56">
        <v>37.231949999999998</v>
      </c>
      <c r="H13" s="56">
        <v>50.09064</v>
      </c>
      <c r="I13" s="56">
        <v>21.574870000000001</v>
      </c>
      <c r="J13" s="56">
        <v>64.291110000000003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274.59154000000001</v>
      </c>
      <c r="Q13" s="174">
        <v>0.86372177803799999</v>
      </c>
    </row>
    <row r="14" spans="1:17" ht="14.4" customHeight="1" x14ac:dyDescent="0.3">
      <c r="A14" s="19" t="s">
        <v>29</v>
      </c>
      <c r="B14" s="55">
        <v>900.27926435130496</v>
      </c>
      <c r="C14" s="56">
        <v>75.023272029275006</v>
      </c>
      <c r="D14" s="56">
        <v>119.806</v>
      </c>
      <c r="E14" s="56">
        <v>100.574</v>
      </c>
      <c r="F14" s="56">
        <v>93.554000000000002</v>
      </c>
      <c r="G14" s="56">
        <v>76.790000000000006</v>
      </c>
      <c r="H14" s="56">
        <v>60.493000000000002</v>
      </c>
      <c r="I14" s="56">
        <v>47.887999999999998</v>
      </c>
      <c r="J14" s="56">
        <v>53.427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552.53200000000004</v>
      </c>
      <c r="Q14" s="174">
        <v>1.052115439944</v>
      </c>
    </row>
    <row r="15" spans="1:17" ht="14.4" customHeight="1" x14ac:dyDescent="0.3">
      <c r="A15" s="19" t="s">
        <v>30</v>
      </c>
      <c r="B15" s="55">
        <v>160.45208961352799</v>
      </c>
      <c r="C15" s="56">
        <v>13.371007467794</v>
      </c>
      <c r="D15" s="56">
        <v>9.2223199999999999</v>
      </c>
      <c r="E15" s="56">
        <v>7.4296600000000002</v>
      </c>
      <c r="F15" s="56">
        <v>9.9396900000000006</v>
      </c>
      <c r="G15" s="56">
        <v>12.12222</v>
      </c>
      <c r="H15" s="56">
        <v>8.2462099999999996</v>
      </c>
      <c r="I15" s="56">
        <v>22.57075</v>
      </c>
      <c r="J15" s="56">
        <v>17.33295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86.863799999999998</v>
      </c>
      <c r="Q15" s="174">
        <v>0.92806127852300002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307</v>
      </c>
    </row>
    <row r="17" spans="1:17" ht="14.4" customHeight="1" x14ac:dyDescent="0.3">
      <c r="A17" s="19" t="s">
        <v>32</v>
      </c>
      <c r="B17" s="55">
        <v>901.75626412193401</v>
      </c>
      <c r="C17" s="56">
        <v>75.146355343493994</v>
      </c>
      <c r="D17" s="56">
        <v>3.9043299999999999</v>
      </c>
      <c r="E17" s="56">
        <v>63.264789999999998</v>
      </c>
      <c r="F17" s="56">
        <v>145.69784000000001</v>
      </c>
      <c r="G17" s="56">
        <v>48.031709999999997</v>
      </c>
      <c r="H17" s="56">
        <v>135.20473999999999</v>
      </c>
      <c r="I17" s="56">
        <v>3.39439</v>
      </c>
      <c r="J17" s="56">
        <v>38.335299999999997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437.8331</v>
      </c>
      <c r="Q17" s="174">
        <v>0.832343570468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0.67200000000000004</v>
      </c>
      <c r="F18" s="56">
        <v>3.8210000000000002</v>
      </c>
      <c r="G18" s="56">
        <v>1.032</v>
      </c>
      <c r="H18" s="56">
        <v>8.4559999999999995</v>
      </c>
      <c r="I18" s="56">
        <v>10.141999999999999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24.123000000000001</v>
      </c>
      <c r="Q18" s="174" t="s">
        <v>307</v>
      </c>
    </row>
    <row r="19" spans="1:17" ht="14.4" customHeight="1" x14ac:dyDescent="0.3">
      <c r="A19" s="19" t="s">
        <v>34</v>
      </c>
      <c r="B19" s="55">
        <v>1740.73453623555</v>
      </c>
      <c r="C19" s="56">
        <v>145.061211352963</v>
      </c>
      <c r="D19" s="56">
        <v>150.95799</v>
      </c>
      <c r="E19" s="56">
        <v>116.34777</v>
      </c>
      <c r="F19" s="56">
        <v>162.13441</v>
      </c>
      <c r="G19" s="56">
        <v>145.41108</v>
      </c>
      <c r="H19" s="56">
        <v>140.03596999999999</v>
      </c>
      <c r="I19" s="56">
        <v>264.87383</v>
      </c>
      <c r="J19" s="56">
        <v>223.58496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1203.34601</v>
      </c>
      <c r="Q19" s="174">
        <v>1.1850623006230001</v>
      </c>
    </row>
    <row r="20" spans="1:17" ht="14.4" customHeight="1" x14ac:dyDescent="0.3">
      <c r="A20" s="19" t="s">
        <v>35</v>
      </c>
      <c r="B20" s="55">
        <v>40706.998777704997</v>
      </c>
      <c r="C20" s="56">
        <v>3392.2498981420899</v>
      </c>
      <c r="D20" s="56">
        <v>3358.1353899999999</v>
      </c>
      <c r="E20" s="56">
        <v>3398.0764600000098</v>
      </c>
      <c r="F20" s="56">
        <v>3523.02783</v>
      </c>
      <c r="G20" s="56">
        <v>3683.2572399999999</v>
      </c>
      <c r="H20" s="56">
        <v>3708.7639399999998</v>
      </c>
      <c r="I20" s="56">
        <v>3641.5300699999998</v>
      </c>
      <c r="J20" s="56">
        <v>4936.20147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26248.992399999999</v>
      </c>
      <c r="Q20" s="174">
        <v>1.1054185775630001</v>
      </c>
    </row>
    <row r="21" spans="1:17" ht="14.4" customHeight="1" x14ac:dyDescent="0.3">
      <c r="A21" s="20" t="s">
        <v>36</v>
      </c>
      <c r="B21" s="55">
        <v>2610.0003911916201</v>
      </c>
      <c r="C21" s="56">
        <v>217.50003259930199</v>
      </c>
      <c r="D21" s="56">
        <v>211.233</v>
      </c>
      <c r="E21" s="56">
        <v>211.23200000000099</v>
      </c>
      <c r="F21" s="56">
        <v>211.221</v>
      </c>
      <c r="G21" s="56">
        <v>211.22</v>
      </c>
      <c r="H21" s="56">
        <v>226.64599999999999</v>
      </c>
      <c r="I21" s="56">
        <v>226.642</v>
      </c>
      <c r="J21" s="56">
        <v>229.221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1527.415</v>
      </c>
      <c r="Q21" s="174">
        <v>1.0032280926549999</v>
      </c>
    </row>
    <row r="22" spans="1:17" ht="14.4" customHeight="1" x14ac:dyDescent="0.3">
      <c r="A22" s="19" t="s">
        <v>37</v>
      </c>
      <c r="B22" s="55">
        <v>12.212</v>
      </c>
      <c r="C22" s="56">
        <v>1.0176666666659999</v>
      </c>
      <c r="D22" s="56">
        <v>21.253</v>
      </c>
      <c r="E22" s="56">
        <v>3.1414</v>
      </c>
      <c r="F22" s="56">
        <v>0</v>
      </c>
      <c r="G22" s="56">
        <v>0</v>
      </c>
      <c r="H22" s="56">
        <v>98.330650000000006</v>
      </c>
      <c r="I22" s="56">
        <v>0</v>
      </c>
      <c r="J22" s="56">
        <v>48.202570000000001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170.92761999999999</v>
      </c>
      <c r="Q22" s="174">
        <v>23.994331570819998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 t="s">
        <v>307</v>
      </c>
    </row>
    <row r="24" spans="1:17" ht="14.4" customHeight="1" x14ac:dyDescent="0.3">
      <c r="A24" s="20" t="s">
        <v>39</v>
      </c>
      <c r="B24" s="55">
        <v>-7.2759576141834308E-12</v>
      </c>
      <c r="C24" s="56">
        <v>0</v>
      </c>
      <c r="D24" s="56">
        <v>1.799369999999</v>
      </c>
      <c r="E24" s="56">
        <v>-4.8000000000000001E-4</v>
      </c>
      <c r="F24" s="56">
        <v>16.747029999999999</v>
      </c>
      <c r="G24" s="56">
        <v>1.85839</v>
      </c>
      <c r="H24" s="56">
        <v>15.900120000000999</v>
      </c>
      <c r="I24" s="56">
        <v>5.3495100000000004</v>
      </c>
      <c r="J24" s="56">
        <v>0.121409999999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41.775350000000998</v>
      </c>
      <c r="Q24" s="174"/>
    </row>
    <row r="25" spans="1:17" ht="14.4" customHeight="1" x14ac:dyDescent="0.3">
      <c r="A25" s="21" t="s">
        <v>40</v>
      </c>
      <c r="B25" s="58">
        <v>56117.949265570198</v>
      </c>
      <c r="C25" s="59">
        <v>4676.4957721308501</v>
      </c>
      <c r="D25" s="59">
        <v>4450.4803599999996</v>
      </c>
      <c r="E25" s="59">
        <v>4665.6992200000104</v>
      </c>
      <c r="F25" s="59">
        <v>5041.2481900000002</v>
      </c>
      <c r="G25" s="59">
        <v>5246.32953</v>
      </c>
      <c r="H25" s="59">
        <v>5231.2907999999998</v>
      </c>
      <c r="I25" s="59">
        <v>4983.3220600000004</v>
      </c>
      <c r="J25" s="59">
        <v>6384.0162799999998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36002.386440000002</v>
      </c>
      <c r="Q25" s="175">
        <v>1.099797436684</v>
      </c>
    </row>
    <row r="26" spans="1:17" ht="14.4" customHeight="1" x14ac:dyDescent="0.3">
      <c r="A26" s="19" t="s">
        <v>41</v>
      </c>
      <c r="B26" s="55">
        <v>5551.8126036267604</v>
      </c>
      <c r="C26" s="56">
        <v>462.65105030222998</v>
      </c>
      <c r="D26" s="56">
        <v>776.23216000000298</v>
      </c>
      <c r="E26" s="56">
        <v>548.870020000002</v>
      </c>
      <c r="F26" s="56">
        <v>689.00077000000203</v>
      </c>
      <c r="G26" s="56">
        <v>613.83514000000196</v>
      </c>
      <c r="H26" s="56">
        <v>557.19857999999999</v>
      </c>
      <c r="I26" s="56">
        <v>636.25491</v>
      </c>
      <c r="J26" s="56">
        <v>771.00721999999996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4592.3988000000099</v>
      </c>
      <c r="Q26" s="174">
        <v>1.418038435231</v>
      </c>
    </row>
    <row r="27" spans="1:17" ht="14.4" customHeight="1" x14ac:dyDescent="0.3">
      <c r="A27" s="22" t="s">
        <v>42</v>
      </c>
      <c r="B27" s="58">
        <v>61669.761869196896</v>
      </c>
      <c r="C27" s="59">
        <v>5139.1468224330802</v>
      </c>
      <c r="D27" s="59">
        <v>5226.71252</v>
      </c>
      <c r="E27" s="59">
        <v>5214.5692400000098</v>
      </c>
      <c r="F27" s="59">
        <v>5730.2489599999999</v>
      </c>
      <c r="G27" s="59">
        <v>5860.1646700000001</v>
      </c>
      <c r="H27" s="59">
        <v>5788.48938</v>
      </c>
      <c r="I27" s="59">
        <v>5619.5769700000001</v>
      </c>
      <c r="J27" s="59">
        <v>7155.0235000000002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40594.785239999997</v>
      </c>
      <c r="Q27" s="175">
        <v>1.1284470427990001</v>
      </c>
    </row>
    <row r="28" spans="1:17" ht="14.4" customHeight="1" x14ac:dyDescent="0.3">
      <c r="A28" s="20" t="s">
        <v>43</v>
      </c>
      <c r="B28" s="55">
        <v>1.58582871395</v>
      </c>
      <c r="C28" s="56">
        <v>0.13215239282899999</v>
      </c>
      <c r="D28" s="56">
        <v>0</v>
      </c>
      <c r="E28" s="56">
        <v>0</v>
      </c>
      <c r="F28" s="56">
        <v>0</v>
      </c>
      <c r="G28" s="56">
        <v>0</v>
      </c>
      <c r="H28" s="56">
        <v>0.13883999999999999</v>
      </c>
      <c r="I28" s="56">
        <v>0</v>
      </c>
      <c r="J28" s="56">
        <v>4.4073000000000002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4.5461400000000003</v>
      </c>
      <c r="Q28" s="174">
        <v>4.9143913138809996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307</v>
      </c>
    </row>
    <row r="30" spans="1:17" ht="14.4" customHeight="1" x14ac:dyDescent="0.3">
      <c r="A30" s="20" t="s">
        <v>45</v>
      </c>
      <c r="B30" s="55">
        <v>176.00000000004599</v>
      </c>
      <c r="C30" s="56">
        <v>14.66666666667</v>
      </c>
      <c r="D30" s="56">
        <v>12.086930000000001</v>
      </c>
      <c r="E30" s="56">
        <v>7.4739599999999999</v>
      </c>
      <c r="F30" s="56">
        <v>9.5746699999999993</v>
      </c>
      <c r="G30" s="56">
        <v>7.3400800000000004</v>
      </c>
      <c r="H30" s="56">
        <v>10.02671</v>
      </c>
      <c r="I30" s="56">
        <v>25.530799999999999</v>
      </c>
      <c r="J30" s="56">
        <v>7.9516200000000001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79.984769999999997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18.939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18.939</v>
      </c>
      <c r="Q31" s="176" t="s">
        <v>307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300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0" t="s">
        <v>48</v>
      </c>
      <c r="B1" s="460"/>
      <c r="C1" s="460"/>
      <c r="D1" s="460"/>
      <c r="E1" s="460"/>
      <c r="F1" s="460"/>
      <c r="G1" s="460"/>
      <c r="H1" s="465"/>
      <c r="I1" s="465"/>
      <c r="J1" s="465"/>
      <c r="K1" s="465"/>
    </row>
    <row r="2" spans="1:11" s="64" customFormat="1" ht="14.4" customHeight="1" thickBot="1" x14ac:dyDescent="0.35">
      <c r="A2" s="360" t="s">
        <v>306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1" t="s">
        <v>49</v>
      </c>
      <c r="C3" s="462"/>
      <c r="D3" s="462"/>
      <c r="E3" s="462"/>
      <c r="F3" s="468" t="s">
        <v>50</v>
      </c>
      <c r="G3" s="462"/>
      <c r="H3" s="462"/>
      <c r="I3" s="462"/>
      <c r="J3" s="462"/>
      <c r="K3" s="469"/>
    </row>
    <row r="4" spans="1:11" ht="14.4" customHeight="1" x14ac:dyDescent="0.3">
      <c r="A4" s="93"/>
      <c r="B4" s="466"/>
      <c r="C4" s="467"/>
      <c r="D4" s="467"/>
      <c r="E4" s="467"/>
      <c r="F4" s="470" t="s">
        <v>296</v>
      </c>
      <c r="G4" s="472" t="s">
        <v>51</v>
      </c>
      <c r="H4" s="250" t="s">
        <v>164</v>
      </c>
      <c r="I4" s="470" t="s">
        <v>52</v>
      </c>
      <c r="J4" s="472" t="s">
        <v>298</v>
      </c>
      <c r="K4" s="473" t="s">
        <v>299</v>
      </c>
    </row>
    <row r="5" spans="1:11" ht="42" thickBot="1" x14ac:dyDescent="0.35">
      <c r="A5" s="94"/>
      <c r="B5" s="28" t="s">
        <v>292</v>
      </c>
      <c r="C5" s="29" t="s">
        <v>293</v>
      </c>
      <c r="D5" s="30" t="s">
        <v>294</v>
      </c>
      <c r="E5" s="30" t="s">
        <v>295</v>
      </c>
      <c r="F5" s="471"/>
      <c r="G5" s="471"/>
      <c r="H5" s="29" t="s">
        <v>297</v>
      </c>
      <c r="I5" s="471"/>
      <c r="J5" s="471"/>
      <c r="K5" s="474"/>
    </row>
    <row r="6" spans="1:11" ht="14.4" customHeight="1" thickBot="1" x14ac:dyDescent="0.35">
      <c r="A6" s="583" t="s">
        <v>309</v>
      </c>
      <c r="B6" s="565">
        <v>55737.338482537802</v>
      </c>
      <c r="C6" s="565">
        <v>56365.75866</v>
      </c>
      <c r="D6" s="566">
        <v>628.42017746226304</v>
      </c>
      <c r="E6" s="567">
        <v>1.011274671424</v>
      </c>
      <c r="F6" s="565">
        <v>56117.949265570198</v>
      </c>
      <c r="G6" s="566">
        <v>32735.470404915901</v>
      </c>
      <c r="H6" s="568">
        <v>6384.0162799999998</v>
      </c>
      <c r="I6" s="565">
        <v>36002.386440000002</v>
      </c>
      <c r="J6" s="566">
        <v>3266.9160350840898</v>
      </c>
      <c r="K6" s="569">
        <v>0.64154850473199998</v>
      </c>
    </row>
    <row r="7" spans="1:11" ht="14.4" customHeight="1" thickBot="1" x14ac:dyDescent="0.35">
      <c r="A7" s="584" t="s">
        <v>310</v>
      </c>
      <c r="B7" s="565">
        <v>9891.3820096076306</v>
      </c>
      <c r="C7" s="565">
        <v>9224.8231599999999</v>
      </c>
      <c r="D7" s="566">
        <v>-666.55884960762205</v>
      </c>
      <c r="E7" s="567">
        <v>0.932612161883</v>
      </c>
      <c r="F7" s="565">
        <v>10146.247296316</v>
      </c>
      <c r="G7" s="566">
        <v>5918.6442561843396</v>
      </c>
      <c r="H7" s="568">
        <v>908.34957999999995</v>
      </c>
      <c r="I7" s="565">
        <v>6349.7749100000001</v>
      </c>
      <c r="J7" s="566">
        <v>431.13065381566003</v>
      </c>
      <c r="K7" s="569">
        <v>0.62582497001600002</v>
      </c>
    </row>
    <row r="8" spans="1:11" ht="14.4" customHeight="1" thickBot="1" x14ac:dyDescent="0.35">
      <c r="A8" s="585" t="s">
        <v>311</v>
      </c>
      <c r="B8" s="565">
        <v>8905.8068164631895</v>
      </c>
      <c r="C8" s="565">
        <v>8207.7589200000002</v>
      </c>
      <c r="D8" s="566">
        <v>-698.04789646318397</v>
      </c>
      <c r="E8" s="567">
        <v>0.92161879200200003</v>
      </c>
      <c r="F8" s="565">
        <v>9085.5159423511795</v>
      </c>
      <c r="G8" s="566">
        <v>5299.8842997048496</v>
      </c>
      <c r="H8" s="568">
        <v>837.58963000000006</v>
      </c>
      <c r="I8" s="565">
        <v>5710.3791099999999</v>
      </c>
      <c r="J8" s="566">
        <v>410.494810295148</v>
      </c>
      <c r="K8" s="569">
        <v>0.62851456606599998</v>
      </c>
    </row>
    <row r="9" spans="1:11" ht="14.4" customHeight="1" thickBot="1" x14ac:dyDescent="0.35">
      <c r="A9" s="586" t="s">
        <v>312</v>
      </c>
      <c r="B9" s="570">
        <v>0</v>
      </c>
      <c r="C9" s="570">
        <v>6.2100000000000002E-3</v>
      </c>
      <c r="D9" s="571">
        <v>6.2100000000000002E-3</v>
      </c>
      <c r="E9" s="572" t="s">
        <v>307</v>
      </c>
      <c r="F9" s="570">
        <v>0</v>
      </c>
      <c r="G9" s="571">
        <v>0</v>
      </c>
      <c r="H9" s="573">
        <v>1.0000000000000001E-5</v>
      </c>
      <c r="I9" s="570">
        <v>9.49999999E-4</v>
      </c>
      <c r="J9" s="571">
        <v>9.49999999E-4</v>
      </c>
      <c r="K9" s="574" t="s">
        <v>307</v>
      </c>
    </row>
    <row r="10" spans="1:11" ht="14.4" customHeight="1" thickBot="1" x14ac:dyDescent="0.35">
      <c r="A10" s="587" t="s">
        <v>313</v>
      </c>
      <c r="B10" s="565">
        <v>0</v>
      </c>
      <c r="C10" s="565">
        <v>6.2100000000000002E-3</v>
      </c>
      <c r="D10" s="566">
        <v>6.2100000000000002E-3</v>
      </c>
      <c r="E10" s="575" t="s">
        <v>307</v>
      </c>
      <c r="F10" s="565">
        <v>0</v>
      </c>
      <c r="G10" s="566">
        <v>0</v>
      </c>
      <c r="H10" s="568">
        <v>1.0000000000000001E-5</v>
      </c>
      <c r="I10" s="565">
        <v>9.49999999E-4</v>
      </c>
      <c r="J10" s="566">
        <v>9.49999999E-4</v>
      </c>
      <c r="K10" s="576" t="s">
        <v>307</v>
      </c>
    </row>
    <row r="11" spans="1:11" ht="14.4" customHeight="1" thickBot="1" x14ac:dyDescent="0.35">
      <c r="A11" s="586" t="s">
        <v>314</v>
      </c>
      <c r="B11" s="570">
        <v>2460.0731170639301</v>
      </c>
      <c r="C11" s="570">
        <v>2250.1859599999998</v>
      </c>
      <c r="D11" s="571">
        <v>-209.88715706392901</v>
      </c>
      <c r="E11" s="577">
        <v>0.91468255329100001</v>
      </c>
      <c r="F11" s="570">
        <v>2575.5666164915701</v>
      </c>
      <c r="G11" s="571">
        <v>1502.4138596200801</v>
      </c>
      <c r="H11" s="573">
        <v>191.64105000000001</v>
      </c>
      <c r="I11" s="570">
        <v>1521.8170299999999</v>
      </c>
      <c r="J11" s="571">
        <v>19.403170379917999</v>
      </c>
      <c r="K11" s="578">
        <v>0.59086688740799997</v>
      </c>
    </row>
    <row r="12" spans="1:11" ht="14.4" customHeight="1" thickBot="1" x14ac:dyDescent="0.35">
      <c r="A12" s="587" t="s">
        <v>315</v>
      </c>
      <c r="B12" s="565">
        <v>1743.00455479979</v>
      </c>
      <c r="C12" s="565">
        <v>1535.4266600000001</v>
      </c>
      <c r="D12" s="566">
        <v>-207.57789479979101</v>
      </c>
      <c r="E12" s="567">
        <v>0.88090800208800002</v>
      </c>
      <c r="F12" s="565">
        <v>1757.22088036533</v>
      </c>
      <c r="G12" s="566">
        <v>1025.0455135464399</v>
      </c>
      <c r="H12" s="568">
        <v>148.03357</v>
      </c>
      <c r="I12" s="565">
        <v>1141.7625599999999</v>
      </c>
      <c r="J12" s="566">
        <v>116.717046453558</v>
      </c>
      <c r="K12" s="569">
        <v>0.64975471937399998</v>
      </c>
    </row>
    <row r="13" spans="1:11" ht="14.4" customHeight="1" thickBot="1" x14ac:dyDescent="0.35">
      <c r="A13" s="587" t="s">
        <v>316</v>
      </c>
      <c r="B13" s="565">
        <v>227.46322933858701</v>
      </c>
      <c r="C13" s="565">
        <v>118.41522000000001</v>
      </c>
      <c r="D13" s="566">
        <v>-109.04800933858699</v>
      </c>
      <c r="E13" s="567">
        <v>0.52059060422299996</v>
      </c>
      <c r="F13" s="565">
        <v>182.691564413734</v>
      </c>
      <c r="G13" s="566">
        <v>106.570079241345</v>
      </c>
      <c r="H13" s="568">
        <v>13.67038</v>
      </c>
      <c r="I13" s="565">
        <v>94.681539999999998</v>
      </c>
      <c r="J13" s="566">
        <v>-11.888539241344001</v>
      </c>
      <c r="K13" s="569">
        <v>0.51825895904800001</v>
      </c>
    </row>
    <row r="14" spans="1:11" ht="14.4" customHeight="1" thickBot="1" x14ac:dyDescent="0.35">
      <c r="A14" s="587" t="s">
        <v>317</v>
      </c>
      <c r="B14" s="565">
        <v>29.000254639383002</v>
      </c>
      <c r="C14" s="565">
        <v>20.892779999999998</v>
      </c>
      <c r="D14" s="566">
        <v>-8.1074746393829997</v>
      </c>
      <c r="E14" s="567">
        <v>0.72043436375900005</v>
      </c>
      <c r="F14" s="565">
        <v>25.825966599986</v>
      </c>
      <c r="G14" s="566">
        <v>15.065147183324999</v>
      </c>
      <c r="H14" s="568">
        <v>2.8677000000000001</v>
      </c>
      <c r="I14" s="565">
        <v>17.979340000000001</v>
      </c>
      <c r="J14" s="566">
        <v>2.9141928166739999</v>
      </c>
      <c r="K14" s="569">
        <v>0.69617297499300002</v>
      </c>
    </row>
    <row r="15" spans="1:11" ht="14.4" customHeight="1" thickBot="1" x14ac:dyDescent="0.35">
      <c r="A15" s="587" t="s">
        <v>318</v>
      </c>
      <c r="B15" s="565">
        <v>171.44073677431899</v>
      </c>
      <c r="C15" s="565">
        <v>132.61711</v>
      </c>
      <c r="D15" s="566">
        <v>-38.823626774319003</v>
      </c>
      <c r="E15" s="567">
        <v>0.77354491409199999</v>
      </c>
      <c r="F15" s="565">
        <v>147.30004187562</v>
      </c>
      <c r="G15" s="566">
        <v>85.925024427444995</v>
      </c>
      <c r="H15" s="568">
        <v>12.483750000000001</v>
      </c>
      <c r="I15" s="565">
        <v>79.961359999999999</v>
      </c>
      <c r="J15" s="566">
        <v>-5.9636644274449999</v>
      </c>
      <c r="K15" s="569">
        <v>0.54284682462900002</v>
      </c>
    </row>
    <row r="16" spans="1:11" ht="14.4" customHeight="1" thickBot="1" x14ac:dyDescent="0.35">
      <c r="A16" s="587" t="s">
        <v>319</v>
      </c>
      <c r="B16" s="565">
        <v>8.5005763261750005</v>
      </c>
      <c r="C16" s="565">
        <v>8.4018800000000002</v>
      </c>
      <c r="D16" s="566">
        <v>-9.8696326175000001E-2</v>
      </c>
      <c r="E16" s="567">
        <v>0.98838945473899997</v>
      </c>
      <c r="F16" s="565">
        <v>6.6956635651919996</v>
      </c>
      <c r="G16" s="566">
        <v>3.9058037463619999</v>
      </c>
      <c r="H16" s="568">
        <v>1.1012500000000001</v>
      </c>
      <c r="I16" s="565">
        <v>5.27182</v>
      </c>
      <c r="J16" s="566">
        <v>1.366016253637</v>
      </c>
      <c r="K16" s="569">
        <v>0.78734840074699997</v>
      </c>
    </row>
    <row r="17" spans="1:11" ht="14.4" customHeight="1" thickBot="1" x14ac:dyDescent="0.35">
      <c r="A17" s="587" t="s">
        <v>320</v>
      </c>
      <c r="B17" s="565">
        <v>280.66376518567301</v>
      </c>
      <c r="C17" s="565">
        <v>434.43230999999997</v>
      </c>
      <c r="D17" s="566">
        <v>153.76854481432699</v>
      </c>
      <c r="E17" s="567">
        <v>1.5478745883439999</v>
      </c>
      <c r="F17" s="565">
        <v>455.83249967170798</v>
      </c>
      <c r="G17" s="566">
        <v>265.902291475163</v>
      </c>
      <c r="H17" s="568">
        <v>13.484400000000001</v>
      </c>
      <c r="I17" s="565">
        <v>182.16041000000001</v>
      </c>
      <c r="J17" s="566">
        <v>-83.741881475162003</v>
      </c>
      <c r="K17" s="569">
        <v>0.39962137436700002</v>
      </c>
    </row>
    <row r="18" spans="1:11" ht="14.4" customHeight="1" thickBot="1" x14ac:dyDescent="0.35">
      <c r="A18" s="586" t="s">
        <v>321</v>
      </c>
      <c r="B18" s="570">
        <v>427.69522588613199</v>
      </c>
      <c r="C18" s="570">
        <v>334.38299999999998</v>
      </c>
      <c r="D18" s="571">
        <v>-93.312225886131998</v>
      </c>
      <c r="E18" s="577">
        <v>0.78182542090999996</v>
      </c>
      <c r="F18" s="570">
        <v>329.06808144206298</v>
      </c>
      <c r="G18" s="571">
        <v>191.95638084120301</v>
      </c>
      <c r="H18" s="573">
        <v>12.182</v>
      </c>
      <c r="I18" s="570">
        <v>177.61699999999999</v>
      </c>
      <c r="J18" s="571">
        <v>-14.339380841203001</v>
      </c>
      <c r="K18" s="578">
        <v>0.53975760645500004</v>
      </c>
    </row>
    <row r="19" spans="1:11" ht="14.4" customHeight="1" thickBot="1" x14ac:dyDescent="0.35">
      <c r="A19" s="587" t="s">
        <v>322</v>
      </c>
      <c r="B19" s="565">
        <v>414.99754107842602</v>
      </c>
      <c r="C19" s="565">
        <v>315.62099999999998</v>
      </c>
      <c r="D19" s="566">
        <v>-99.376541078425007</v>
      </c>
      <c r="E19" s="567">
        <v>0.76053703638699999</v>
      </c>
      <c r="F19" s="565">
        <v>309.99999023575299</v>
      </c>
      <c r="G19" s="566">
        <v>180.83332763752199</v>
      </c>
      <c r="H19" s="568">
        <v>11.711</v>
      </c>
      <c r="I19" s="565">
        <v>172.93299999999999</v>
      </c>
      <c r="J19" s="566">
        <v>-7.9003276375220004</v>
      </c>
      <c r="K19" s="569">
        <v>0.55784840466700003</v>
      </c>
    </row>
    <row r="20" spans="1:11" ht="14.4" customHeight="1" thickBot="1" x14ac:dyDescent="0.35">
      <c r="A20" s="587" t="s">
        <v>323</v>
      </c>
      <c r="B20" s="565">
        <v>12.697684807706</v>
      </c>
      <c r="C20" s="565">
        <v>18.762</v>
      </c>
      <c r="D20" s="566">
        <v>6.0643151922929999</v>
      </c>
      <c r="E20" s="567">
        <v>1.477592197643</v>
      </c>
      <c r="F20" s="565">
        <v>19.068091206310001</v>
      </c>
      <c r="G20" s="566">
        <v>11.12305320368</v>
      </c>
      <c r="H20" s="568">
        <v>0.47099999999999997</v>
      </c>
      <c r="I20" s="565">
        <v>4.6840000000000002</v>
      </c>
      <c r="J20" s="566">
        <v>-6.4390532036800003</v>
      </c>
      <c r="K20" s="569">
        <v>0.245645982564</v>
      </c>
    </row>
    <row r="21" spans="1:11" ht="14.4" customHeight="1" thickBot="1" x14ac:dyDescent="0.35">
      <c r="A21" s="586" t="s">
        <v>324</v>
      </c>
      <c r="B21" s="570">
        <v>4293.9194465689898</v>
      </c>
      <c r="C21" s="570">
        <v>3809.46974</v>
      </c>
      <c r="D21" s="571">
        <v>-484.44970656898801</v>
      </c>
      <c r="E21" s="577">
        <v>0.88717773758899998</v>
      </c>
      <c r="F21" s="570">
        <v>4357.4948819944902</v>
      </c>
      <c r="G21" s="571">
        <v>2541.8720144967801</v>
      </c>
      <c r="H21" s="573">
        <v>449.02846</v>
      </c>
      <c r="I21" s="570">
        <v>2853.5839299999998</v>
      </c>
      <c r="J21" s="571">
        <v>311.71191550321601</v>
      </c>
      <c r="K21" s="578">
        <v>0.654867993486</v>
      </c>
    </row>
    <row r="22" spans="1:11" ht="14.4" customHeight="1" thickBot="1" x14ac:dyDescent="0.35">
      <c r="A22" s="587" t="s">
        <v>325</v>
      </c>
      <c r="B22" s="565">
        <v>0</v>
      </c>
      <c r="C22" s="565">
        <v>0.495</v>
      </c>
      <c r="D22" s="566">
        <v>0.495</v>
      </c>
      <c r="E22" s="575" t="s">
        <v>326</v>
      </c>
      <c r="F22" s="565">
        <v>0.49499998440800003</v>
      </c>
      <c r="G22" s="566">
        <v>0.28874999090499998</v>
      </c>
      <c r="H22" s="568">
        <v>0</v>
      </c>
      <c r="I22" s="565">
        <v>0</v>
      </c>
      <c r="J22" s="566">
        <v>-0.28874999090499998</v>
      </c>
      <c r="K22" s="569">
        <v>0</v>
      </c>
    </row>
    <row r="23" spans="1:11" ht="14.4" customHeight="1" thickBot="1" x14ac:dyDescent="0.35">
      <c r="A23" s="587" t="s">
        <v>327</v>
      </c>
      <c r="B23" s="565">
        <v>538.07915933653203</v>
      </c>
      <c r="C23" s="565">
        <v>457.00738999999999</v>
      </c>
      <c r="D23" s="566">
        <v>-81.071769336532</v>
      </c>
      <c r="E23" s="567">
        <v>0.84933114778700003</v>
      </c>
      <c r="F23" s="565">
        <v>505.99998721198398</v>
      </c>
      <c r="G23" s="566">
        <v>295.16665920699103</v>
      </c>
      <c r="H23" s="568">
        <v>23.452760000000001</v>
      </c>
      <c r="I23" s="565">
        <v>235.3032</v>
      </c>
      <c r="J23" s="566">
        <v>-59.863459206990001</v>
      </c>
      <c r="K23" s="569">
        <v>0.46502609870900002</v>
      </c>
    </row>
    <row r="24" spans="1:11" ht="14.4" customHeight="1" thickBot="1" x14ac:dyDescent="0.35">
      <c r="A24" s="587" t="s">
        <v>328</v>
      </c>
      <c r="B24" s="565">
        <v>5.329276886113</v>
      </c>
      <c r="C24" s="565">
        <v>3.8418800000000002</v>
      </c>
      <c r="D24" s="566">
        <v>-1.487396886113</v>
      </c>
      <c r="E24" s="567">
        <v>0.72090080551199998</v>
      </c>
      <c r="F24" s="565">
        <v>4.9999998425119996</v>
      </c>
      <c r="G24" s="566">
        <v>2.9166665747980001</v>
      </c>
      <c r="H24" s="568">
        <v>0</v>
      </c>
      <c r="I24" s="565">
        <v>0.8236</v>
      </c>
      <c r="J24" s="566">
        <v>-2.0930665747980002</v>
      </c>
      <c r="K24" s="569">
        <v>0.16472000518800001</v>
      </c>
    </row>
    <row r="25" spans="1:11" ht="14.4" customHeight="1" thickBot="1" x14ac:dyDescent="0.35">
      <c r="A25" s="587" t="s">
        <v>329</v>
      </c>
      <c r="B25" s="565">
        <v>161.82924209274901</v>
      </c>
      <c r="C25" s="565">
        <v>165.79262</v>
      </c>
      <c r="D25" s="566">
        <v>3.963377907251</v>
      </c>
      <c r="E25" s="567">
        <v>1.0244911108520001</v>
      </c>
      <c r="F25" s="565">
        <v>163.999994834397</v>
      </c>
      <c r="G25" s="566">
        <v>95.666663653398004</v>
      </c>
      <c r="H25" s="568">
        <v>16.96977</v>
      </c>
      <c r="I25" s="565">
        <v>88.292680000000004</v>
      </c>
      <c r="J25" s="566">
        <v>-7.3739836533979997</v>
      </c>
      <c r="K25" s="569">
        <v>0.53837001695700004</v>
      </c>
    </row>
    <row r="26" spans="1:11" ht="14.4" customHeight="1" thickBot="1" x14ac:dyDescent="0.35">
      <c r="A26" s="587" t="s">
        <v>330</v>
      </c>
      <c r="B26" s="565">
        <v>3239.8206221093501</v>
      </c>
      <c r="C26" s="565">
        <v>2920.8307100000002</v>
      </c>
      <c r="D26" s="566">
        <v>-318.98991210934798</v>
      </c>
      <c r="E26" s="567">
        <v>0.901540872376</v>
      </c>
      <c r="F26" s="565">
        <v>3417.99990843654</v>
      </c>
      <c r="G26" s="566">
        <v>1993.8332799213199</v>
      </c>
      <c r="H26" s="568">
        <v>345.20042999999998</v>
      </c>
      <c r="I26" s="565">
        <v>2140.1304500000001</v>
      </c>
      <c r="J26" s="566">
        <v>146.297170078683</v>
      </c>
      <c r="K26" s="569">
        <v>0.62613531519300003</v>
      </c>
    </row>
    <row r="27" spans="1:11" ht="14.4" customHeight="1" thickBot="1" x14ac:dyDescent="0.35">
      <c r="A27" s="587" t="s">
        <v>331</v>
      </c>
      <c r="B27" s="565">
        <v>71.321523145403006</v>
      </c>
      <c r="C27" s="565">
        <v>36.509569999999997</v>
      </c>
      <c r="D27" s="566">
        <v>-34.811953145403002</v>
      </c>
      <c r="E27" s="567">
        <v>0.51190115395500002</v>
      </c>
      <c r="F27" s="565">
        <v>27.999999118066999</v>
      </c>
      <c r="G27" s="566">
        <v>16.333332818872002</v>
      </c>
      <c r="H27" s="568">
        <v>7.3927399999999999</v>
      </c>
      <c r="I27" s="565">
        <v>22.563220000000001</v>
      </c>
      <c r="J27" s="566">
        <v>6.2298871811270002</v>
      </c>
      <c r="K27" s="569">
        <v>0.805829311095</v>
      </c>
    </row>
    <row r="28" spans="1:11" ht="14.4" customHeight="1" thickBot="1" x14ac:dyDescent="0.35">
      <c r="A28" s="587" t="s">
        <v>332</v>
      </c>
      <c r="B28" s="565">
        <v>7.8459759217849996</v>
      </c>
      <c r="C28" s="565">
        <v>4.6682199999999998</v>
      </c>
      <c r="D28" s="566">
        <v>-3.1777559217850002</v>
      </c>
      <c r="E28" s="567">
        <v>0.59498270789200003</v>
      </c>
      <c r="F28" s="565">
        <v>7.9999997480190004</v>
      </c>
      <c r="G28" s="566">
        <v>4.6666665196770003</v>
      </c>
      <c r="H28" s="568">
        <v>0.58748</v>
      </c>
      <c r="I28" s="565">
        <v>3.52488</v>
      </c>
      <c r="J28" s="566">
        <v>-1.1417865196770001</v>
      </c>
      <c r="K28" s="569">
        <v>0.44061001387799997</v>
      </c>
    </row>
    <row r="29" spans="1:11" ht="14.4" customHeight="1" thickBot="1" x14ac:dyDescent="0.35">
      <c r="A29" s="587" t="s">
        <v>333</v>
      </c>
      <c r="B29" s="565">
        <v>7.3286945400760004</v>
      </c>
      <c r="C29" s="565">
        <v>8.6111500000000003</v>
      </c>
      <c r="D29" s="566">
        <v>1.282455459923</v>
      </c>
      <c r="E29" s="567">
        <v>1.1749909827609999</v>
      </c>
      <c r="F29" s="565">
        <v>6.9999997795160001</v>
      </c>
      <c r="G29" s="566">
        <v>4.0833332047180004</v>
      </c>
      <c r="H29" s="568">
        <v>0.63100000000000001</v>
      </c>
      <c r="I29" s="565">
        <v>6.3217499999999998</v>
      </c>
      <c r="J29" s="566">
        <v>2.2384167952810001</v>
      </c>
      <c r="K29" s="569">
        <v>0.90310717130200002</v>
      </c>
    </row>
    <row r="30" spans="1:11" ht="14.4" customHeight="1" thickBot="1" x14ac:dyDescent="0.35">
      <c r="A30" s="587" t="s">
        <v>334</v>
      </c>
      <c r="B30" s="565">
        <v>154.556655061908</v>
      </c>
      <c r="C30" s="565">
        <v>128.20649</v>
      </c>
      <c r="D30" s="566">
        <v>-26.350165061906999</v>
      </c>
      <c r="E30" s="567">
        <v>0.82951128793899997</v>
      </c>
      <c r="F30" s="565">
        <v>141.999995527344</v>
      </c>
      <c r="G30" s="566">
        <v>82.833330724283996</v>
      </c>
      <c r="H30" s="568">
        <v>16.354399999999998</v>
      </c>
      <c r="I30" s="565">
        <v>101.98506</v>
      </c>
      <c r="J30" s="566">
        <v>19.151729275716001</v>
      </c>
      <c r="K30" s="569">
        <v>0.71820467050900005</v>
      </c>
    </row>
    <row r="31" spans="1:11" ht="14.4" customHeight="1" thickBot="1" x14ac:dyDescent="0.35">
      <c r="A31" s="587" t="s">
        <v>335</v>
      </c>
      <c r="B31" s="565">
        <v>107.587622938149</v>
      </c>
      <c r="C31" s="565">
        <v>83.506709999999998</v>
      </c>
      <c r="D31" s="566">
        <v>-24.080912938149002</v>
      </c>
      <c r="E31" s="567">
        <v>0.77617394751799995</v>
      </c>
      <c r="F31" s="565">
        <v>78.999997511691006</v>
      </c>
      <c r="G31" s="566">
        <v>46.083331881820001</v>
      </c>
      <c r="H31" s="568">
        <v>10.406000000000001</v>
      </c>
      <c r="I31" s="565">
        <v>51.126519999999999</v>
      </c>
      <c r="J31" s="566">
        <v>5.0431881181799998</v>
      </c>
      <c r="K31" s="569">
        <v>0.64717115962399996</v>
      </c>
    </row>
    <row r="32" spans="1:11" ht="14.4" customHeight="1" thickBot="1" x14ac:dyDescent="0.35">
      <c r="A32" s="587" t="s">
        <v>336</v>
      </c>
      <c r="B32" s="565">
        <v>0</v>
      </c>
      <c r="C32" s="565">
        <v>0</v>
      </c>
      <c r="D32" s="566">
        <v>0</v>
      </c>
      <c r="E32" s="567">
        <v>1</v>
      </c>
      <c r="F32" s="565">
        <v>0</v>
      </c>
      <c r="G32" s="566">
        <v>0</v>
      </c>
      <c r="H32" s="568">
        <v>28.03388</v>
      </c>
      <c r="I32" s="565">
        <v>203.51257000000001</v>
      </c>
      <c r="J32" s="566">
        <v>203.51257000000001</v>
      </c>
      <c r="K32" s="576" t="s">
        <v>326</v>
      </c>
    </row>
    <row r="33" spans="1:11" ht="14.4" customHeight="1" thickBot="1" x14ac:dyDescent="0.35">
      <c r="A33" s="587" t="s">
        <v>337</v>
      </c>
      <c r="B33" s="565">
        <v>0.22067453692399999</v>
      </c>
      <c r="C33" s="565">
        <v>0</v>
      </c>
      <c r="D33" s="566">
        <v>-0.22067453692399999</v>
      </c>
      <c r="E33" s="567">
        <v>0</v>
      </c>
      <c r="F33" s="565">
        <v>0</v>
      </c>
      <c r="G33" s="566">
        <v>0</v>
      </c>
      <c r="H33" s="568">
        <v>0</v>
      </c>
      <c r="I33" s="565">
        <v>0</v>
      </c>
      <c r="J33" s="566">
        <v>0</v>
      </c>
      <c r="K33" s="569">
        <v>0</v>
      </c>
    </row>
    <row r="34" spans="1:11" ht="14.4" customHeight="1" thickBot="1" x14ac:dyDescent="0.35">
      <c r="A34" s="586" t="s">
        <v>338</v>
      </c>
      <c r="B34" s="570">
        <v>342.86339678123397</v>
      </c>
      <c r="C34" s="570">
        <v>271.55795999999998</v>
      </c>
      <c r="D34" s="571">
        <v>-71.305436781233993</v>
      </c>
      <c r="E34" s="577">
        <v>0.79202960289500002</v>
      </c>
      <c r="F34" s="570">
        <v>296.336027406401</v>
      </c>
      <c r="G34" s="571">
        <v>172.862682653734</v>
      </c>
      <c r="H34" s="573">
        <v>28.873339999999999</v>
      </c>
      <c r="I34" s="570">
        <v>178.69415000000001</v>
      </c>
      <c r="J34" s="571">
        <v>5.8314673462659998</v>
      </c>
      <c r="K34" s="578">
        <v>0.60301189687900003</v>
      </c>
    </row>
    <row r="35" spans="1:11" ht="14.4" customHeight="1" thickBot="1" x14ac:dyDescent="0.35">
      <c r="A35" s="587" t="s">
        <v>339</v>
      </c>
      <c r="B35" s="565">
        <v>89.999682588785006</v>
      </c>
      <c r="C35" s="565">
        <v>70.465400000000002</v>
      </c>
      <c r="D35" s="566">
        <v>-19.534282588785</v>
      </c>
      <c r="E35" s="567">
        <v>0.78295165019500002</v>
      </c>
      <c r="F35" s="565">
        <v>89.999997165218005</v>
      </c>
      <c r="G35" s="566">
        <v>52.499998346376998</v>
      </c>
      <c r="H35" s="568">
        <v>7.3840300000000001</v>
      </c>
      <c r="I35" s="565">
        <v>51.419870000000003</v>
      </c>
      <c r="J35" s="566">
        <v>-1.0801283463769999</v>
      </c>
      <c r="K35" s="569">
        <v>0.57133190688400004</v>
      </c>
    </row>
    <row r="36" spans="1:11" ht="14.4" customHeight="1" thickBot="1" x14ac:dyDescent="0.35">
      <c r="A36" s="587" t="s">
        <v>340</v>
      </c>
      <c r="B36" s="565">
        <v>24.999911830218</v>
      </c>
      <c r="C36" s="565">
        <v>17.1127</v>
      </c>
      <c r="D36" s="566">
        <v>-7.8872118302179999</v>
      </c>
      <c r="E36" s="567">
        <v>0.68451041412500002</v>
      </c>
      <c r="F36" s="565">
        <v>24.999999212559999</v>
      </c>
      <c r="G36" s="566">
        <v>14.583332873992999</v>
      </c>
      <c r="H36" s="568">
        <v>2.0405700000000002</v>
      </c>
      <c r="I36" s="565">
        <v>12.69603</v>
      </c>
      <c r="J36" s="566">
        <v>-1.887302873993</v>
      </c>
      <c r="K36" s="569">
        <v>0.50784121599499998</v>
      </c>
    </row>
    <row r="37" spans="1:11" ht="14.4" customHeight="1" thickBot="1" x14ac:dyDescent="0.35">
      <c r="A37" s="587" t="s">
        <v>341</v>
      </c>
      <c r="B37" s="565">
        <v>227.86380236222999</v>
      </c>
      <c r="C37" s="565">
        <v>183.25890999999999</v>
      </c>
      <c r="D37" s="566">
        <v>-44.604892362229997</v>
      </c>
      <c r="E37" s="567">
        <v>0.80424757289299997</v>
      </c>
      <c r="F37" s="565">
        <v>181.33603102862199</v>
      </c>
      <c r="G37" s="566">
        <v>105.779351433363</v>
      </c>
      <c r="H37" s="568">
        <v>19.448740000000001</v>
      </c>
      <c r="I37" s="565">
        <v>114.57825</v>
      </c>
      <c r="J37" s="566">
        <v>8.7988985666369999</v>
      </c>
      <c r="K37" s="569">
        <v>0.63185594914599996</v>
      </c>
    </row>
    <row r="38" spans="1:11" ht="14.4" customHeight="1" thickBot="1" x14ac:dyDescent="0.35">
      <c r="A38" s="587" t="s">
        <v>342</v>
      </c>
      <c r="B38" s="565">
        <v>0</v>
      </c>
      <c r="C38" s="565">
        <v>0.72094999999999998</v>
      </c>
      <c r="D38" s="566">
        <v>0.72094999999999998</v>
      </c>
      <c r="E38" s="575" t="s">
        <v>307</v>
      </c>
      <c r="F38" s="565">
        <v>0</v>
      </c>
      <c r="G38" s="566">
        <v>0</v>
      </c>
      <c r="H38" s="568">
        <v>0</v>
      </c>
      <c r="I38" s="565">
        <v>0</v>
      </c>
      <c r="J38" s="566">
        <v>0</v>
      </c>
      <c r="K38" s="576" t="s">
        <v>307</v>
      </c>
    </row>
    <row r="39" spans="1:11" ht="14.4" customHeight="1" thickBot="1" x14ac:dyDescent="0.35">
      <c r="A39" s="586" t="s">
        <v>343</v>
      </c>
      <c r="B39" s="570">
        <v>732.36899488167398</v>
      </c>
      <c r="C39" s="570">
        <v>715.10303999999996</v>
      </c>
      <c r="D39" s="571">
        <v>-17.265954881673</v>
      </c>
      <c r="E39" s="577">
        <v>0.97642451414099996</v>
      </c>
      <c r="F39" s="570">
        <v>676.98212078851702</v>
      </c>
      <c r="G39" s="571">
        <v>394.90623712663501</v>
      </c>
      <c r="H39" s="573">
        <v>56.949469999999998</v>
      </c>
      <c r="I39" s="570">
        <v>461.37029999999999</v>
      </c>
      <c r="J39" s="571">
        <v>66.464062873364995</v>
      </c>
      <c r="K39" s="578">
        <v>0.68151031738099999</v>
      </c>
    </row>
    <row r="40" spans="1:11" ht="14.4" customHeight="1" thickBot="1" x14ac:dyDescent="0.35">
      <c r="A40" s="587" t="s">
        <v>344</v>
      </c>
      <c r="B40" s="565">
        <v>89.106995610298</v>
      </c>
      <c r="C40" s="565">
        <v>24.857240000000001</v>
      </c>
      <c r="D40" s="566">
        <v>-64.249755610297996</v>
      </c>
      <c r="E40" s="567">
        <v>0.27895946698399998</v>
      </c>
      <c r="F40" s="565">
        <v>31.153518621806999</v>
      </c>
      <c r="G40" s="566">
        <v>18.172885862720999</v>
      </c>
      <c r="H40" s="568">
        <v>0.246</v>
      </c>
      <c r="I40" s="565">
        <v>5.7031000000000001</v>
      </c>
      <c r="J40" s="566">
        <v>-12.469785862721</v>
      </c>
      <c r="K40" s="569">
        <v>0.18306439376</v>
      </c>
    </row>
    <row r="41" spans="1:11" ht="14.4" customHeight="1" thickBot="1" x14ac:dyDescent="0.35">
      <c r="A41" s="587" t="s">
        <v>345</v>
      </c>
      <c r="B41" s="565">
        <v>17.419294411065</v>
      </c>
      <c r="C41" s="565">
        <v>18.445129999999999</v>
      </c>
      <c r="D41" s="566">
        <v>1.0258355889340001</v>
      </c>
      <c r="E41" s="567">
        <v>1.058890765878</v>
      </c>
      <c r="F41" s="565">
        <v>11.999999622029</v>
      </c>
      <c r="G41" s="566">
        <v>6.9999997795160001</v>
      </c>
      <c r="H41" s="568">
        <v>1.19343</v>
      </c>
      <c r="I41" s="565">
        <v>9.6541200000000007</v>
      </c>
      <c r="J41" s="566">
        <v>2.6541202204830001</v>
      </c>
      <c r="K41" s="569">
        <v>0.80451002534000005</v>
      </c>
    </row>
    <row r="42" spans="1:11" ht="14.4" customHeight="1" thickBot="1" x14ac:dyDescent="0.35">
      <c r="A42" s="587" t="s">
        <v>346</v>
      </c>
      <c r="B42" s="565">
        <v>383.41602812156401</v>
      </c>
      <c r="C42" s="565">
        <v>427.48145</v>
      </c>
      <c r="D42" s="566">
        <v>44.065421878435998</v>
      </c>
      <c r="E42" s="567">
        <v>1.114928481457</v>
      </c>
      <c r="F42" s="565">
        <v>388.31930531415202</v>
      </c>
      <c r="G42" s="566">
        <v>226.519594766588</v>
      </c>
      <c r="H42" s="568">
        <v>37.330919999999999</v>
      </c>
      <c r="I42" s="565">
        <v>317.34694999999999</v>
      </c>
      <c r="J42" s="566">
        <v>90.827355233410998</v>
      </c>
      <c r="K42" s="569">
        <v>0.81723196775700002</v>
      </c>
    </row>
    <row r="43" spans="1:11" ht="14.4" customHeight="1" thickBot="1" x14ac:dyDescent="0.35">
      <c r="A43" s="587" t="s">
        <v>347</v>
      </c>
      <c r="B43" s="565">
        <v>52.102454856861002</v>
      </c>
      <c r="C43" s="565">
        <v>48.896949999999997</v>
      </c>
      <c r="D43" s="566">
        <v>-3.2055048568609998</v>
      </c>
      <c r="E43" s="567">
        <v>0.93847689392599998</v>
      </c>
      <c r="F43" s="565">
        <v>49.999998425120999</v>
      </c>
      <c r="G43" s="566">
        <v>29.166665747987</v>
      </c>
      <c r="H43" s="568">
        <v>5.3102200000000002</v>
      </c>
      <c r="I43" s="565">
        <v>33.865940000000002</v>
      </c>
      <c r="J43" s="566">
        <v>4.6992742520119997</v>
      </c>
      <c r="K43" s="569">
        <v>0.67731882133300003</v>
      </c>
    </row>
    <row r="44" spans="1:11" ht="14.4" customHeight="1" thickBot="1" x14ac:dyDescent="0.35">
      <c r="A44" s="587" t="s">
        <v>348</v>
      </c>
      <c r="B44" s="565">
        <v>13.998865634469</v>
      </c>
      <c r="C44" s="565">
        <v>7.8736600000000001</v>
      </c>
      <c r="D44" s="566">
        <v>-6.1252056344690002</v>
      </c>
      <c r="E44" s="567">
        <v>0.56244985883800003</v>
      </c>
      <c r="F44" s="565">
        <v>13.999999559034</v>
      </c>
      <c r="G44" s="566">
        <v>8.1666664094360009</v>
      </c>
      <c r="H44" s="568">
        <v>0.40789999999999998</v>
      </c>
      <c r="I44" s="565">
        <v>1.77972</v>
      </c>
      <c r="J44" s="566">
        <v>-6.3869464094359998</v>
      </c>
      <c r="K44" s="569">
        <v>0.12712286114599999</v>
      </c>
    </row>
    <row r="45" spans="1:11" ht="14.4" customHeight="1" thickBot="1" x14ac:dyDescent="0.35">
      <c r="A45" s="587" t="s">
        <v>349</v>
      </c>
      <c r="B45" s="565">
        <v>32.608968212968001</v>
      </c>
      <c r="C45" s="565">
        <v>8.3685700000000001</v>
      </c>
      <c r="D45" s="566">
        <v>-24.240398212968</v>
      </c>
      <c r="E45" s="567">
        <v>0.25663400158299998</v>
      </c>
      <c r="F45" s="565">
        <v>18.257129319158</v>
      </c>
      <c r="G45" s="566">
        <v>10.649992102842001</v>
      </c>
      <c r="H45" s="568">
        <v>0.17917</v>
      </c>
      <c r="I45" s="565">
        <v>7.72342</v>
      </c>
      <c r="J45" s="566">
        <v>-2.926572102842</v>
      </c>
      <c r="K45" s="569">
        <v>0.42303583794400001</v>
      </c>
    </row>
    <row r="46" spans="1:11" ht="14.4" customHeight="1" thickBot="1" x14ac:dyDescent="0.35">
      <c r="A46" s="587" t="s">
        <v>350</v>
      </c>
      <c r="B46" s="565">
        <v>0.31204543962100001</v>
      </c>
      <c r="C46" s="565">
        <v>0</v>
      </c>
      <c r="D46" s="566">
        <v>-0.31204543962100001</v>
      </c>
      <c r="E46" s="567">
        <v>0</v>
      </c>
      <c r="F46" s="565">
        <v>0</v>
      </c>
      <c r="G46" s="566">
        <v>0</v>
      </c>
      <c r="H46" s="568">
        <v>0</v>
      </c>
      <c r="I46" s="565">
        <v>0</v>
      </c>
      <c r="J46" s="566">
        <v>0</v>
      </c>
      <c r="K46" s="569">
        <v>0</v>
      </c>
    </row>
    <row r="47" spans="1:11" ht="14.4" customHeight="1" thickBot="1" x14ac:dyDescent="0.35">
      <c r="A47" s="587" t="s">
        <v>351</v>
      </c>
      <c r="B47" s="565">
        <v>11.591398343683</v>
      </c>
      <c r="C47" s="565">
        <v>6.1226000000000003</v>
      </c>
      <c r="D47" s="566">
        <v>-5.4687983436819998</v>
      </c>
      <c r="E47" s="567">
        <v>0.52820201829500002</v>
      </c>
      <c r="F47" s="565">
        <v>6.9999997795160001</v>
      </c>
      <c r="G47" s="566">
        <v>4.0833332047180004</v>
      </c>
      <c r="H47" s="568">
        <v>0</v>
      </c>
      <c r="I47" s="565">
        <v>2.9620799999999998</v>
      </c>
      <c r="J47" s="566">
        <v>-1.1212532047179999</v>
      </c>
      <c r="K47" s="569">
        <v>0.42315429904200003</v>
      </c>
    </row>
    <row r="48" spans="1:11" ht="14.4" customHeight="1" thickBot="1" x14ac:dyDescent="0.35">
      <c r="A48" s="587" t="s">
        <v>352</v>
      </c>
      <c r="B48" s="565">
        <v>59.393970822455998</v>
      </c>
      <c r="C48" s="565">
        <v>34.55659</v>
      </c>
      <c r="D48" s="566">
        <v>-24.837380822456002</v>
      </c>
      <c r="E48" s="567">
        <v>0.58181982988299996</v>
      </c>
      <c r="F48" s="565">
        <v>56.252173013977</v>
      </c>
      <c r="G48" s="566">
        <v>32.813767591485998</v>
      </c>
      <c r="H48" s="568">
        <v>1.5262</v>
      </c>
      <c r="I48" s="565">
        <v>18.650469999999999</v>
      </c>
      <c r="J48" s="566">
        <v>-14.163297591486</v>
      </c>
      <c r="K48" s="569">
        <v>0.33155110284099998</v>
      </c>
    </row>
    <row r="49" spans="1:11" ht="14.4" customHeight="1" thickBot="1" x14ac:dyDescent="0.35">
      <c r="A49" s="587" t="s">
        <v>353</v>
      </c>
      <c r="B49" s="565">
        <v>0</v>
      </c>
      <c r="C49" s="565">
        <v>13.46</v>
      </c>
      <c r="D49" s="566">
        <v>13.46</v>
      </c>
      <c r="E49" s="575" t="s">
        <v>307</v>
      </c>
      <c r="F49" s="565">
        <v>0</v>
      </c>
      <c r="G49" s="566">
        <v>0</v>
      </c>
      <c r="H49" s="568">
        <v>0</v>
      </c>
      <c r="I49" s="565">
        <v>0</v>
      </c>
      <c r="J49" s="566">
        <v>0</v>
      </c>
      <c r="K49" s="569">
        <v>0</v>
      </c>
    </row>
    <row r="50" spans="1:11" ht="14.4" customHeight="1" thickBot="1" x14ac:dyDescent="0.35">
      <c r="A50" s="587" t="s">
        <v>354</v>
      </c>
      <c r="B50" s="565">
        <v>72.418973428685007</v>
      </c>
      <c r="C50" s="565">
        <v>124.07777</v>
      </c>
      <c r="D50" s="566">
        <v>51.658796571313999</v>
      </c>
      <c r="E50" s="567">
        <v>1.7133323509780001</v>
      </c>
      <c r="F50" s="565">
        <v>99.999997133720001</v>
      </c>
      <c r="G50" s="566">
        <v>58.333331661335997</v>
      </c>
      <c r="H50" s="568">
        <v>10.75563</v>
      </c>
      <c r="I50" s="565">
        <v>63.516599999999997</v>
      </c>
      <c r="J50" s="566">
        <v>5.1832683386629999</v>
      </c>
      <c r="K50" s="569">
        <v>0.63516601820499996</v>
      </c>
    </row>
    <row r="51" spans="1:11" ht="14.4" customHeight="1" thickBot="1" x14ac:dyDescent="0.35">
      <c r="A51" s="587" t="s">
        <v>355</v>
      </c>
      <c r="B51" s="565">
        <v>0</v>
      </c>
      <c r="C51" s="565">
        <v>0.96308000000000005</v>
      </c>
      <c r="D51" s="566">
        <v>0.96308000000000005</v>
      </c>
      <c r="E51" s="575" t="s">
        <v>307</v>
      </c>
      <c r="F51" s="565">
        <v>0</v>
      </c>
      <c r="G51" s="566">
        <v>0</v>
      </c>
      <c r="H51" s="568">
        <v>0</v>
      </c>
      <c r="I51" s="565">
        <v>0.16789999999999999</v>
      </c>
      <c r="J51" s="566">
        <v>0.16789999999999999</v>
      </c>
      <c r="K51" s="576" t="s">
        <v>307</v>
      </c>
    </row>
    <row r="52" spans="1:11" ht="14.4" customHeight="1" thickBot="1" x14ac:dyDescent="0.35">
      <c r="A52" s="586" t="s">
        <v>356</v>
      </c>
      <c r="B52" s="570">
        <v>187.711070006216</v>
      </c>
      <c r="C52" s="570">
        <v>284.29178999999999</v>
      </c>
      <c r="D52" s="571">
        <v>96.580719993784001</v>
      </c>
      <c r="E52" s="577">
        <v>1.514517976966</v>
      </c>
      <c r="F52" s="570">
        <v>305.06823129983297</v>
      </c>
      <c r="G52" s="571">
        <v>177.95646825823599</v>
      </c>
      <c r="H52" s="573">
        <v>34.624189999999999</v>
      </c>
      <c r="I52" s="570">
        <v>240.90421000000001</v>
      </c>
      <c r="J52" s="571">
        <v>62.947741741762997</v>
      </c>
      <c r="K52" s="578">
        <v>0.78967321170500004</v>
      </c>
    </row>
    <row r="53" spans="1:11" ht="14.4" customHeight="1" thickBot="1" x14ac:dyDescent="0.35">
      <c r="A53" s="587" t="s">
        <v>357</v>
      </c>
      <c r="B53" s="565">
        <v>4.3783310603940002</v>
      </c>
      <c r="C53" s="565">
        <v>0.224</v>
      </c>
      <c r="D53" s="566">
        <v>-4.154331060394</v>
      </c>
      <c r="E53" s="567">
        <v>5.1161046734000001E-2</v>
      </c>
      <c r="F53" s="565">
        <v>0.40410194688599999</v>
      </c>
      <c r="G53" s="566">
        <v>0.23572613568299999</v>
      </c>
      <c r="H53" s="568">
        <v>0</v>
      </c>
      <c r="I53" s="565">
        <v>0.36499999999999999</v>
      </c>
      <c r="J53" s="566">
        <v>0.12927386431599999</v>
      </c>
      <c r="K53" s="569">
        <v>0.90323742018999997</v>
      </c>
    </row>
    <row r="54" spans="1:11" ht="14.4" customHeight="1" thickBot="1" x14ac:dyDescent="0.35">
      <c r="A54" s="587" t="s">
        <v>358</v>
      </c>
      <c r="B54" s="565">
        <v>175.331246961701</v>
      </c>
      <c r="C54" s="565">
        <v>277.98131000000001</v>
      </c>
      <c r="D54" s="566">
        <v>102.650063038299</v>
      </c>
      <c r="E54" s="567">
        <v>1.5854635999969999</v>
      </c>
      <c r="F54" s="565">
        <v>298.66412954193203</v>
      </c>
      <c r="G54" s="566">
        <v>174.22074223279401</v>
      </c>
      <c r="H54" s="568">
        <v>32.132150000000003</v>
      </c>
      <c r="I54" s="565">
        <v>231.57521</v>
      </c>
      <c r="J54" s="566">
        <v>57.354467767206003</v>
      </c>
      <c r="K54" s="569">
        <v>0.77537001298099995</v>
      </c>
    </row>
    <row r="55" spans="1:11" ht="14.4" customHeight="1" thickBot="1" x14ac:dyDescent="0.35">
      <c r="A55" s="587" t="s">
        <v>359</v>
      </c>
      <c r="B55" s="565">
        <v>0</v>
      </c>
      <c r="C55" s="565">
        <v>0.84699999999999998</v>
      </c>
      <c r="D55" s="566">
        <v>0.84699999999999998</v>
      </c>
      <c r="E55" s="575" t="s">
        <v>326</v>
      </c>
      <c r="F55" s="565">
        <v>0</v>
      </c>
      <c r="G55" s="566">
        <v>0</v>
      </c>
      <c r="H55" s="568">
        <v>2.3715999999999999</v>
      </c>
      <c r="I55" s="565">
        <v>4.0655999999999999</v>
      </c>
      <c r="J55" s="566">
        <v>4.0655999999999999</v>
      </c>
      <c r="K55" s="576" t="s">
        <v>307</v>
      </c>
    </row>
    <row r="56" spans="1:11" ht="14.4" customHeight="1" thickBot="1" x14ac:dyDescent="0.35">
      <c r="A56" s="587" t="s">
        <v>360</v>
      </c>
      <c r="B56" s="565">
        <v>8.0014919841189993</v>
      </c>
      <c r="C56" s="565">
        <v>5.2394800000000004</v>
      </c>
      <c r="D56" s="566">
        <v>-2.7620119841189998</v>
      </c>
      <c r="E56" s="567">
        <v>0.654812878697</v>
      </c>
      <c r="F56" s="565">
        <v>5.9999998110139998</v>
      </c>
      <c r="G56" s="566">
        <v>3.499999889758</v>
      </c>
      <c r="H56" s="568">
        <v>0.12044000000000001</v>
      </c>
      <c r="I56" s="565">
        <v>4.8983999999999996</v>
      </c>
      <c r="J56" s="566">
        <v>1.398400110241</v>
      </c>
      <c r="K56" s="569">
        <v>0.81640002571400005</v>
      </c>
    </row>
    <row r="57" spans="1:11" ht="14.4" customHeight="1" thickBot="1" x14ac:dyDescent="0.35">
      <c r="A57" s="586" t="s">
        <v>361</v>
      </c>
      <c r="B57" s="570">
        <v>461.17556527500801</v>
      </c>
      <c r="C57" s="570">
        <v>471.65722</v>
      </c>
      <c r="D57" s="571">
        <v>10.481654724992</v>
      </c>
      <c r="E57" s="577">
        <v>1.0227281224639999</v>
      </c>
      <c r="F57" s="570">
        <v>544.99998292831299</v>
      </c>
      <c r="G57" s="571">
        <v>317.91665670818298</v>
      </c>
      <c r="H57" s="573">
        <v>64.291110000000003</v>
      </c>
      <c r="I57" s="570">
        <v>274.59154000000001</v>
      </c>
      <c r="J57" s="571">
        <v>-43.325116708182001</v>
      </c>
      <c r="K57" s="578">
        <v>0.50383770385500004</v>
      </c>
    </row>
    <row r="58" spans="1:11" ht="14.4" customHeight="1" thickBot="1" x14ac:dyDescent="0.35">
      <c r="A58" s="587" t="s">
        <v>362</v>
      </c>
      <c r="B58" s="565">
        <v>0.124527266397</v>
      </c>
      <c r="C58" s="565">
        <v>9.1129999999999995</v>
      </c>
      <c r="D58" s="566">
        <v>8.9884727336020003</v>
      </c>
      <c r="E58" s="567">
        <v>0</v>
      </c>
      <c r="F58" s="565">
        <v>0</v>
      </c>
      <c r="G58" s="566">
        <v>0</v>
      </c>
      <c r="H58" s="568">
        <v>0</v>
      </c>
      <c r="I58" s="565">
        <v>0.1</v>
      </c>
      <c r="J58" s="566">
        <v>0.1</v>
      </c>
      <c r="K58" s="576" t="s">
        <v>307</v>
      </c>
    </row>
    <row r="59" spans="1:11" ht="14.4" customHeight="1" thickBot="1" x14ac:dyDescent="0.35">
      <c r="A59" s="587" t="s">
        <v>363</v>
      </c>
      <c r="B59" s="565">
        <v>21.071844208586</v>
      </c>
      <c r="C59" s="565">
        <v>13.12025</v>
      </c>
      <c r="D59" s="566">
        <v>-7.9515942085860001</v>
      </c>
      <c r="E59" s="567">
        <v>0.62264365046100001</v>
      </c>
      <c r="F59" s="565">
        <v>15.999999496038001</v>
      </c>
      <c r="G59" s="566">
        <v>9.3333330393550007</v>
      </c>
      <c r="H59" s="568">
        <v>5.5978700000000003</v>
      </c>
      <c r="I59" s="565">
        <v>14.8926</v>
      </c>
      <c r="J59" s="566">
        <v>5.5592669606439999</v>
      </c>
      <c r="K59" s="569">
        <v>0.93078752931700004</v>
      </c>
    </row>
    <row r="60" spans="1:11" ht="14.4" customHeight="1" thickBot="1" x14ac:dyDescent="0.35">
      <c r="A60" s="587" t="s">
        <v>364</v>
      </c>
      <c r="B60" s="565">
        <v>0</v>
      </c>
      <c r="C60" s="565">
        <v>31.484999999999999</v>
      </c>
      <c r="D60" s="566">
        <v>31.484999999999999</v>
      </c>
      <c r="E60" s="575" t="s">
        <v>326</v>
      </c>
      <c r="F60" s="565">
        <v>20.999999338550001</v>
      </c>
      <c r="G60" s="566">
        <v>12.249999614154</v>
      </c>
      <c r="H60" s="568">
        <v>0</v>
      </c>
      <c r="I60" s="565">
        <v>0</v>
      </c>
      <c r="J60" s="566">
        <v>-12.249999614154</v>
      </c>
      <c r="K60" s="569">
        <v>0</v>
      </c>
    </row>
    <row r="61" spans="1:11" ht="14.4" customHeight="1" thickBot="1" x14ac:dyDescent="0.35">
      <c r="A61" s="587" t="s">
        <v>365</v>
      </c>
      <c r="B61" s="565">
        <v>0</v>
      </c>
      <c r="C61" s="565">
        <v>10.63158</v>
      </c>
      <c r="D61" s="566">
        <v>10.63158</v>
      </c>
      <c r="E61" s="575" t="s">
        <v>307</v>
      </c>
      <c r="F61" s="565">
        <v>16.999999464540998</v>
      </c>
      <c r="G61" s="566">
        <v>9.9166663543149998</v>
      </c>
      <c r="H61" s="568">
        <v>1.1663300000000001</v>
      </c>
      <c r="I61" s="565">
        <v>5.2484999999999999</v>
      </c>
      <c r="J61" s="566">
        <v>-4.6681663543149998</v>
      </c>
      <c r="K61" s="569">
        <v>0.30873530384199999</v>
      </c>
    </row>
    <row r="62" spans="1:11" ht="14.4" customHeight="1" thickBot="1" x14ac:dyDescent="0.35">
      <c r="A62" s="587" t="s">
        <v>366</v>
      </c>
      <c r="B62" s="565">
        <v>35.003366792005998</v>
      </c>
      <c r="C62" s="565">
        <v>43.491689999999998</v>
      </c>
      <c r="D62" s="566">
        <v>8.488323207993</v>
      </c>
      <c r="E62" s="567">
        <v>1.2425001931499999</v>
      </c>
      <c r="F62" s="565">
        <v>51.999998456618002</v>
      </c>
      <c r="G62" s="566">
        <v>30.333332433027</v>
      </c>
      <c r="H62" s="568">
        <v>22.716170000000002</v>
      </c>
      <c r="I62" s="565">
        <v>56.114759999999997</v>
      </c>
      <c r="J62" s="566">
        <v>25.781427566971999</v>
      </c>
      <c r="K62" s="569">
        <v>1.079130032029</v>
      </c>
    </row>
    <row r="63" spans="1:11" ht="14.4" customHeight="1" thickBot="1" x14ac:dyDescent="0.35">
      <c r="A63" s="587" t="s">
        <v>367</v>
      </c>
      <c r="B63" s="565">
        <v>257.99580582791702</v>
      </c>
      <c r="C63" s="565">
        <v>231.2379</v>
      </c>
      <c r="D63" s="566">
        <v>-26.757905827917</v>
      </c>
      <c r="E63" s="567">
        <v>0.89628550068000001</v>
      </c>
      <c r="F63" s="565">
        <v>284.999991023191</v>
      </c>
      <c r="G63" s="566">
        <v>166.24999476352801</v>
      </c>
      <c r="H63" s="568">
        <v>22.962330000000001</v>
      </c>
      <c r="I63" s="565">
        <v>118.38008000000001</v>
      </c>
      <c r="J63" s="566">
        <v>-47.869914763528001</v>
      </c>
      <c r="K63" s="569">
        <v>0.415368714837</v>
      </c>
    </row>
    <row r="64" spans="1:11" ht="14.4" customHeight="1" thickBot="1" x14ac:dyDescent="0.35">
      <c r="A64" s="587" t="s">
        <v>368</v>
      </c>
      <c r="B64" s="565">
        <v>146.98002118010101</v>
      </c>
      <c r="C64" s="565">
        <v>132.5778</v>
      </c>
      <c r="D64" s="566">
        <v>-14.402221180101</v>
      </c>
      <c r="E64" s="567">
        <v>0.90201238872800005</v>
      </c>
      <c r="F64" s="565">
        <v>153.99999514937301</v>
      </c>
      <c r="G64" s="566">
        <v>89.833330503800994</v>
      </c>
      <c r="H64" s="568">
        <v>11.848409999999999</v>
      </c>
      <c r="I64" s="565">
        <v>79.855599999999995</v>
      </c>
      <c r="J64" s="566">
        <v>-9.9777305038010002</v>
      </c>
      <c r="K64" s="569">
        <v>0.51854287347500005</v>
      </c>
    </row>
    <row r="65" spans="1:11" ht="14.4" customHeight="1" thickBot="1" x14ac:dyDescent="0.35">
      <c r="A65" s="586" t="s">
        <v>369</v>
      </c>
      <c r="B65" s="570">
        <v>0</v>
      </c>
      <c r="C65" s="570">
        <v>71.103999999999999</v>
      </c>
      <c r="D65" s="571">
        <v>71.103999999999999</v>
      </c>
      <c r="E65" s="572" t="s">
        <v>307</v>
      </c>
      <c r="F65" s="570">
        <v>0</v>
      </c>
      <c r="G65" s="571">
        <v>0</v>
      </c>
      <c r="H65" s="573">
        <v>0</v>
      </c>
      <c r="I65" s="570">
        <v>1.8</v>
      </c>
      <c r="J65" s="571">
        <v>1.8</v>
      </c>
      <c r="K65" s="574" t="s">
        <v>307</v>
      </c>
    </row>
    <row r="66" spans="1:11" ht="14.4" customHeight="1" thickBot="1" x14ac:dyDescent="0.35">
      <c r="A66" s="587" t="s">
        <v>370</v>
      </c>
      <c r="B66" s="565">
        <v>0</v>
      </c>
      <c r="C66" s="565">
        <v>9.8369999999999997</v>
      </c>
      <c r="D66" s="566">
        <v>9.8369999999999997</v>
      </c>
      <c r="E66" s="575" t="s">
        <v>326</v>
      </c>
      <c r="F66" s="565">
        <v>0</v>
      </c>
      <c r="G66" s="566">
        <v>0</v>
      </c>
      <c r="H66" s="568">
        <v>0</v>
      </c>
      <c r="I66" s="565">
        <v>0</v>
      </c>
      <c r="J66" s="566">
        <v>0</v>
      </c>
      <c r="K66" s="576" t="s">
        <v>307</v>
      </c>
    </row>
    <row r="67" spans="1:11" ht="14.4" customHeight="1" thickBot="1" x14ac:dyDescent="0.35">
      <c r="A67" s="587" t="s">
        <v>371</v>
      </c>
      <c r="B67" s="565">
        <v>0</v>
      </c>
      <c r="C67" s="565">
        <v>61.267000000000003</v>
      </c>
      <c r="D67" s="566">
        <v>61.267000000000003</v>
      </c>
      <c r="E67" s="575" t="s">
        <v>307</v>
      </c>
      <c r="F67" s="565">
        <v>0</v>
      </c>
      <c r="G67" s="566">
        <v>0</v>
      </c>
      <c r="H67" s="568">
        <v>0</v>
      </c>
      <c r="I67" s="565">
        <v>1.8</v>
      </c>
      <c r="J67" s="566">
        <v>1.8</v>
      </c>
      <c r="K67" s="576" t="s">
        <v>307</v>
      </c>
    </row>
    <row r="68" spans="1:11" ht="14.4" customHeight="1" thickBot="1" x14ac:dyDescent="0.35">
      <c r="A68" s="585" t="s">
        <v>29</v>
      </c>
      <c r="B68" s="565">
        <v>985.28526246988395</v>
      </c>
      <c r="C68" s="565">
        <v>866.43000000000097</v>
      </c>
      <c r="D68" s="566">
        <v>-118.855262469883</v>
      </c>
      <c r="E68" s="567">
        <v>0.87936969424199996</v>
      </c>
      <c r="F68" s="565">
        <v>900.27926435130496</v>
      </c>
      <c r="G68" s="566">
        <v>525.16290420492805</v>
      </c>
      <c r="H68" s="568">
        <v>53.427</v>
      </c>
      <c r="I68" s="565">
        <v>552.53200000000004</v>
      </c>
      <c r="J68" s="566">
        <v>27.369095795071999</v>
      </c>
      <c r="K68" s="569">
        <v>0.61373400663400002</v>
      </c>
    </row>
    <row r="69" spans="1:11" ht="14.4" customHeight="1" thickBot="1" x14ac:dyDescent="0.35">
      <c r="A69" s="586" t="s">
        <v>372</v>
      </c>
      <c r="B69" s="570">
        <v>985.28526246988395</v>
      </c>
      <c r="C69" s="570">
        <v>866.43000000000097</v>
      </c>
      <c r="D69" s="571">
        <v>-118.855262469883</v>
      </c>
      <c r="E69" s="577">
        <v>0.87936969424199996</v>
      </c>
      <c r="F69" s="570">
        <v>900.27926435130496</v>
      </c>
      <c r="G69" s="571">
        <v>525.16290420492805</v>
      </c>
      <c r="H69" s="573">
        <v>53.427</v>
      </c>
      <c r="I69" s="570">
        <v>552.53200000000004</v>
      </c>
      <c r="J69" s="571">
        <v>27.369095795071999</v>
      </c>
      <c r="K69" s="578">
        <v>0.61373400663400002</v>
      </c>
    </row>
    <row r="70" spans="1:11" ht="14.4" customHeight="1" thickBot="1" x14ac:dyDescent="0.35">
      <c r="A70" s="587" t="s">
        <v>373</v>
      </c>
      <c r="B70" s="565">
        <v>330.48244515580802</v>
      </c>
      <c r="C70" s="565">
        <v>259.96300000000002</v>
      </c>
      <c r="D70" s="566">
        <v>-70.519445155808</v>
      </c>
      <c r="E70" s="567">
        <v>0.78661666848099998</v>
      </c>
      <c r="F70" s="565">
        <v>269.27928422627298</v>
      </c>
      <c r="G70" s="566">
        <v>157.07958246532601</v>
      </c>
      <c r="H70" s="568">
        <v>30.835999999999999</v>
      </c>
      <c r="I70" s="565">
        <v>160.08199999999999</v>
      </c>
      <c r="J70" s="566">
        <v>3.0024175346740001</v>
      </c>
      <c r="K70" s="569">
        <v>0.59448316070700002</v>
      </c>
    </row>
    <row r="71" spans="1:11" ht="14.4" customHeight="1" thickBot="1" x14ac:dyDescent="0.35">
      <c r="A71" s="587" t="s">
        <v>374</v>
      </c>
      <c r="B71" s="565">
        <v>77.013848627643</v>
      </c>
      <c r="C71" s="565">
        <v>70.465000000000003</v>
      </c>
      <c r="D71" s="566">
        <v>-6.5488486276430002</v>
      </c>
      <c r="E71" s="567">
        <v>0.914965311507</v>
      </c>
      <c r="F71" s="565">
        <v>76.999997574686006</v>
      </c>
      <c r="G71" s="566">
        <v>44.9166652519</v>
      </c>
      <c r="H71" s="568">
        <v>5.74</v>
      </c>
      <c r="I71" s="565">
        <v>42.043999999999997</v>
      </c>
      <c r="J71" s="566">
        <v>-2.8726652519</v>
      </c>
      <c r="K71" s="569">
        <v>0.54602599122399997</v>
      </c>
    </row>
    <row r="72" spans="1:11" ht="14.4" customHeight="1" thickBot="1" x14ac:dyDescent="0.35">
      <c r="A72" s="587" t="s">
        <v>375</v>
      </c>
      <c r="B72" s="565">
        <v>577.78896868643199</v>
      </c>
      <c r="C72" s="565">
        <v>536.00199999999995</v>
      </c>
      <c r="D72" s="566">
        <v>-41.786968686431003</v>
      </c>
      <c r="E72" s="567">
        <v>0.92767780114999998</v>
      </c>
      <c r="F72" s="565">
        <v>553.99998255034495</v>
      </c>
      <c r="G72" s="566">
        <v>323.166656487701</v>
      </c>
      <c r="H72" s="568">
        <v>16.850999999999999</v>
      </c>
      <c r="I72" s="565">
        <v>350.40600000000001</v>
      </c>
      <c r="J72" s="566">
        <v>27.239343512297999</v>
      </c>
      <c r="K72" s="569">
        <v>0.63250182497600005</v>
      </c>
    </row>
    <row r="73" spans="1:11" ht="14.4" customHeight="1" thickBot="1" x14ac:dyDescent="0.35">
      <c r="A73" s="585" t="s">
        <v>30</v>
      </c>
      <c r="B73" s="565">
        <v>0.28993067455499999</v>
      </c>
      <c r="C73" s="565">
        <v>150.63424000000001</v>
      </c>
      <c r="D73" s="566">
        <v>150.34430932544501</v>
      </c>
      <c r="E73" s="567">
        <v>0</v>
      </c>
      <c r="F73" s="565">
        <v>160.45208961352799</v>
      </c>
      <c r="G73" s="566">
        <v>93.597052274557996</v>
      </c>
      <c r="H73" s="568">
        <v>17.33295</v>
      </c>
      <c r="I73" s="565">
        <v>86.863799999999998</v>
      </c>
      <c r="J73" s="566">
        <v>-6.7332522745579997</v>
      </c>
      <c r="K73" s="569">
        <v>0.54136907913800003</v>
      </c>
    </row>
    <row r="74" spans="1:11" ht="14.4" customHeight="1" thickBot="1" x14ac:dyDescent="0.35">
      <c r="A74" s="586" t="s">
        <v>376</v>
      </c>
      <c r="B74" s="570">
        <v>0.28993067455499999</v>
      </c>
      <c r="C74" s="570">
        <v>150.63424000000001</v>
      </c>
      <c r="D74" s="571">
        <v>150.34430932544501</v>
      </c>
      <c r="E74" s="577">
        <v>0</v>
      </c>
      <c r="F74" s="570">
        <v>160.45208961352799</v>
      </c>
      <c r="G74" s="571">
        <v>93.597052274557996</v>
      </c>
      <c r="H74" s="573">
        <v>17.33295</v>
      </c>
      <c r="I74" s="570">
        <v>86.863799999999998</v>
      </c>
      <c r="J74" s="571">
        <v>-6.7332522745579997</v>
      </c>
      <c r="K74" s="578">
        <v>0.54136907913800003</v>
      </c>
    </row>
    <row r="75" spans="1:11" ht="14.4" customHeight="1" thickBot="1" x14ac:dyDescent="0.35">
      <c r="A75" s="587" t="s">
        <v>377</v>
      </c>
      <c r="B75" s="565">
        <v>0.28993067455499999</v>
      </c>
      <c r="C75" s="565">
        <v>150.63424000000001</v>
      </c>
      <c r="D75" s="566">
        <v>150.34430932544501</v>
      </c>
      <c r="E75" s="567">
        <v>0</v>
      </c>
      <c r="F75" s="565">
        <v>160.45208961352799</v>
      </c>
      <c r="G75" s="566">
        <v>93.597052274557996</v>
      </c>
      <c r="H75" s="568">
        <v>17.33295</v>
      </c>
      <c r="I75" s="565">
        <v>86.863799999999998</v>
      </c>
      <c r="J75" s="566">
        <v>-6.7332522745579997</v>
      </c>
      <c r="K75" s="569">
        <v>0.54136907913800003</v>
      </c>
    </row>
    <row r="76" spans="1:11" ht="14.4" customHeight="1" thickBot="1" x14ac:dyDescent="0.35">
      <c r="A76" s="588" t="s">
        <v>378</v>
      </c>
      <c r="B76" s="570">
        <v>3298.7644503813199</v>
      </c>
      <c r="C76" s="570">
        <v>2643.9469199999999</v>
      </c>
      <c r="D76" s="571">
        <v>-654.81753038131501</v>
      </c>
      <c r="E76" s="577">
        <v>0.80149612370599999</v>
      </c>
      <c r="F76" s="570">
        <v>2642.4908003574901</v>
      </c>
      <c r="G76" s="571">
        <v>1541.4529668752</v>
      </c>
      <c r="H76" s="573">
        <v>261.92025999999998</v>
      </c>
      <c r="I76" s="570">
        <v>1665.3021100000001</v>
      </c>
      <c r="J76" s="571">
        <v>123.849143124799</v>
      </c>
      <c r="K76" s="578">
        <v>0.63020166797699995</v>
      </c>
    </row>
    <row r="77" spans="1:11" ht="14.4" customHeight="1" thickBot="1" x14ac:dyDescent="0.35">
      <c r="A77" s="585" t="s">
        <v>32</v>
      </c>
      <c r="B77" s="565">
        <v>1207.37376973659</v>
      </c>
      <c r="C77" s="565">
        <v>634.85298</v>
      </c>
      <c r="D77" s="566">
        <v>-572.52078973658604</v>
      </c>
      <c r="E77" s="567">
        <v>0</v>
      </c>
      <c r="F77" s="565">
        <v>901.75626412193401</v>
      </c>
      <c r="G77" s="566">
        <v>526.02448740446198</v>
      </c>
      <c r="H77" s="568">
        <v>38.335299999999997</v>
      </c>
      <c r="I77" s="565">
        <v>437.8331</v>
      </c>
      <c r="J77" s="566">
        <v>-88.191387404460997</v>
      </c>
      <c r="K77" s="569">
        <v>0.48553374943900002</v>
      </c>
    </row>
    <row r="78" spans="1:11" ht="14.4" customHeight="1" thickBot="1" x14ac:dyDescent="0.35">
      <c r="A78" s="589" t="s">
        <v>379</v>
      </c>
      <c r="B78" s="565">
        <v>1207.37376973659</v>
      </c>
      <c r="C78" s="565">
        <v>634.85298</v>
      </c>
      <c r="D78" s="566">
        <v>-572.52078973658604</v>
      </c>
      <c r="E78" s="567">
        <v>0.52581312921699996</v>
      </c>
      <c r="F78" s="565">
        <v>901.75626412193401</v>
      </c>
      <c r="G78" s="566">
        <v>526.02448740446198</v>
      </c>
      <c r="H78" s="568">
        <v>38.335299999999997</v>
      </c>
      <c r="I78" s="565">
        <v>437.8331</v>
      </c>
      <c r="J78" s="566">
        <v>-88.191387404460997</v>
      </c>
      <c r="K78" s="569">
        <v>0.48553374943900002</v>
      </c>
    </row>
    <row r="79" spans="1:11" ht="14.4" customHeight="1" thickBot="1" x14ac:dyDescent="0.35">
      <c r="A79" s="587" t="s">
        <v>380</v>
      </c>
      <c r="B79" s="565">
        <v>942.02569722538703</v>
      </c>
      <c r="C79" s="565">
        <v>323.49583000000001</v>
      </c>
      <c r="D79" s="566">
        <v>-618.52986722538606</v>
      </c>
      <c r="E79" s="567">
        <v>0.34340446439200001</v>
      </c>
      <c r="F79" s="565">
        <v>355.27395909866198</v>
      </c>
      <c r="G79" s="566">
        <v>207.243142807553</v>
      </c>
      <c r="H79" s="568">
        <v>11.29879</v>
      </c>
      <c r="I79" s="565">
        <v>354.81995999999998</v>
      </c>
      <c r="J79" s="566">
        <v>147.57681719244701</v>
      </c>
      <c r="K79" s="569">
        <v>0.99872211546300005</v>
      </c>
    </row>
    <row r="80" spans="1:11" ht="14.4" customHeight="1" thickBot="1" x14ac:dyDescent="0.35">
      <c r="A80" s="587" t="s">
        <v>381</v>
      </c>
      <c r="B80" s="565">
        <v>0</v>
      </c>
      <c r="C80" s="565">
        <v>1.331</v>
      </c>
      <c r="D80" s="566">
        <v>1.331</v>
      </c>
      <c r="E80" s="575" t="s">
        <v>326</v>
      </c>
      <c r="F80" s="565">
        <v>1.703490986941</v>
      </c>
      <c r="G80" s="566">
        <v>0.99370307571500005</v>
      </c>
      <c r="H80" s="568">
        <v>0</v>
      </c>
      <c r="I80" s="565">
        <v>0</v>
      </c>
      <c r="J80" s="566">
        <v>-0.99370307571500005</v>
      </c>
      <c r="K80" s="569">
        <v>0</v>
      </c>
    </row>
    <row r="81" spans="1:11" ht="14.4" customHeight="1" thickBot="1" x14ac:dyDescent="0.35">
      <c r="A81" s="587" t="s">
        <v>382</v>
      </c>
      <c r="B81" s="565">
        <v>54.271576825979999</v>
      </c>
      <c r="C81" s="565">
        <v>93.737560000000002</v>
      </c>
      <c r="D81" s="566">
        <v>39.465983174019001</v>
      </c>
      <c r="E81" s="567">
        <v>1.7271943341639999</v>
      </c>
      <c r="F81" s="565">
        <v>85.850568143909996</v>
      </c>
      <c r="G81" s="566">
        <v>50.079498083947001</v>
      </c>
      <c r="H81" s="568">
        <v>0</v>
      </c>
      <c r="I81" s="565">
        <v>34.298229999999997</v>
      </c>
      <c r="J81" s="566">
        <v>-15.781268083946999</v>
      </c>
      <c r="K81" s="569">
        <v>0.39951080978800002</v>
      </c>
    </row>
    <row r="82" spans="1:11" ht="14.4" customHeight="1" thickBot="1" x14ac:dyDescent="0.35">
      <c r="A82" s="587" t="s">
        <v>383</v>
      </c>
      <c r="B82" s="565">
        <v>162.999724806541</v>
      </c>
      <c r="C82" s="565">
        <v>137.92957999999999</v>
      </c>
      <c r="D82" s="566">
        <v>-25.070144806540998</v>
      </c>
      <c r="E82" s="567">
        <v>0.84619517096499997</v>
      </c>
      <c r="F82" s="565">
        <v>335.99998941681503</v>
      </c>
      <c r="G82" s="566">
        <v>195.99999382647599</v>
      </c>
      <c r="H82" s="568">
        <v>15.26225</v>
      </c>
      <c r="I82" s="565">
        <v>24.096620000000001</v>
      </c>
      <c r="J82" s="566">
        <v>-171.90337382647601</v>
      </c>
      <c r="K82" s="569">
        <v>7.1716133210999997E-2</v>
      </c>
    </row>
    <row r="83" spans="1:11" ht="14.4" customHeight="1" thickBot="1" x14ac:dyDescent="0.35">
      <c r="A83" s="587" t="s">
        <v>384</v>
      </c>
      <c r="B83" s="565">
        <v>48.076770878677998</v>
      </c>
      <c r="C83" s="565">
        <v>78.359009999999998</v>
      </c>
      <c r="D83" s="566">
        <v>30.282239121320998</v>
      </c>
      <c r="E83" s="567">
        <v>1.6298725677250001</v>
      </c>
      <c r="F83" s="565">
        <v>122.928256475605</v>
      </c>
      <c r="G83" s="566">
        <v>71.708149610768999</v>
      </c>
      <c r="H83" s="568">
        <v>11.77426</v>
      </c>
      <c r="I83" s="565">
        <v>24.618289999999998</v>
      </c>
      <c r="J83" s="566">
        <v>-47.089859610768997</v>
      </c>
      <c r="K83" s="569">
        <v>0.200265510191</v>
      </c>
    </row>
    <row r="84" spans="1:11" ht="14.4" customHeight="1" thickBot="1" x14ac:dyDescent="0.35">
      <c r="A84" s="590" t="s">
        <v>33</v>
      </c>
      <c r="B84" s="570">
        <v>0</v>
      </c>
      <c r="C84" s="570">
        <v>67.460999999999999</v>
      </c>
      <c r="D84" s="571">
        <v>67.460999999999999</v>
      </c>
      <c r="E84" s="572" t="s">
        <v>307</v>
      </c>
      <c r="F84" s="570">
        <v>0</v>
      </c>
      <c r="G84" s="571">
        <v>0</v>
      </c>
      <c r="H84" s="573">
        <v>0</v>
      </c>
      <c r="I84" s="570">
        <v>24.123000000000001</v>
      </c>
      <c r="J84" s="571">
        <v>24.123000000000001</v>
      </c>
      <c r="K84" s="574" t="s">
        <v>307</v>
      </c>
    </row>
    <row r="85" spans="1:11" ht="14.4" customHeight="1" thickBot="1" x14ac:dyDescent="0.35">
      <c r="A85" s="586" t="s">
        <v>385</v>
      </c>
      <c r="B85" s="570">
        <v>0</v>
      </c>
      <c r="C85" s="570">
        <v>60.194000000000003</v>
      </c>
      <c r="D85" s="571">
        <v>60.194000000000003</v>
      </c>
      <c r="E85" s="572" t="s">
        <v>307</v>
      </c>
      <c r="F85" s="570">
        <v>0</v>
      </c>
      <c r="G85" s="571">
        <v>0</v>
      </c>
      <c r="H85" s="573">
        <v>0</v>
      </c>
      <c r="I85" s="570">
        <v>24.123000000000001</v>
      </c>
      <c r="J85" s="571">
        <v>24.123000000000001</v>
      </c>
      <c r="K85" s="574" t="s">
        <v>307</v>
      </c>
    </row>
    <row r="86" spans="1:11" ht="14.4" customHeight="1" thickBot="1" x14ac:dyDescent="0.35">
      <c r="A86" s="587" t="s">
        <v>386</v>
      </c>
      <c r="B86" s="565">
        <v>0</v>
      </c>
      <c r="C86" s="565">
        <v>55.573999999999998</v>
      </c>
      <c r="D86" s="566">
        <v>55.573999999999998</v>
      </c>
      <c r="E86" s="575" t="s">
        <v>307</v>
      </c>
      <c r="F86" s="565">
        <v>0</v>
      </c>
      <c r="G86" s="566">
        <v>0</v>
      </c>
      <c r="H86" s="568">
        <v>0</v>
      </c>
      <c r="I86" s="565">
        <v>24.123000000000001</v>
      </c>
      <c r="J86" s="566">
        <v>24.123000000000001</v>
      </c>
      <c r="K86" s="576" t="s">
        <v>307</v>
      </c>
    </row>
    <row r="87" spans="1:11" ht="14.4" customHeight="1" thickBot="1" x14ac:dyDescent="0.35">
      <c r="A87" s="587" t="s">
        <v>387</v>
      </c>
      <c r="B87" s="565">
        <v>0</v>
      </c>
      <c r="C87" s="565">
        <v>4.62</v>
      </c>
      <c r="D87" s="566">
        <v>4.62</v>
      </c>
      <c r="E87" s="575" t="s">
        <v>307</v>
      </c>
      <c r="F87" s="565">
        <v>0</v>
      </c>
      <c r="G87" s="566">
        <v>0</v>
      </c>
      <c r="H87" s="568">
        <v>0</v>
      </c>
      <c r="I87" s="565">
        <v>0</v>
      </c>
      <c r="J87" s="566">
        <v>0</v>
      </c>
      <c r="K87" s="576" t="s">
        <v>307</v>
      </c>
    </row>
    <row r="88" spans="1:11" ht="14.4" customHeight="1" thickBot="1" x14ac:dyDescent="0.35">
      <c r="A88" s="586" t="s">
        <v>388</v>
      </c>
      <c r="B88" s="570">
        <v>0</v>
      </c>
      <c r="C88" s="570">
        <v>7.2670000000000003</v>
      </c>
      <c r="D88" s="571">
        <v>7.2670000000000003</v>
      </c>
      <c r="E88" s="572" t="s">
        <v>326</v>
      </c>
      <c r="F88" s="570">
        <v>0</v>
      </c>
      <c r="G88" s="571">
        <v>0</v>
      </c>
      <c r="H88" s="573">
        <v>0</v>
      </c>
      <c r="I88" s="570">
        <v>0</v>
      </c>
      <c r="J88" s="571">
        <v>0</v>
      </c>
      <c r="K88" s="578">
        <v>0</v>
      </c>
    </row>
    <row r="89" spans="1:11" ht="14.4" customHeight="1" thickBot="1" x14ac:dyDescent="0.35">
      <c r="A89" s="587" t="s">
        <v>389</v>
      </c>
      <c r="B89" s="565">
        <v>0</v>
      </c>
      <c r="C89" s="565">
        <v>7.2670000000000003</v>
      </c>
      <c r="D89" s="566">
        <v>7.2670000000000003</v>
      </c>
      <c r="E89" s="575" t="s">
        <v>326</v>
      </c>
      <c r="F89" s="565">
        <v>0</v>
      </c>
      <c r="G89" s="566">
        <v>0</v>
      </c>
      <c r="H89" s="568">
        <v>0</v>
      </c>
      <c r="I89" s="565">
        <v>0</v>
      </c>
      <c r="J89" s="566">
        <v>0</v>
      </c>
      <c r="K89" s="569">
        <v>0</v>
      </c>
    </row>
    <row r="90" spans="1:11" ht="14.4" customHeight="1" thickBot="1" x14ac:dyDescent="0.35">
      <c r="A90" s="585" t="s">
        <v>34</v>
      </c>
      <c r="B90" s="565">
        <v>2091.3906806447299</v>
      </c>
      <c r="C90" s="565">
        <v>1941.63294</v>
      </c>
      <c r="D90" s="566">
        <v>-149.75774064472901</v>
      </c>
      <c r="E90" s="567">
        <v>0.92839322560299997</v>
      </c>
      <c r="F90" s="565">
        <v>1740.73453623555</v>
      </c>
      <c r="G90" s="566">
        <v>1015.4284794707399</v>
      </c>
      <c r="H90" s="568">
        <v>223.58496</v>
      </c>
      <c r="I90" s="565">
        <v>1203.34601</v>
      </c>
      <c r="J90" s="566">
        <v>187.917530529261</v>
      </c>
      <c r="K90" s="569">
        <v>0.69128634202999995</v>
      </c>
    </row>
    <row r="91" spans="1:11" ht="14.4" customHeight="1" thickBot="1" x14ac:dyDescent="0.35">
      <c r="A91" s="586" t="s">
        <v>390</v>
      </c>
      <c r="B91" s="570">
        <v>0.944780010005</v>
      </c>
      <c r="C91" s="570">
        <v>1.194</v>
      </c>
      <c r="D91" s="571">
        <v>0.249219989994</v>
      </c>
      <c r="E91" s="577">
        <v>1.2637862649030001</v>
      </c>
      <c r="F91" s="570">
        <v>0.87865861429600001</v>
      </c>
      <c r="G91" s="571">
        <v>0.51255085833900005</v>
      </c>
      <c r="H91" s="573">
        <v>0</v>
      </c>
      <c r="I91" s="570">
        <v>1.256</v>
      </c>
      <c r="J91" s="571">
        <v>0.74344914165999998</v>
      </c>
      <c r="K91" s="578">
        <v>1.4294516431790001</v>
      </c>
    </row>
    <row r="92" spans="1:11" ht="14.4" customHeight="1" thickBot="1" x14ac:dyDescent="0.35">
      <c r="A92" s="587" t="s">
        <v>391</v>
      </c>
      <c r="B92" s="565">
        <v>0.944780010005</v>
      </c>
      <c r="C92" s="565">
        <v>1.194</v>
      </c>
      <c r="D92" s="566">
        <v>0.249219989994</v>
      </c>
      <c r="E92" s="567">
        <v>1.2637862649030001</v>
      </c>
      <c r="F92" s="565">
        <v>0.87865861429600001</v>
      </c>
      <c r="G92" s="566">
        <v>0.51255085833900005</v>
      </c>
      <c r="H92" s="568">
        <v>0</v>
      </c>
      <c r="I92" s="565">
        <v>1.256</v>
      </c>
      <c r="J92" s="566">
        <v>0.74344914165999998</v>
      </c>
      <c r="K92" s="569">
        <v>1.4294516431790001</v>
      </c>
    </row>
    <row r="93" spans="1:11" ht="14.4" customHeight="1" thickBot="1" x14ac:dyDescent="0.35">
      <c r="A93" s="586" t="s">
        <v>392</v>
      </c>
      <c r="B93" s="570">
        <v>37.315353315736999</v>
      </c>
      <c r="C93" s="570">
        <v>29.636900000000001</v>
      </c>
      <c r="D93" s="571">
        <v>-7.6784533157370003</v>
      </c>
      <c r="E93" s="577">
        <v>0.79422804198600006</v>
      </c>
      <c r="F93" s="570">
        <v>30.439567756462001</v>
      </c>
      <c r="G93" s="571">
        <v>17.756414524602</v>
      </c>
      <c r="H93" s="573">
        <v>3.3329300000000002</v>
      </c>
      <c r="I93" s="570">
        <v>17.7987</v>
      </c>
      <c r="J93" s="571">
        <v>4.2285475396999998E-2</v>
      </c>
      <c r="K93" s="578">
        <v>0.58472249482600003</v>
      </c>
    </row>
    <row r="94" spans="1:11" ht="14.4" customHeight="1" thickBot="1" x14ac:dyDescent="0.35">
      <c r="A94" s="587" t="s">
        <v>393</v>
      </c>
      <c r="B94" s="565">
        <v>14.443235653606999</v>
      </c>
      <c r="C94" s="565">
        <v>13.382899999999999</v>
      </c>
      <c r="D94" s="566">
        <v>-1.0603356536070001</v>
      </c>
      <c r="E94" s="567">
        <v>0.92658600336899999</v>
      </c>
      <c r="F94" s="565">
        <v>13.421645294081999</v>
      </c>
      <c r="G94" s="566">
        <v>7.8292930882149996</v>
      </c>
      <c r="H94" s="568">
        <v>1.1868000000000001</v>
      </c>
      <c r="I94" s="565">
        <v>8.4390000000000001</v>
      </c>
      <c r="J94" s="566">
        <v>0.60970691178500003</v>
      </c>
      <c r="K94" s="569">
        <v>0.628760469755</v>
      </c>
    </row>
    <row r="95" spans="1:11" ht="14.4" customHeight="1" thickBot="1" x14ac:dyDescent="0.35">
      <c r="A95" s="587" t="s">
        <v>394</v>
      </c>
      <c r="B95" s="565">
        <v>22.872117662130002</v>
      </c>
      <c r="C95" s="565">
        <v>16.254000000000001</v>
      </c>
      <c r="D95" s="566">
        <v>-6.6181176621300004</v>
      </c>
      <c r="E95" s="567">
        <v>0.71064692129100004</v>
      </c>
      <c r="F95" s="565">
        <v>17.017922462379001</v>
      </c>
      <c r="G95" s="566">
        <v>9.9271214363870008</v>
      </c>
      <c r="H95" s="568">
        <v>2.1461299999999999</v>
      </c>
      <c r="I95" s="565">
        <v>9.3597000000000001</v>
      </c>
      <c r="J95" s="566">
        <v>-0.56742143638700004</v>
      </c>
      <c r="K95" s="569">
        <v>0.54999075361200001</v>
      </c>
    </row>
    <row r="96" spans="1:11" ht="14.4" customHeight="1" thickBot="1" x14ac:dyDescent="0.35">
      <c r="A96" s="586" t="s">
        <v>395</v>
      </c>
      <c r="B96" s="570">
        <v>57.907926160911003</v>
      </c>
      <c r="C96" s="570">
        <v>80.646569999999997</v>
      </c>
      <c r="D96" s="571">
        <v>22.738643839087999</v>
      </c>
      <c r="E96" s="577">
        <v>1.392668937511</v>
      </c>
      <c r="F96" s="570">
        <v>64.999997952656003</v>
      </c>
      <c r="G96" s="571">
        <v>37.916665472383002</v>
      </c>
      <c r="H96" s="573">
        <v>5.1640199999999998</v>
      </c>
      <c r="I96" s="570">
        <v>75.538849999999996</v>
      </c>
      <c r="J96" s="571">
        <v>37.622184527617001</v>
      </c>
      <c r="K96" s="578">
        <v>1.1621361904500001</v>
      </c>
    </row>
    <row r="97" spans="1:11" ht="14.4" customHeight="1" thickBot="1" x14ac:dyDescent="0.35">
      <c r="A97" s="587" t="s">
        <v>396</v>
      </c>
      <c r="B97" s="565">
        <v>11.885925959468</v>
      </c>
      <c r="C97" s="565">
        <v>12.69</v>
      </c>
      <c r="D97" s="566">
        <v>0.80407404053099996</v>
      </c>
      <c r="E97" s="567">
        <v>1.067649255369</v>
      </c>
      <c r="F97" s="565">
        <v>15.999999496038001</v>
      </c>
      <c r="G97" s="566">
        <v>9.3333330393550007</v>
      </c>
      <c r="H97" s="568">
        <v>4.1849999999999996</v>
      </c>
      <c r="I97" s="565">
        <v>12.555</v>
      </c>
      <c r="J97" s="566">
        <v>3.2216669606439998</v>
      </c>
      <c r="K97" s="569">
        <v>0.78468752471500003</v>
      </c>
    </row>
    <row r="98" spans="1:11" ht="14.4" customHeight="1" thickBot="1" x14ac:dyDescent="0.35">
      <c r="A98" s="587" t="s">
        <v>397</v>
      </c>
      <c r="B98" s="565">
        <v>46.022000201442999</v>
      </c>
      <c r="C98" s="565">
        <v>67.956569999999999</v>
      </c>
      <c r="D98" s="566">
        <v>21.934569798556002</v>
      </c>
      <c r="E98" s="567">
        <v>1.476610527629</v>
      </c>
      <c r="F98" s="565">
        <v>48.999998456618002</v>
      </c>
      <c r="G98" s="566">
        <v>28.583332433027</v>
      </c>
      <c r="H98" s="568">
        <v>0.97902</v>
      </c>
      <c r="I98" s="565">
        <v>62.983849999999997</v>
      </c>
      <c r="J98" s="566">
        <v>34.400517566971999</v>
      </c>
      <c r="K98" s="569">
        <v>1.2853847343639999</v>
      </c>
    </row>
    <row r="99" spans="1:11" ht="14.4" customHeight="1" thickBot="1" x14ac:dyDescent="0.35">
      <c r="A99" s="586" t="s">
        <v>398</v>
      </c>
      <c r="B99" s="570">
        <v>0</v>
      </c>
      <c r="C99" s="570">
        <v>0</v>
      </c>
      <c r="D99" s="571">
        <v>0</v>
      </c>
      <c r="E99" s="577">
        <v>1</v>
      </c>
      <c r="F99" s="570">
        <v>0</v>
      </c>
      <c r="G99" s="571">
        <v>0</v>
      </c>
      <c r="H99" s="573">
        <v>0</v>
      </c>
      <c r="I99" s="570">
        <v>7.6</v>
      </c>
      <c r="J99" s="571">
        <v>7.6</v>
      </c>
      <c r="K99" s="574" t="s">
        <v>326</v>
      </c>
    </row>
    <row r="100" spans="1:11" ht="14.4" customHeight="1" thickBot="1" x14ac:dyDescent="0.35">
      <c r="A100" s="587" t="s">
        <v>399</v>
      </c>
      <c r="B100" s="565">
        <v>0</v>
      </c>
      <c r="C100" s="565">
        <v>0</v>
      </c>
      <c r="D100" s="566">
        <v>0</v>
      </c>
      <c r="E100" s="567">
        <v>1</v>
      </c>
      <c r="F100" s="565">
        <v>0</v>
      </c>
      <c r="G100" s="566">
        <v>0</v>
      </c>
      <c r="H100" s="568">
        <v>0</v>
      </c>
      <c r="I100" s="565">
        <v>7.6</v>
      </c>
      <c r="J100" s="566">
        <v>7.6</v>
      </c>
      <c r="K100" s="576" t="s">
        <v>326</v>
      </c>
    </row>
    <row r="101" spans="1:11" ht="14.4" customHeight="1" thickBot="1" x14ac:dyDescent="0.35">
      <c r="A101" s="586" t="s">
        <v>400</v>
      </c>
      <c r="B101" s="570">
        <v>852.50549711374401</v>
      </c>
      <c r="C101" s="570">
        <v>749.39660000000003</v>
      </c>
      <c r="D101" s="571">
        <v>-103.108897113743</v>
      </c>
      <c r="E101" s="577">
        <v>0.87905192698099999</v>
      </c>
      <c r="F101" s="570">
        <v>792.09001372198099</v>
      </c>
      <c r="G101" s="571">
        <v>462.05250800448903</v>
      </c>
      <c r="H101" s="573">
        <v>78.341409999999996</v>
      </c>
      <c r="I101" s="570">
        <v>544.37162999999998</v>
      </c>
      <c r="J101" s="571">
        <v>82.319121995510997</v>
      </c>
      <c r="K101" s="578">
        <v>0.68725980705400003</v>
      </c>
    </row>
    <row r="102" spans="1:11" ht="14.4" customHeight="1" thickBot="1" x14ac:dyDescent="0.35">
      <c r="A102" s="587" t="s">
        <v>401</v>
      </c>
      <c r="B102" s="565">
        <v>707.09144454745604</v>
      </c>
      <c r="C102" s="565">
        <v>593.75554</v>
      </c>
      <c r="D102" s="566">
        <v>-113.335904547456</v>
      </c>
      <c r="E102" s="567">
        <v>0.83971535022599997</v>
      </c>
      <c r="F102" s="565">
        <v>636.110810397264</v>
      </c>
      <c r="G102" s="566">
        <v>371.06463939840398</v>
      </c>
      <c r="H102" s="568">
        <v>64.208290000000005</v>
      </c>
      <c r="I102" s="565">
        <v>446.73552000000001</v>
      </c>
      <c r="J102" s="566">
        <v>75.670880601595996</v>
      </c>
      <c r="K102" s="569">
        <v>0.70229197916099995</v>
      </c>
    </row>
    <row r="103" spans="1:11" ht="14.4" customHeight="1" thickBot="1" x14ac:dyDescent="0.35">
      <c r="A103" s="587" t="s">
        <v>402</v>
      </c>
      <c r="B103" s="565">
        <v>145.41405256628701</v>
      </c>
      <c r="C103" s="565">
        <v>155.64106000000001</v>
      </c>
      <c r="D103" s="566">
        <v>10.227007433712</v>
      </c>
      <c r="E103" s="567">
        <v>1.0703302552480001</v>
      </c>
      <c r="F103" s="565">
        <v>155.97920332471699</v>
      </c>
      <c r="G103" s="566">
        <v>90.987868606085001</v>
      </c>
      <c r="H103" s="568">
        <v>14.13312</v>
      </c>
      <c r="I103" s="565">
        <v>97.636110000000002</v>
      </c>
      <c r="J103" s="566">
        <v>6.6482413939149998</v>
      </c>
      <c r="K103" s="569">
        <v>0.62595594745200001</v>
      </c>
    </row>
    <row r="104" spans="1:11" ht="14.4" customHeight="1" thickBot="1" x14ac:dyDescent="0.35">
      <c r="A104" s="586" t="s">
        <v>403</v>
      </c>
      <c r="B104" s="570">
        <v>1142.7171240443299</v>
      </c>
      <c r="C104" s="570">
        <v>1078.4852699999999</v>
      </c>
      <c r="D104" s="571">
        <v>-64.231854044330007</v>
      </c>
      <c r="E104" s="577">
        <v>0.94379024108999998</v>
      </c>
      <c r="F104" s="570">
        <v>852.32629819015699</v>
      </c>
      <c r="G104" s="571">
        <v>497.19034061092498</v>
      </c>
      <c r="H104" s="573">
        <v>136.7466</v>
      </c>
      <c r="I104" s="570">
        <v>556.78083000000004</v>
      </c>
      <c r="J104" s="571">
        <v>59.590489389075003</v>
      </c>
      <c r="K104" s="578">
        <v>0.65324844626</v>
      </c>
    </row>
    <row r="105" spans="1:11" ht="14.4" customHeight="1" thickBot="1" x14ac:dyDescent="0.35">
      <c r="A105" s="587" t="s">
        <v>404</v>
      </c>
      <c r="B105" s="565">
        <v>7.8338741739779998</v>
      </c>
      <c r="C105" s="565">
        <v>0</v>
      </c>
      <c r="D105" s="566">
        <v>-7.8338741739779998</v>
      </c>
      <c r="E105" s="567">
        <v>0</v>
      </c>
      <c r="F105" s="565">
        <v>19.999999370047998</v>
      </c>
      <c r="G105" s="566">
        <v>11.666666299195001</v>
      </c>
      <c r="H105" s="568">
        <v>8.6329999999999991</v>
      </c>
      <c r="I105" s="565">
        <v>8.6329999999999991</v>
      </c>
      <c r="J105" s="566">
        <v>-3.0336662991950001</v>
      </c>
      <c r="K105" s="569">
        <v>0.43165001359499999</v>
      </c>
    </row>
    <row r="106" spans="1:11" ht="14.4" customHeight="1" thickBot="1" x14ac:dyDescent="0.35">
      <c r="A106" s="587" t="s">
        <v>405</v>
      </c>
      <c r="B106" s="565">
        <v>930.042500380805</v>
      </c>
      <c r="C106" s="565">
        <v>925.90891999999997</v>
      </c>
      <c r="D106" s="566">
        <v>-4.1335803808050002</v>
      </c>
      <c r="E106" s="567">
        <v>0.99555549302400004</v>
      </c>
      <c r="F106" s="565">
        <v>659.89001860855603</v>
      </c>
      <c r="G106" s="566">
        <v>384.93584418832501</v>
      </c>
      <c r="H106" s="568">
        <v>112.56052</v>
      </c>
      <c r="I106" s="565">
        <v>432.92561999999998</v>
      </c>
      <c r="J106" s="566">
        <v>47.989775811675003</v>
      </c>
      <c r="K106" s="569">
        <v>0.656057233465</v>
      </c>
    </row>
    <row r="107" spans="1:11" ht="14.4" customHeight="1" thickBot="1" x14ac:dyDescent="0.35">
      <c r="A107" s="587" t="s">
        <v>406</v>
      </c>
      <c r="B107" s="565">
        <v>5.0018220837029999</v>
      </c>
      <c r="C107" s="565">
        <v>3.3915999999999999</v>
      </c>
      <c r="D107" s="566">
        <v>-1.6102220837029999</v>
      </c>
      <c r="E107" s="567">
        <v>0.67807289888400002</v>
      </c>
      <c r="F107" s="565">
        <v>1.999999937004</v>
      </c>
      <c r="G107" s="566">
        <v>1.1666666299190001</v>
      </c>
      <c r="H107" s="568">
        <v>0</v>
      </c>
      <c r="I107" s="565">
        <v>2.6334</v>
      </c>
      <c r="J107" s="566">
        <v>1.46673337008</v>
      </c>
      <c r="K107" s="569">
        <v>1.316700041472</v>
      </c>
    </row>
    <row r="108" spans="1:11" ht="14.4" customHeight="1" thickBot="1" x14ac:dyDescent="0.35">
      <c r="A108" s="587" t="s">
        <v>407</v>
      </c>
      <c r="B108" s="565">
        <v>23.527871188203999</v>
      </c>
      <c r="C108" s="565">
        <v>1.6072299999999999</v>
      </c>
      <c r="D108" s="566">
        <v>-21.920641188204002</v>
      </c>
      <c r="E108" s="567">
        <v>6.8311747677000004E-2</v>
      </c>
      <c r="F108" s="565">
        <v>1.9600447279769999</v>
      </c>
      <c r="G108" s="566">
        <v>1.1433594246529999</v>
      </c>
      <c r="H108" s="568">
        <v>0</v>
      </c>
      <c r="I108" s="565">
        <v>30.151209999999999</v>
      </c>
      <c r="J108" s="566">
        <v>29.007850575346001</v>
      </c>
      <c r="K108" s="569">
        <v>15.382919363841999</v>
      </c>
    </row>
    <row r="109" spans="1:11" ht="14.4" customHeight="1" thickBot="1" x14ac:dyDescent="0.35">
      <c r="A109" s="587" t="s">
        <v>408</v>
      </c>
      <c r="B109" s="565">
        <v>176.31105621763999</v>
      </c>
      <c r="C109" s="565">
        <v>147.57751999999999</v>
      </c>
      <c r="D109" s="566">
        <v>-28.733536217640001</v>
      </c>
      <c r="E109" s="567">
        <v>0.83702930017999999</v>
      </c>
      <c r="F109" s="565">
        <v>168.47623554657</v>
      </c>
      <c r="G109" s="566">
        <v>98.277804068831998</v>
      </c>
      <c r="H109" s="568">
        <v>15.55308</v>
      </c>
      <c r="I109" s="565">
        <v>82.437600000000003</v>
      </c>
      <c r="J109" s="566">
        <v>-15.840204068832</v>
      </c>
      <c r="K109" s="569">
        <v>0.48931292732499998</v>
      </c>
    </row>
    <row r="110" spans="1:11" ht="14.4" customHeight="1" thickBot="1" x14ac:dyDescent="0.35">
      <c r="A110" s="586" t="s">
        <v>409</v>
      </c>
      <c r="B110" s="570">
        <v>0</v>
      </c>
      <c r="C110" s="570">
        <v>2.2736000000000001</v>
      </c>
      <c r="D110" s="571">
        <v>2.2736000000000001</v>
      </c>
      <c r="E110" s="572" t="s">
        <v>307</v>
      </c>
      <c r="F110" s="570">
        <v>0</v>
      </c>
      <c r="G110" s="571">
        <v>0</v>
      </c>
      <c r="H110" s="573">
        <v>0</v>
      </c>
      <c r="I110" s="570">
        <v>0</v>
      </c>
      <c r="J110" s="571">
        <v>0</v>
      </c>
      <c r="K110" s="574" t="s">
        <v>307</v>
      </c>
    </row>
    <row r="111" spans="1:11" ht="14.4" customHeight="1" thickBot="1" x14ac:dyDescent="0.35">
      <c r="A111" s="587" t="s">
        <v>410</v>
      </c>
      <c r="B111" s="565">
        <v>0</v>
      </c>
      <c r="C111" s="565">
        <v>2.2736000000000001</v>
      </c>
      <c r="D111" s="566">
        <v>2.2736000000000001</v>
      </c>
      <c r="E111" s="575" t="s">
        <v>307</v>
      </c>
      <c r="F111" s="565">
        <v>0</v>
      </c>
      <c r="G111" s="566">
        <v>0</v>
      </c>
      <c r="H111" s="568">
        <v>0</v>
      </c>
      <c r="I111" s="565">
        <v>0</v>
      </c>
      <c r="J111" s="566">
        <v>0</v>
      </c>
      <c r="K111" s="576" t="s">
        <v>307</v>
      </c>
    </row>
    <row r="112" spans="1:11" ht="14.4" customHeight="1" thickBot="1" x14ac:dyDescent="0.35">
      <c r="A112" s="584" t="s">
        <v>35</v>
      </c>
      <c r="B112" s="565">
        <v>39682.195760504997</v>
      </c>
      <c r="C112" s="565">
        <v>41337.25361</v>
      </c>
      <c r="D112" s="566">
        <v>1655.057849495</v>
      </c>
      <c r="E112" s="567">
        <v>1.041707819282</v>
      </c>
      <c r="F112" s="565">
        <v>40706.998777704997</v>
      </c>
      <c r="G112" s="566">
        <v>23745.7492869946</v>
      </c>
      <c r="H112" s="568">
        <v>4936.20147</v>
      </c>
      <c r="I112" s="565">
        <v>26248.992399999999</v>
      </c>
      <c r="J112" s="566">
        <v>2503.2431130054001</v>
      </c>
      <c r="K112" s="569">
        <v>0.64482750357800001</v>
      </c>
    </row>
    <row r="113" spans="1:11" ht="14.4" customHeight="1" thickBot="1" x14ac:dyDescent="0.35">
      <c r="A113" s="590" t="s">
        <v>411</v>
      </c>
      <c r="B113" s="570">
        <v>29446.999999999502</v>
      </c>
      <c r="C113" s="570">
        <v>30704.31</v>
      </c>
      <c r="D113" s="571">
        <v>1257.31000000056</v>
      </c>
      <c r="E113" s="577">
        <v>1.042697388528</v>
      </c>
      <c r="F113" s="570">
        <v>30208.999092838301</v>
      </c>
      <c r="G113" s="571">
        <v>17621.916137488999</v>
      </c>
      <c r="H113" s="573">
        <v>3661.43</v>
      </c>
      <c r="I113" s="570">
        <v>19494.638999999999</v>
      </c>
      <c r="J113" s="571">
        <v>1872.7228625109999</v>
      </c>
      <c r="K113" s="578">
        <v>0.64532555150500004</v>
      </c>
    </row>
    <row r="114" spans="1:11" ht="14.4" customHeight="1" thickBot="1" x14ac:dyDescent="0.35">
      <c r="A114" s="586" t="s">
        <v>412</v>
      </c>
      <c r="B114" s="570">
        <v>29241.999999999502</v>
      </c>
      <c r="C114" s="570">
        <v>30546.615000000002</v>
      </c>
      <c r="D114" s="571">
        <v>1304.61500000055</v>
      </c>
      <c r="E114" s="577">
        <v>1.0446144244569999</v>
      </c>
      <c r="F114" s="570">
        <v>29999.9990994213</v>
      </c>
      <c r="G114" s="571">
        <v>17499.9994746624</v>
      </c>
      <c r="H114" s="573">
        <v>3636.5419999999999</v>
      </c>
      <c r="I114" s="570">
        <v>19251.936000000002</v>
      </c>
      <c r="J114" s="571">
        <v>1751.93652533759</v>
      </c>
      <c r="K114" s="578">
        <v>0.64173121926400001</v>
      </c>
    </row>
    <row r="115" spans="1:11" ht="14.4" customHeight="1" thickBot="1" x14ac:dyDescent="0.35">
      <c r="A115" s="587" t="s">
        <v>413</v>
      </c>
      <c r="B115" s="565">
        <v>29241.999999999502</v>
      </c>
      <c r="C115" s="565">
        <v>30546.615000000002</v>
      </c>
      <c r="D115" s="566">
        <v>1304.61500000055</v>
      </c>
      <c r="E115" s="567">
        <v>1.0446144244569999</v>
      </c>
      <c r="F115" s="565">
        <v>29999.9990994213</v>
      </c>
      <c r="G115" s="566">
        <v>17499.9994746624</v>
      </c>
      <c r="H115" s="568">
        <v>3636.5419999999999</v>
      </c>
      <c r="I115" s="565">
        <v>19251.936000000002</v>
      </c>
      <c r="J115" s="566">
        <v>1751.93652533759</v>
      </c>
      <c r="K115" s="569">
        <v>0.64173121926400001</v>
      </c>
    </row>
    <row r="116" spans="1:11" ht="14.4" customHeight="1" thickBot="1" x14ac:dyDescent="0.35">
      <c r="A116" s="586" t="s">
        <v>414</v>
      </c>
      <c r="B116" s="570">
        <v>108.999999999998</v>
      </c>
      <c r="C116" s="570">
        <v>107.7</v>
      </c>
      <c r="D116" s="571">
        <v>-1.299999999997</v>
      </c>
      <c r="E116" s="577">
        <v>0.98807339449499998</v>
      </c>
      <c r="F116" s="570">
        <v>114.999996377779</v>
      </c>
      <c r="G116" s="571">
        <v>67.083331220369999</v>
      </c>
      <c r="H116" s="573">
        <v>22.15</v>
      </c>
      <c r="I116" s="570">
        <v>188.25</v>
      </c>
      <c r="J116" s="571">
        <v>121.16666877962901</v>
      </c>
      <c r="K116" s="578">
        <v>1.6369565732989999</v>
      </c>
    </row>
    <row r="117" spans="1:11" ht="14.4" customHeight="1" thickBot="1" x14ac:dyDescent="0.35">
      <c r="A117" s="587" t="s">
        <v>415</v>
      </c>
      <c r="B117" s="565">
        <v>108.999999999998</v>
      </c>
      <c r="C117" s="565">
        <v>107.7</v>
      </c>
      <c r="D117" s="566">
        <v>-1.299999999997</v>
      </c>
      <c r="E117" s="567">
        <v>0.98807339449499998</v>
      </c>
      <c r="F117" s="565">
        <v>114.999996377779</v>
      </c>
      <c r="G117" s="566">
        <v>67.083331220369999</v>
      </c>
      <c r="H117" s="568">
        <v>22.15</v>
      </c>
      <c r="I117" s="565">
        <v>188.25</v>
      </c>
      <c r="J117" s="566">
        <v>121.16666877962901</v>
      </c>
      <c r="K117" s="569">
        <v>1.6369565732989999</v>
      </c>
    </row>
    <row r="118" spans="1:11" ht="14.4" customHeight="1" thickBot="1" x14ac:dyDescent="0.35">
      <c r="A118" s="586" t="s">
        <v>416</v>
      </c>
      <c r="B118" s="570">
        <v>95.999999999997996</v>
      </c>
      <c r="C118" s="570">
        <v>49.994999999999997</v>
      </c>
      <c r="D118" s="571">
        <v>-46.004999999997999</v>
      </c>
      <c r="E118" s="577">
        <v>0.52078124999999997</v>
      </c>
      <c r="F118" s="570">
        <v>93.999997039226997</v>
      </c>
      <c r="G118" s="571">
        <v>54.833331606215999</v>
      </c>
      <c r="H118" s="573">
        <v>2.738</v>
      </c>
      <c r="I118" s="570">
        <v>54.453000000000003</v>
      </c>
      <c r="J118" s="571">
        <v>-0.38033160621599998</v>
      </c>
      <c r="K118" s="578">
        <v>0.57928725228800004</v>
      </c>
    </row>
    <row r="119" spans="1:11" ht="14.4" customHeight="1" thickBot="1" x14ac:dyDescent="0.35">
      <c r="A119" s="587" t="s">
        <v>417</v>
      </c>
      <c r="B119" s="565">
        <v>95.999999999997996</v>
      </c>
      <c r="C119" s="565">
        <v>49.994999999999997</v>
      </c>
      <c r="D119" s="566">
        <v>-46.004999999997999</v>
      </c>
      <c r="E119" s="567">
        <v>0.52078124999999997</v>
      </c>
      <c r="F119" s="565">
        <v>93.999997039226997</v>
      </c>
      <c r="G119" s="566">
        <v>54.833331606215999</v>
      </c>
      <c r="H119" s="568">
        <v>2.738</v>
      </c>
      <c r="I119" s="565">
        <v>54.453000000000003</v>
      </c>
      <c r="J119" s="566">
        <v>-0.38033160621599998</v>
      </c>
      <c r="K119" s="569">
        <v>0.57928725228800004</v>
      </c>
    </row>
    <row r="120" spans="1:11" ht="14.4" customHeight="1" thickBot="1" x14ac:dyDescent="0.35">
      <c r="A120" s="585" t="s">
        <v>418</v>
      </c>
      <c r="B120" s="565">
        <v>9942.1957605055795</v>
      </c>
      <c r="C120" s="565">
        <v>10326.84728</v>
      </c>
      <c r="D120" s="566">
        <v>384.65151949442799</v>
      </c>
      <c r="E120" s="567">
        <v>1.0386887895550001</v>
      </c>
      <c r="F120" s="565">
        <v>10198.9996938436</v>
      </c>
      <c r="G120" s="566">
        <v>5949.4164880754097</v>
      </c>
      <c r="H120" s="568">
        <v>1238.37877</v>
      </c>
      <c r="I120" s="565">
        <v>6561.2855499999996</v>
      </c>
      <c r="J120" s="566">
        <v>611.86906192459605</v>
      </c>
      <c r="K120" s="569">
        <v>0.64332637973899998</v>
      </c>
    </row>
    <row r="121" spans="1:11" ht="14.4" customHeight="1" thickBot="1" x14ac:dyDescent="0.35">
      <c r="A121" s="586" t="s">
        <v>419</v>
      </c>
      <c r="B121" s="570">
        <v>2632.19576050572</v>
      </c>
      <c r="C121" s="570">
        <v>2755.4144999999999</v>
      </c>
      <c r="D121" s="571">
        <v>123.218739494278</v>
      </c>
      <c r="E121" s="577">
        <v>1.0468121487549999</v>
      </c>
      <c r="F121" s="570">
        <v>2698.9999189882301</v>
      </c>
      <c r="G121" s="571">
        <v>1574.4166194098</v>
      </c>
      <c r="H121" s="573">
        <v>327.80577</v>
      </c>
      <c r="I121" s="570">
        <v>1736.8015399999999</v>
      </c>
      <c r="J121" s="571">
        <v>162.38492059019799</v>
      </c>
      <c r="K121" s="578">
        <v>0.64349818159700001</v>
      </c>
    </row>
    <row r="122" spans="1:11" ht="14.4" customHeight="1" thickBot="1" x14ac:dyDescent="0.35">
      <c r="A122" s="587" t="s">
        <v>420</v>
      </c>
      <c r="B122" s="565">
        <v>2632.19576050572</v>
      </c>
      <c r="C122" s="565">
        <v>2755.4144999999999</v>
      </c>
      <c r="D122" s="566">
        <v>123.218739494278</v>
      </c>
      <c r="E122" s="567">
        <v>1.0468121487549999</v>
      </c>
      <c r="F122" s="565">
        <v>2698.9999189882301</v>
      </c>
      <c r="G122" s="566">
        <v>1574.4166194098</v>
      </c>
      <c r="H122" s="568">
        <v>327.80577</v>
      </c>
      <c r="I122" s="565">
        <v>1736.8015399999999</v>
      </c>
      <c r="J122" s="566">
        <v>162.38492059019799</v>
      </c>
      <c r="K122" s="569">
        <v>0.64349818159700001</v>
      </c>
    </row>
    <row r="123" spans="1:11" ht="14.4" customHeight="1" thickBot="1" x14ac:dyDescent="0.35">
      <c r="A123" s="586" t="s">
        <v>421</v>
      </c>
      <c r="B123" s="570">
        <v>7309.9999999998499</v>
      </c>
      <c r="C123" s="570">
        <v>7571.4327800000001</v>
      </c>
      <c r="D123" s="571">
        <v>261.43278000014999</v>
      </c>
      <c r="E123" s="577">
        <v>1.035763718194</v>
      </c>
      <c r="F123" s="570">
        <v>7499.9997748553196</v>
      </c>
      <c r="G123" s="571">
        <v>4374.9998686655999</v>
      </c>
      <c r="H123" s="573">
        <v>910.57299999999998</v>
      </c>
      <c r="I123" s="570">
        <v>4824.4840100000001</v>
      </c>
      <c r="J123" s="571">
        <v>449.48414133439798</v>
      </c>
      <c r="K123" s="578">
        <v>0.643264553977</v>
      </c>
    </row>
    <row r="124" spans="1:11" ht="14.4" customHeight="1" thickBot="1" x14ac:dyDescent="0.35">
      <c r="A124" s="587" t="s">
        <v>422</v>
      </c>
      <c r="B124" s="565">
        <v>7309.9999999998499</v>
      </c>
      <c r="C124" s="565">
        <v>7571.4327800000001</v>
      </c>
      <c r="D124" s="566">
        <v>261.43278000014999</v>
      </c>
      <c r="E124" s="567">
        <v>1.035763718194</v>
      </c>
      <c r="F124" s="565">
        <v>7499.9997748553196</v>
      </c>
      <c r="G124" s="566">
        <v>4374.9998686655999</v>
      </c>
      <c r="H124" s="568">
        <v>910.57299999999998</v>
      </c>
      <c r="I124" s="565">
        <v>4824.4840100000001</v>
      </c>
      <c r="J124" s="566">
        <v>449.48414133439798</v>
      </c>
      <c r="K124" s="569">
        <v>0.643264553977</v>
      </c>
    </row>
    <row r="125" spans="1:11" ht="14.4" customHeight="1" thickBot="1" x14ac:dyDescent="0.35">
      <c r="A125" s="585" t="s">
        <v>423</v>
      </c>
      <c r="B125" s="565">
        <v>292.99999999999397</v>
      </c>
      <c r="C125" s="565">
        <v>306.09633000000002</v>
      </c>
      <c r="D125" s="566">
        <v>13.096330000005</v>
      </c>
      <c r="E125" s="567">
        <v>1.0446973720129999</v>
      </c>
      <c r="F125" s="565">
        <v>298.999991023191</v>
      </c>
      <c r="G125" s="566">
        <v>174.41666143019501</v>
      </c>
      <c r="H125" s="568">
        <v>36.392699999999998</v>
      </c>
      <c r="I125" s="565">
        <v>193.06784999999999</v>
      </c>
      <c r="J125" s="566">
        <v>18.651188569805001</v>
      </c>
      <c r="K125" s="569">
        <v>0.64571189229500003</v>
      </c>
    </row>
    <row r="126" spans="1:11" ht="14.4" customHeight="1" thickBot="1" x14ac:dyDescent="0.35">
      <c r="A126" s="586" t="s">
        <v>424</v>
      </c>
      <c r="B126" s="570">
        <v>292.99999999999397</v>
      </c>
      <c r="C126" s="570">
        <v>306.09633000000002</v>
      </c>
      <c r="D126" s="571">
        <v>13.096330000005</v>
      </c>
      <c r="E126" s="577">
        <v>1.0446973720129999</v>
      </c>
      <c r="F126" s="570">
        <v>298.999991023191</v>
      </c>
      <c r="G126" s="571">
        <v>174.41666143019501</v>
      </c>
      <c r="H126" s="573">
        <v>36.392699999999998</v>
      </c>
      <c r="I126" s="570">
        <v>193.06784999999999</v>
      </c>
      <c r="J126" s="571">
        <v>18.651188569805001</v>
      </c>
      <c r="K126" s="578">
        <v>0.64571189229500003</v>
      </c>
    </row>
    <row r="127" spans="1:11" ht="14.4" customHeight="1" thickBot="1" x14ac:dyDescent="0.35">
      <c r="A127" s="587" t="s">
        <v>425</v>
      </c>
      <c r="B127" s="565">
        <v>292.99999999999397</v>
      </c>
      <c r="C127" s="565">
        <v>306.09633000000002</v>
      </c>
      <c r="D127" s="566">
        <v>13.096330000005</v>
      </c>
      <c r="E127" s="567">
        <v>1.0446973720129999</v>
      </c>
      <c r="F127" s="565">
        <v>298.999991023191</v>
      </c>
      <c r="G127" s="566">
        <v>174.41666143019501</v>
      </c>
      <c r="H127" s="568">
        <v>36.392699999999998</v>
      </c>
      <c r="I127" s="565">
        <v>193.06784999999999</v>
      </c>
      <c r="J127" s="566">
        <v>18.651188569805001</v>
      </c>
      <c r="K127" s="569">
        <v>0.64571189229500003</v>
      </c>
    </row>
    <row r="128" spans="1:11" ht="14.4" customHeight="1" thickBot="1" x14ac:dyDescent="0.35">
      <c r="A128" s="584" t="s">
        <v>426</v>
      </c>
      <c r="B128" s="565">
        <v>0</v>
      </c>
      <c r="C128" s="565">
        <v>64.456850000000003</v>
      </c>
      <c r="D128" s="566">
        <v>64.456850000000003</v>
      </c>
      <c r="E128" s="575" t="s">
        <v>307</v>
      </c>
      <c r="F128" s="565">
        <v>0</v>
      </c>
      <c r="G128" s="566">
        <v>0</v>
      </c>
      <c r="H128" s="568">
        <v>0.12139999999999999</v>
      </c>
      <c r="I128" s="565">
        <v>39.974400000000003</v>
      </c>
      <c r="J128" s="566">
        <v>39.974400000000003</v>
      </c>
      <c r="K128" s="576" t="s">
        <v>307</v>
      </c>
    </row>
    <row r="129" spans="1:11" ht="14.4" customHeight="1" thickBot="1" x14ac:dyDescent="0.35">
      <c r="A129" s="585" t="s">
        <v>427</v>
      </c>
      <c r="B129" s="565">
        <v>0</v>
      </c>
      <c r="C129" s="565">
        <v>64.456850000000003</v>
      </c>
      <c r="D129" s="566">
        <v>64.456850000000003</v>
      </c>
      <c r="E129" s="575" t="s">
        <v>307</v>
      </c>
      <c r="F129" s="565">
        <v>0</v>
      </c>
      <c r="G129" s="566">
        <v>0</v>
      </c>
      <c r="H129" s="568">
        <v>0.12139999999999999</v>
      </c>
      <c r="I129" s="565">
        <v>39.974400000000003</v>
      </c>
      <c r="J129" s="566">
        <v>39.974400000000003</v>
      </c>
      <c r="K129" s="576" t="s">
        <v>307</v>
      </c>
    </row>
    <row r="130" spans="1:11" ht="14.4" customHeight="1" thickBot="1" x14ac:dyDescent="0.35">
      <c r="A130" s="586" t="s">
        <v>428</v>
      </c>
      <c r="B130" s="570">
        <v>0</v>
      </c>
      <c r="C130" s="570">
        <v>47.798999999999999</v>
      </c>
      <c r="D130" s="571">
        <v>47.798999999999999</v>
      </c>
      <c r="E130" s="572" t="s">
        <v>307</v>
      </c>
      <c r="F130" s="570">
        <v>0</v>
      </c>
      <c r="G130" s="571">
        <v>0</v>
      </c>
      <c r="H130" s="573">
        <v>0.12139999999999999</v>
      </c>
      <c r="I130" s="570">
        <v>35.474400000000003</v>
      </c>
      <c r="J130" s="571">
        <v>35.474400000000003</v>
      </c>
      <c r="K130" s="574" t="s">
        <v>307</v>
      </c>
    </row>
    <row r="131" spans="1:11" ht="14.4" customHeight="1" thickBot="1" x14ac:dyDescent="0.35">
      <c r="A131" s="587" t="s">
        <v>429</v>
      </c>
      <c r="B131" s="565">
        <v>0</v>
      </c>
      <c r="C131" s="565">
        <v>1.71435</v>
      </c>
      <c r="D131" s="566">
        <v>1.71435</v>
      </c>
      <c r="E131" s="575" t="s">
        <v>307</v>
      </c>
      <c r="F131" s="565">
        <v>0</v>
      </c>
      <c r="G131" s="566">
        <v>0</v>
      </c>
      <c r="H131" s="568">
        <v>0.12139999999999999</v>
      </c>
      <c r="I131" s="565">
        <v>0.78439999999999999</v>
      </c>
      <c r="J131" s="566">
        <v>0.78439999999999999</v>
      </c>
      <c r="K131" s="576" t="s">
        <v>307</v>
      </c>
    </row>
    <row r="132" spans="1:11" ht="14.4" customHeight="1" thickBot="1" x14ac:dyDescent="0.35">
      <c r="A132" s="587" t="s">
        <v>430</v>
      </c>
      <c r="B132" s="565">
        <v>0</v>
      </c>
      <c r="C132" s="565">
        <v>8.4</v>
      </c>
      <c r="D132" s="566">
        <v>8.4</v>
      </c>
      <c r="E132" s="575" t="s">
        <v>307</v>
      </c>
      <c r="F132" s="565">
        <v>0</v>
      </c>
      <c r="G132" s="566">
        <v>0</v>
      </c>
      <c r="H132" s="568">
        <v>0</v>
      </c>
      <c r="I132" s="565">
        <v>25.24</v>
      </c>
      <c r="J132" s="566">
        <v>25.24</v>
      </c>
      <c r="K132" s="576" t="s">
        <v>307</v>
      </c>
    </row>
    <row r="133" spans="1:11" ht="14.4" customHeight="1" thickBot="1" x14ac:dyDescent="0.35">
      <c r="A133" s="587" t="s">
        <v>431</v>
      </c>
      <c r="B133" s="565">
        <v>0</v>
      </c>
      <c r="C133" s="565">
        <v>37.684649999999998</v>
      </c>
      <c r="D133" s="566">
        <v>37.684649999999998</v>
      </c>
      <c r="E133" s="575" t="s">
        <v>307</v>
      </c>
      <c r="F133" s="565">
        <v>0</v>
      </c>
      <c r="G133" s="566">
        <v>0</v>
      </c>
      <c r="H133" s="568">
        <v>0</v>
      </c>
      <c r="I133" s="565">
        <v>9.4499999999999993</v>
      </c>
      <c r="J133" s="566">
        <v>9.4499999999999993</v>
      </c>
      <c r="K133" s="576" t="s">
        <v>307</v>
      </c>
    </row>
    <row r="134" spans="1:11" ht="14.4" customHeight="1" thickBot="1" x14ac:dyDescent="0.35">
      <c r="A134" s="586" t="s">
        <v>432</v>
      </c>
      <c r="B134" s="570">
        <v>0</v>
      </c>
      <c r="C134" s="570">
        <v>10.65785</v>
      </c>
      <c r="D134" s="571">
        <v>10.65785</v>
      </c>
      <c r="E134" s="572" t="s">
        <v>326</v>
      </c>
      <c r="F134" s="570">
        <v>0</v>
      </c>
      <c r="G134" s="571">
        <v>0</v>
      </c>
      <c r="H134" s="573">
        <v>0</v>
      </c>
      <c r="I134" s="570">
        <v>0</v>
      </c>
      <c r="J134" s="571">
        <v>0</v>
      </c>
      <c r="K134" s="574" t="s">
        <v>307</v>
      </c>
    </row>
    <row r="135" spans="1:11" ht="14.4" customHeight="1" thickBot="1" x14ac:dyDescent="0.35">
      <c r="A135" s="587" t="s">
        <v>433</v>
      </c>
      <c r="B135" s="565">
        <v>0</v>
      </c>
      <c r="C135" s="565">
        <v>10.65785</v>
      </c>
      <c r="D135" s="566">
        <v>10.65785</v>
      </c>
      <c r="E135" s="575" t="s">
        <v>326</v>
      </c>
      <c r="F135" s="565">
        <v>0</v>
      </c>
      <c r="G135" s="566">
        <v>0</v>
      </c>
      <c r="H135" s="568">
        <v>0</v>
      </c>
      <c r="I135" s="565">
        <v>0</v>
      </c>
      <c r="J135" s="566">
        <v>0</v>
      </c>
      <c r="K135" s="576" t="s">
        <v>307</v>
      </c>
    </row>
    <row r="136" spans="1:11" ht="14.4" customHeight="1" thickBot="1" x14ac:dyDescent="0.35">
      <c r="A136" s="589" t="s">
        <v>434</v>
      </c>
      <c r="B136" s="565">
        <v>0</v>
      </c>
      <c r="C136" s="565">
        <v>6</v>
      </c>
      <c r="D136" s="566">
        <v>6</v>
      </c>
      <c r="E136" s="575" t="s">
        <v>307</v>
      </c>
      <c r="F136" s="565">
        <v>0</v>
      </c>
      <c r="G136" s="566">
        <v>0</v>
      </c>
      <c r="H136" s="568">
        <v>0</v>
      </c>
      <c r="I136" s="565">
        <v>4.5</v>
      </c>
      <c r="J136" s="566">
        <v>4.5</v>
      </c>
      <c r="K136" s="576" t="s">
        <v>307</v>
      </c>
    </row>
    <row r="137" spans="1:11" ht="14.4" customHeight="1" thickBot="1" x14ac:dyDescent="0.35">
      <c r="A137" s="587" t="s">
        <v>435</v>
      </c>
      <c r="B137" s="565">
        <v>0</v>
      </c>
      <c r="C137" s="565">
        <v>6</v>
      </c>
      <c r="D137" s="566">
        <v>6</v>
      </c>
      <c r="E137" s="575" t="s">
        <v>307</v>
      </c>
      <c r="F137" s="565">
        <v>0</v>
      </c>
      <c r="G137" s="566">
        <v>0</v>
      </c>
      <c r="H137" s="568">
        <v>0</v>
      </c>
      <c r="I137" s="565">
        <v>4.5</v>
      </c>
      <c r="J137" s="566">
        <v>4.5</v>
      </c>
      <c r="K137" s="576" t="s">
        <v>307</v>
      </c>
    </row>
    <row r="138" spans="1:11" ht="14.4" customHeight="1" thickBot="1" x14ac:dyDescent="0.35">
      <c r="A138" s="584" t="s">
        <v>436</v>
      </c>
      <c r="B138" s="565">
        <v>2864.9962620438</v>
      </c>
      <c r="C138" s="565">
        <v>3095.2516900000001</v>
      </c>
      <c r="D138" s="566">
        <v>230.25542795620299</v>
      </c>
      <c r="E138" s="567">
        <v>1.080368491577</v>
      </c>
      <c r="F138" s="565">
        <v>2622.2123911916201</v>
      </c>
      <c r="G138" s="566">
        <v>1529.6238948617799</v>
      </c>
      <c r="H138" s="568">
        <v>277.42356999999998</v>
      </c>
      <c r="I138" s="565">
        <v>1698.3426199999999</v>
      </c>
      <c r="J138" s="566">
        <v>168.718725138222</v>
      </c>
      <c r="K138" s="569">
        <v>0.64767546126499997</v>
      </c>
    </row>
    <row r="139" spans="1:11" ht="14.4" customHeight="1" thickBot="1" x14ac:dyDescent="0.35">
      <c r="A139" s="585" t="s">
        <v>437</v>
      </c>
      <c r="B139" s="565">
        <v>2721.9962620438</v>
      </c>
      <c r="C139" s="565">
        <v>2740.549</v>
      </c>
      <c r="D139" s="566">
        <v>18.552737956202002</v>
      </c>
      <c r="E139" s="567">
        <v>1.006815857249</v>
      </c>
      <c r="F139" s="565">
        <v>2610.0003911916201</v>
      </c>
      <c r="G139" s="566">
        <v>1522.5002281951099</v>
      </c>
      <c r="H139" s="568">
        <v>229.221</v>
      </c>
      <c r="I139" s="565">
        <v>1527.415</v>
      </c>
      <c r="J139" s="566">
        <v>4.9147718048889999</v>
      </c>
      <c r="K139" s="569">
        <v>0.58521638738199999</v>
      </c>
    </row>
    <row r="140" spans="1:11" ht="14.4" customHeight="1" thickBot="1" x14ac:dyDescent="0.35">
      <c r="A140" s="586" t="s">
        <v>438</v>
      </c>
      <c r="B140" s="570">
        <v>2721.9962620438</v>
      </c>
      <c r="C140" s="570">
        <v>2728.049</v>
      </c>
      <c r="D140" s="571">
        <v>6.0527379562019998</v>
      </c>
      <c r="E140" s="577">
        <v>1.002223639334</v>
      </c>
      <c r="F140" s="570">
        <v>2610.0003911916201</v>
      </c>
      <c r="G140" s="571">
        <v>1522.5002281951099</v>
      </c>
      <c r="H140" s="573">
        <v>229.221</v>
      </c>
      <c r="I140" s="570">
        <v>1527.415</v>
      </c>
      <c r="J140" s="571">
        <v>4.9147718048889999</v>
      </c>
      <c r="K140" s="578">
        <v>0.58521638738199999</v>
      </c>
    </row>
    <row r="141" spans="1:11" ht="14.4" customHeight="1" thickBot="1" x14ac:dyDescent="0.35">
      <c r="A141" s="587" t="s">
        <v>439</v>
      </c>
      <c r="B141" s="565">
        <v>105.995788643487</v>
      </c>
      <c r="C141" s="565">
        <v>108.355</v>
      </c>
      <c r="D141" s="566">
        <v>2.3592113565130002</v>
      </c>
      <c r="E141" s="567">
        <v>1.0222575951990001</v>
      </c>
      <c r="F141" s="565">
        <v>112.99999644077199</v>
      </c>
      <c r="G141" s="566">
        <v>65.916664590449997</v>
      </c>
      <c r="H141" s="568">
        <v>9.3840000000000003</v>
      </c>
      <c r="I141" s="565">
        <v>65.688000000000002</v>
      </c>
      <c r="J141" s="566">
        <v>-0.22866459045000001</v>
      </c>
      <c r="K141" s="569">
        <v>0.58130975282300001</v>
      </c>
    </row>
    <row r="142" spans="1:11" ht="14.4" customHeight="1" thickBot="1" x14ac:dyDescent="0.35">
      <c r="A142" s="587" t="s">
        <v>440</v>
      </c>
      <c r="B142" s="565">
        <v>2013.99999999996</v>
      </c>
      <c r="C142" s="565">
        <v>2017.203</v>
      </c>
      <c r="D142" s="566">
        <v>3.203000000037</v>
      </c>
      <c r="E142" s="567">
        <v>1.001590367428</v>
      </c>
      <c r="F142" s="565">
        <v>2019.99993637486</v>
      </c>
      <c r="G142" s="566">
        <v>1178.3332962186701</v>
      </c>
      <c r="H142" s="568">
        <v>181.374</v>
      </c>
      <c r="I142" s="565">
        <v>1192.479</v>
      </c>
      <c r="J142" s="566">
        <v>14.145703781332999</v>
      </c>
      <c r="K142" s="569">
        <v>0.59033615720800003</v>
      </c>
    </row>
    <row r="143" spans="1:11" ht="14.4" customHeight="1" thickBot="1" x14ac:dyDescent="0.35">
      <c r="A143" s="587" t="s">
        <v>441</v>
      </c>
      <c r="B143" s="565">
        <v>61.000510353907998</v>
      </c>
      <c r="C143" s="565">
        <v>61.295999999999999</v>
      </c>
      <c r="D143" s="566">
        <v>0.29548964609099998</v>
      </c>
      <c r="E143" s="567">
        <v>1.004844052031</v>
      </c>
      <c r="F143" s="565">
        <v>61.000508432537998</v>
      </c>
      <c r="G143" s="566">
        <v>35.583629918981003</v>
      </c>
      <c r="H143" s="568">
        <v>5.1070000000000002</v>
      </c>
      <c r="I143" s="565">
        <v>35.753999999999998</v>
      </c>
      <c r="J143" s="566">
        <v>0.170370081018</v>
      </c>
      <c r="K143" s="569">
        <v>0.58612626220200004</v>
      </c>
    </row>
    <row r="144" spans="1:11" ht="14.4" customHeight="1" thickBot="1" x14ac:dyDescent="0.35">
      <c r="A144" s="587" t="s">
        <v>442</v>
      </c>
      <c r="B144" s="565">
        <v>2.99996304645</v>
      </c>
      <c r="C144" s="565">
        <v>3.22</v>
      </c>
      <c r="D144" s="566">
        <v>0.22003695354899999</v>
      </c>
      <c r="E144" s="567">
        <v>1.0733465546550001</v>
      </c>
      <c r="F144" s="565">
        <v>2.999962951958</v>
      </c>
      <c r="G144" s="566">
        <v>1.7499783886419999</v>
      </c>
      <c r="H144" s="568">
        <v>0.27500000000000002</v>
      </c>
      <c r="I144" s="565">
        <v>1.925</v>
      </c>
      <c r="J144" s="566">
        <v>0.17502161135700001</v>
      </c>
      <c r="K144" s="569">
        <v>0.64167459092800005</v>
      </c>
    </row>
    <row r="145" spans="1:11" ht="14.4" customHeight="1" thickBot="1" x14ac:dyDescent="0.35">
      <c r="A145" s="587" t="s">
        <v>443</v>
      </c>
      <c r="B145" s="565">
        <v>537.99999999999</v>
      </c>
      <c r="C145" s="565">
        <v>537.97500000000002</v>
      </c>
      <c r="D145" s="566">
        <v>-2.4999999990000001E-2</v>
      </c>
      <c r="E145" s="567">
        <v>0.99995353159800004</v>
      </c>
      <c r="F145" s="565">
        <v>412.99998699149302</v>
      </c>
      <c r="G145" s="566">
        <v>240.916659078371</v>
      </c>
      <c r="H145" s="568">
        <v>33.081000000000003</v>
      </c>
      <c r="I145" s="565">
        <v>231.56899999999999</v>
      </c>
      <c r="J145" s="566">
        <v>-9.3476590783700004</v>
      </c>
      <c r="K145" s="569">
        <v>0.56069977552899997</v>
      </c>
    </row>
    <row r="146" spans="1:11" ht="14.4" customHeight="1" thickBot="1" x14ac:dyDescent="0.35">
      <c r="A146" s="586" t="s">
        <v>444</v>
      </c>
      <c r="B146" s="570">
        <v>0</v>
      </c>
      <c r="C146" s="570">
        <v>12.5</v>
      </c>
      <c r="D146" s="571">
        <v>12.5</v>
      </c>
      <c r="E146" s="572" t="s">
        <v>326</v>
      </c>
      <c r="F146" s="570">
        <v>0</v>
      </c>
      <c r="G146" s="571">
        <v>0</v>
      </c>
      <c r="H146" s="573">
        <v>0</v>
      </c>
      <c r="I146" s="570">
        <v>0</v>
      </c>
      <c r="J146" s="571">
        <v>0</v>
      </c>
      <c r="K146" s="574" t="s">
        <v>307</v>
      </c>
    </row>
    <row r="147" spans="1:11" ht="14.4" customHeight="1" thickBot="1" x14ac:dyDescent="0.35">
      <c r="A147" s="587" t="s">
        <v>445</v>
      </c>
      <c r="B147" s="565">
        <v>0</v>
      </c>
      <c r="C147" s="565">
        <v>8</v>
      </c>
      <c r="D147" s="566">
        <v>8</v>
      </c>
      <c r="E147" s="575" t="s">
        <v>326</v>
      </c>
      <c r="F147" s="565">
        <v>0</v>
      </c>
      <c r="G147" s="566">
        <v>0</v>
      </c>
      <c r="H147" s="568">
        <v>0</v>
      </c>
      <c r="I147" s="565">
        <v>0</v>
      </c>
      <c r="J147" s="566">
        <v>0</v>
      </c>
      <c r="K147" s="576" t="s">
        <v>307</v>
      </c>
    </row>
    <row r="148" spans="1:11" ht="14.4" customHeight="1" thickBot="1" x14ac:dyDescent="0.35">
      <c r="A148" s="587" t="s">
        <v>446</v>
      </c>
      <c r="B148" s="565">
        <v>0</v>
      </c>
      <c r="C148" s="565">
        <v>4.5</v>
      </c>
      <c r="D148" s="566">
        <v>4.5</v>
      </c>
      <c r="E148" s="575" t="s">
        <v>326</v>
      </c>
      <c r="F148" s="565">
        <v>0</v>
      </c>
      <c r="G148" s="566">
        <v>0</v>
      </c>
      <c r="H148" s="568">
        <v>0</v>
      </c>
      <c r="I148" s="565">
        <v>0</v>
      </c>
      <c r="J148" s="566">
        <v>0</v>
      </c>
      <c r="K148" s="576" t="s">
        <v>307</v>
      </c>
    </row>
    <row r="149" spans="1:11" ht="14.4" customHeight="1" thickBot="1" x14ac:dyDescent="0.35">
      <c r="A149" s="585" t="s">
        <v>447</v>
      </c>
      <c r="B149" s="565">
        <v>143</v>
      </c>
      <c r="C149" s="565">
        <v>354.70269000000002</v>
      </c>
      <c r="D149" s="566">
        <v>211.70268999999999</v>
      </c>
      <c r="E149" s="567">
        <v>2.4804383916080002</v>
      </c>
      <c r="F149" s="565">
        <v>12.212</v>
      </c>
      <c r="G149" s="566">
        <v>7.1236666666659998</v>
      </c>
      <c r="H149" s="568">
        <v>48.202570000000001</v>
      </c>
      <c r="I149" s="565">
        <v>170.92761999999999</v>
      </c>
      <c r="J149" s="566">
        <v>163.803953333333</v>
      </c>
      <c r="K149" s="569">
        <v>13.996693416311</v>
      </c>
    </row>
    <row r="150" spans="1:11" ht="14.4" customHeight="1" thickBot="1" x14ac:dyDescent="0.35">
      <c r="A150" s="586" t="s">
        <v>448</v>
      </c>
      <c r="B150" s="570">
        <v>143</v>
      </c>
      <c r="C150" s="570">
        <v>264.28627</v>
      </c>
      <c r="D150" s="571">
        <v>121.28627</v>
      </c>
      <c r="E150" s="577">
        <v>1.8481557342649999</v>
      </c>
      <c r="F150" s="570">
        <v>12.212</v>
      </c>
      <c r="G150" s="571">
        <v>7.1236666666659998</v>
      </c>
      <c r="H150" s="573">
        <v>0</v>
      </c>
      <c r="I150" s="570">
        <v>93.371049999999997</v>
      </c>
      <c r="J150" s="571">
        <v>86.247383333333005</v>
      </c>
      <c r="K150" s="578">
        <v>7.6458442515550002</v>
      </c>
    </row>
    <row r="151" spans="1:11" ht="14.4" customHeight="1" thickBot="1" x14ac:dyDescent="0.35">
      <c r="A151" s="587" t="s">
        <v>449</v>
      </c>
      <c r="B151" s="565">
        <v>143</v>
      </c>
      <c r="C151" s="565">
        <v>220.87208999999999</v>
      </c>
      <c r="D151" s="566">
        <v>77.87209</v>
      </c>
      <c r="E151" s="567">
        <v>1.5445600699299999</v>
      </c>
      <c r="F151" s="565">
        <v>12.212</v>
      </c>
      <c r="G151" s="566">
        <v>7.1236666666659998</v>
      </c>
      <c r="H151" s="568">
        <v>0</v>
      </c>
      <c r="I151" s="565">
        <v>73.090649999999997</v>
      </c>
      <c r="J151" s="566">
        <v>65.966983333333005</v>
      </c>
      <c r="K151" s="569">
        <v>5.9851498526039997</v>
      </c>
    </row>
    <row r="152" spans="1:11" ht="14.4" customHeight="1" thickBot="1" x14ac:dyDescent="0.35">
      <c r="A152" s="587" t="s">
        <v>450</v>
      </c>
      <c r="B152" s="565">
        <v>0</v>
      </c>
      <c r="C152" s="565">
        <v>0</v>
      </c>
      <c r="D152" s="566">
        <v>0</v>
      </c>
      <c r="E152" s="567">
        <v>1</v>
      </c>
      <c r="F152" s="565">
        <v>0</v>
      </c>
      <c r="G152" s="566">
        <v>0</v>
      </c>
      <c r="H152" s="568">
        <v>0</v>
      </c>
      <c r="I152" s="565">
        <v>3.1414</v>
      </c>
      <c r="J152" s="566">
        <v>3.1414</v>
      </c>
      <c r="K152" s="576" t="s">
        <v>326</v>
      </c>
    </row>
    <row r="153" spans="1:11" ht="14.4" customHeight="1" thickBot="1" x14ac:dyDescent="0.35">
      <c r="A153" s="587" t="s">
        <v>451</v>
      </c>
      <c r="B153" s="565">
        <v>0</v>
      </c>
      <c r="C153" s="565">
        <v>9.5</v>
      </c>
      <c r="D153" s="566">
        <v>9.5</v>
      </c>
      <c r="E153" s="575" t="s">
        <v>307</v>
      </c>
      <c r="F153" s="565">
        <v>0</v>
      </c>
      <c r="G153" s="566">
        <v>0</v>
      </c>
      <c r="H153" s="568">
        <v>0</v>
      </c>
      <c r="I153" s="565">
        <v>17.138999999999999</v>
      </c>
      <c r="J153" s="566">
        <v>17.138999999999999</v>
      </c>
      <c r="K153" s="576" t="s">
        <v>307</v>
      </c>
    </row>
    <row r="154" spans="1:11" ht="14.4" customHeight="1" thickBot="1" x14ac:dyDescent="0.35">
      <c r="A154" s="587" t="s">
        <v>452</v>
      </c>
      <c r="B154" s="565">
        <v>0</v>
      </c>
      <c r="C154" s="565">
        <v>33.914180000000002</v>
      </c>
      <c r="D154" s="566">
        <v>33.914180000000002</v>
      </c>
      <c r="E154" s="575" t="s">
        <v>326</v>
      </c>
      <c r="F154" s="565">
        <v>0</v>
      </c>
      <c r="G154" s="566">
        <v>0</v>
      </c>
      <c r="H154" s="568">
        <v>0</v>
      </c>
      <c r="I154" s="565">
        <v>0</v>
      </c>
      <c r="J154" s="566">
        <v>0</v>
      </c>
      <c r="K154" s="576" t="s">
        <v>307</v>
      </c>
    </row>
    <row r="155" spans="1:11" ht="14.4" customHeight="1" thickBot="1" x14ac:dyDescent="0.35">
      <c r="A155" s="586" t="s">
        <v>453</v>
      </c>
      <c r="B155" s="570">
        <v>0</v>
      </c>
      <c r="C155" s="570">
        <v>0</v>
      </c>
      <c r="D155" s="571">
        <v>0</v>
      </c>
      <c r="E155" s="572" t="s">
        <v>307</v>
      </c>
      <c r="F155" s="570">
        <v>0</v>
      </c>
      <c r="G155" s="571">
        <v>0</v>
      </c>
      <c r="H155" s="573">
        <v>5.4408700000000003</v>
      </c>
      <c r="I155" s="570">
        <v>5.4408700000000003</v>
      </c>
      <c r="J155" s="571">
        <v>5.4408700000000003</v>
      </c>
      <c r="K155" s="574" t="s">
        <v>326</v>
      </c>
    </row>
    <row r="156" spans="1:11" ht="14.4" customHeight="1" thickBot="1" x14ac:dyDescent="0.35">
      <c r="A156" s="587" t="s">
        <v>454</v>
      </c>
      <c r="B156" s="565">
        <v>0</v>
      </c>
      <c r="C156" s="565">
        <v>0</v>
      </c>
      <c r="D156" s="566">
        <v>0</v>
      </c>
      <c r="E156" s="575" t="s">
        <v>307</v>
      </c>
      <c r="F156" s="565">
        <v>0</v>
      </c>
      <c r="G156" s="566">
        <v>0</v>
      </c>
      <c r="H156" s="568">
        <v>5.4408700000000003</v>
      </c>
      <c r="I156" s="565">
        <v>5.4408700000000003</v>
      </c>
      <c r="J156" s="566">
        <v>5.4408700000000003</v>
      </c>
      <c r="K156" s="576" t="s">
        <v>326</v>
      </c>
    </row>
    <row r="157" spans="1:11" ht="14.4" customHeight="1" thickBot="1" x14ac:dyDescent="0.35">
      <c r="A157" s="586" t="s">
        <v>455</v>
      </c>
      <c r="B157" s="570">
        <v>0</v>
      </c>
      <c r="C157" s="570">
        <v>4.1139999999999999</v>
      </c>
      <c r="D157" s="571">
        <v>4.1139999999999999</v>
      </c>
      <c r="E157" s="572" t="s">
        <v>326</v>
      </c>
      <c r="F157" s="570">
        <v>0</v>
      </c>
      <c r="G157" s="571">
        <v>0</v>
      </c>
      <c r="H157" s="573">
        <v>22.433399999999999</v>
      </c>
      <c r="I157" s="570">
        <v>30.6614</v>
      </c>
      <c r="J157" s="571">
        <v>30.6614</v>
      </c>
      <c r="K157" s="574" t="s">
        <v>307</v>
      </c>
    </row>
    <row r="158" spans="1:11" ht="14.4" customHeight="1" thickBot="1" x14ac:dyDescent="0.35">
      <c r="A158" s="587" t="s">
        <v>456</v>
      </c>
      <c r="B158" s="565">
        <v>0</v>
      </c>
      <c r="C158" s="565">
        <v>4.1139999999999999</v>
      </c>
      <c r="D158" s="566">
        <v>4.1139999999999999</v>
      </c>
      <c r="E158" s="575" t="s">
        <v>326</v>
      </c>
      <c r="F158" s="565">
        <v>0</v>
      </c>
      <c r="G158" s="566">
        <v>0</v>
      </c>
      <c r="H158" s="568">
        <v>22.433399999999999</v>
      </c>
      <c r="I158" s="565">
        <v>30.6614</v>
      </c>
      <c r="J158" s="566">
        <v>30.6614</v>
      </c>
      <c r="K158" s="576" t="s">
        <v>307</v>
      </c>
    </row>
    <row r="159" spans="1:11" ht="14.4" customHeight="1" thickBot="1" x14ac:dyDescent="0.35">
      <c r="A159" s="586" t="s">
        <v>457</v>
      </c>
      <c r="B159" s="570">
        <v>0</v>
      </c>
      <c r="C159" s="570">
        <v>4.3319999999999999</v>
      </c>
      <c r="D159" s="571">
        <v>4.3319999999999999</v>
      </c>
      <c r="E159" s="572" t="s">
        <v>307</v>
      </c>
      <c r="F159" s="570">
        <v>0</v>
      </c>
      <c r="G159" s="571">
        <v>0</v>
      </c>
      <c r="H159" s="573">
        <v>20.328299999999999</v>
      </c>
      <c r="I159" s="570">
        <v>41.454300000000003</v>
      </c>
      <c r="J159" s="571">
        <v>41.454300000000003</v>
      </c>
      <c r="K159" s="574" t="s">
        <v>307</v>
      </c>
    </row>
    <row r="160" spans="1:11" ht="14.4" customHeight="1" thickBot="1" x14ac:dyDescent="0.35">
      <c r="A160" s="587" t="s">
        <v>458</v>
      </c>
      <c r="B160" s="565">
        <v>0</v>
      </c>
      <c r="C160" s="565">
        <v>1.452</v>
      </c>
      <c r="D160" s="566">
        <v>1.452</v>
      </c>
      <c r="E160" s="575" t="s">
        <v>307</v>
      </c>
      <c r="F160" s="565">
        <v>0</v>
      </c>
      <c r="G160" s="566">
        <v>0</v>
      </c>
      <c r="H160" s="568">
        <v>20.328299999999999</v>
      </c>
      <c r="I160" s="565">
        <v>41.454300000000003</v>
      </c>
      <c r="J160" s="566">
        <v>41.454300000000003</v>
      </c>
      <c r="K160" s="576" t="s">
        <v>307</v>
      </c>
    </row>
    <row r="161" spans="1:11" ht="14.4" customHeight="1" thickBot="1" x14ac:dyDescent="0.35">
      <c r="A161" s="587" t="s">
        <v>459</v>
      </c>
      <c r="B161" s="565">
        <v>0</v>
      </c>
      <c r="C161" s="565">
        <v>2.88</v>
      </c>
      <c r="D161" s="566">
        <v>2.88</v>
      </c>
      <c r="E161" s="575" t="s">
        <v>326</v>
      </c>
      <c r="F161" s="565">
        <v>0</v>
      </c>
      <c r="G161" s="566">
        <v>0</v>
      </c>
      <c r="H161" s="568">
        <v>0</v>
      </c>
      <c r="I161" s="565">
        <v>0</v>
      </c>
      <c r="J161" s="566">
        <v>0</v>
      </c>
      <c r="K161" s="576" t="s">
        <v>307</v>
      </c>
    </row>
    <row r="162" spans="1:11" ht="14.4" customHeight="1" thickBot="1" x14ac:dyDescent="0.35">
      <c r="A162" s="586" t="s">
        <v>460</v>
      </c>
      <c r="B162" s="570">
        <v>0</v>
      </c>
      <c r="C162" s="570">
        <v>81.970420000000004</v>
      </c>
      <c r="D162" s="571">
        <v>81.970420000000004</v>
      </c>
      <c r="E162" s="572" t="s">
        <v>307</v>
      </c>
      <c r="F162" s="570">
        <v>0</v>
      </c>
      <c r="G162" s="571">
        <v>0</v>
      </c>
      <c r="H162" s="573">
        <v>0</v>
      </c>
      <c r="I162" s="570">
        <v>0</v>
      </c>
      <c r="J162" s="571">
        <v>0</v>
      </c>
      <c r="K162" s="574" t="s">
        <v>307</v>
      </c>
    </row>
    <row r="163" spans="1:11" ht="14.4" customHeight="1" thickBot="1" x14ac:dyDescent="0.35">
      <c r="A163" s="587" t="s">
        <v>461</v>
      </c>
      <c r="B163" s="565">
        <v>0</v>
      </c>
      <c r="C163" s="565">
        <v>28.803799999999999</v>
      </c>
      <c r="D163" s="566">
        <v>28.803799999999999</v>
      </c>
      <c r="E163" s="575" t="s">
        <v>307</v>
      </c>
      <c r="F163" s="565">
        <v>0</v>
      </c>
      <c r="G163" s="566">
        <v>0</v>
      </c>
      <c r="H163" s="568">
        <v>0</v>
      </c>
      <c r="I163" s="565">
        <v>0</v>
      </c>
      <c r="J163" s="566">
        <v>0</v>
      </c>
      <c r="K163" s="576" t="s">
        <v>307</v>
      </c>
    </row>
    <row r="164" spans="1:11" ht="14.4" customHeight="1" thickBot="1" x14ac:dyDescent="0.35">
      <c r="A164" s="587" t="s">
        <v>462</v>
      </c>
      <c r="B164" s="565">
        <v>0</v>
      </c>
      <c r="C164" s="565">
        <v>9.58</v>
      </c>
      <c r="D164" s="566">
        <v>9.58</v>
      </c>
      <c r="E164" s="575" t="s">
        <v>307</v>
      </c>
      <c r="F164" s="565">
        <v>0</v>
      </c>
      <c r="G164" s="566">
        <v>0</v>
      </c>
      <c r="H164" s="568">
        <v>0</v>
      </c>
      <c r="I164" s="565">
        <v>0</v>
      </c>
      <c r="J164" s="566">
        <v>0</v>
      </c>
      <c r="K164" s="576" t="s">
        <v>307</v>
      </c>
    </row>
    <row r="165" spans="1:11" ht="14.4" customHeight="1" thickBot="1" x14ac:dyDescent="0.35">
      <c r="A165" s="587" t="s">
        <v>463</v>
      </c>
      <c r="B165" s="565">
        <v>0</v>
      </c>
      <c r="C165" s="565">
        <v>43.586620000000003</v>
      </c>
      <c r="D165" s="566">
        <v>43.586620000000003</v>
      </c>
      <c r="E165" s="575" t="s">
        <v>326</v>
      </c>
      <c r="F165" s="565">
        <v>0</v>
      </c>
      <c r="G165" s="566">
        <v>0</v>
      </c>
      <c r="H165" s="568">
        <v>0</v>
      </c>
      <c r="I165" s="565">
        <v>0</v>
      </c>
      <c r="J165" s="566">
        <v>0</v>
      </c>
      <c r="K165" s="576" t="s">
        <v>307</v>
      </c>
    </row>
    <row r="166" spans="1:11" ht="14.4" customHeight="1" thickBot="1" x14ac:dyDescent="0.35">
      <c r="A166" s="584" t="s">
        <v>464</v>
      </c>
      <c r="B166" s="565">
        <v>0</v>
      </c>
      <c r="C166" s="565">
        <v>2.6429999999999999E-2</v>
      </c>
      <c r="D166" s="566">
        <v>2.6429999999999999E-2</v>
      </c>
      <c r="E166" s="575" t="s">
        <v>326</v>
      </c>
      <c r="F166" s="565">
        <v>0</v>
      </c>
      <c r="G166" s="566">
        <v>0</v>
      </c>
      <c r="H166" s="568">
        <v>0</v>
      </c>
      <c r="I166" s="565">
        <v>0</v>
      </c>
      <c r="J166" s="566">
        <v>0</v>
      </c>
      <c r="K166" s="576" t="s">
        <v>307</v>
      </c>
    </row>
    <row r="167" spans="1:11" ht="14.4" customHeight="1" thickBot="1" x14ac:dyDescent="0.35">
      <c r="A167" s="585" t="s">
        <v>465</v>
      </c>
      <c r="B167" s="565">
        <v>0</v>
      </c>
      <c r="C167" s="565">
        <v>2.6429999999999999E-2</v>
      </c>
      <c r="D167" s="566">
        <v>2.6429999999999999E-2</v>
      </c>
      <c r="E167" s="575" t="s">
        <v>326</v>
      </c>
      <c r="F167" s="565">
        <v>0</v>
      </c>
      <c r="G167" s="566">
        <v>0</v>
      </c>
      <c r="H167" s="568">
        <v>0</v>
      </c>
      <c r="I167" s="565">
        <v>0</v>
      </c>
      <c r="J167" s="566">
        <v>0</v>
      </c>
      <c r="K167" s="576" t="s">
        <v>307</v>
      </c>
    </row>
    <row r="168" spans="1:11" ht="14.4" customHeight="1" thickBot="1" x14ac:dyDescent="0.35">
      <c r="A168" s="586" t="s">
        <v>466</v>
      </c>
      <c r="B168" s="570">
        <v>0</v>
      </c>
      <c r="C168" s="570">
        <v>2.6429999999999999E-2</v>
      </c>
      <c r="D168" s="571">
        <v>2.6429999999999999E-2</v>
      </c>
      <c r="E168" s="572" t="s">
        <v>326</v>
      </c>
      <c r="F168" s="570">
        <v>0</v>
      </c>
      <c r="G168" s="571">
        <v>0</v>
      </c>
      <c r="H168" s="573">
        <v>0</v>
      </c>
      <c r="I168" s="570">
        <v>0</v>
      </c>
      <c r="J168" s="571">
        <v>0</v>
      </c>
      <c r="K168" s="574" t="s">
        <v>307</v>
      </c>
    </row>
    <row r="169" spans="1:11" ht="14.4" customHeight="1" thickBot="1" x14ac:dyDescent="0.35">
      <c r="A169" s="587" t="s">
        <v>467</v>
      </c>
      <c r="B169" s="565">
        <v>0</v>
      </c>
      <c r="C169" s="565">
        <v>2.6429999999999999E-2</v>
      </c>
      <c r="D169" s="566">
        <v>2.6429999999999999E-2</v>
      </c>
      <c r="E169" s="575" t="s">
        <v>326</v>
      </c>
      <c r="F169" s="565">
        <v>0</v>
      </c>
      <c r="G169" s="566">
        <v>0</v>
      </c>
      <c r="H169" s="568">
        <v>0</v>
      </c>
      <c r="I169" s="565">
        <v>0</v>
      </c>
      <c r="J169" s="566">
        <v>0</v>
      </c>
      <c r="K169" s="576" t="s">
        <v>307</v>
      </c>
    </row>
    <row r="170" spans="1:11" ht="14.4" customHeight="1" thickBot="1" x14ac:dyDescent="0.35">
      <c r="A170" s="583" t="s">
        <v>468</v>
      </c>
      <c r="B170" s="565">
        <v>74347.813103783701</v>
      </c>
      <c r="C170" s="565">
        <v>72338.261620000005</v>
      </c>
      <c r="D170" s="566">
        <v>-2009.55148378374</v>
      </c>
      <c r="E170" s="567">
        <v>0.97297094023399999</v>
      </c>
      <c r="F170" s="565">
        <v>68585.008519716503</v>
      </c>
      <c r="G170" s="566">
        <v>40007.921636501298</v>
      </c>
      <c r="H170" s="568">
        <v>9721.3536399999994</v>
      </c>
      <c r="I170" s="565">
        <v>51332.353490000001</v>
      </c>
      <c r="J170" s="566">
        <v>11324.4318534987</v>
      </c>
      <c r="K170" s="569">
        <v>0.74844859828499999</v>
      </c>
    </row>
    <row r="171" spans="1:11" ht="14.4" customHeight="1" thickBot="1" x14ac:dyDescent="0.35">
      <c r="A171" s="584" t="s">
        <v>469</v>
      </c>
      <c r="B171" s="565">
        <v>74255.478623281306</v>
      </c>
      <c r="C171" s="565">
        <v>71969.761180000001</v>
      </c>
      <c r="D171" s="566">
        <v>-2285.7174432812899</v>
      </c>
      <c r="E171" s="567">
        <v>0.96921819796099995</v>
      </c>
      <c r="F171" s="565">
        <v>68492.585828731797</v>
      </c>
      <c r="G171" s="566">
        <v>39954.008400093597</v>
      </c>
      <c r="H171" s="568">
        <v>9727.5557000000008</v>
      </c>
      <c r="I171" s="565">
        <v>51217.96574</v>
      </c>
      <c r="J171" s="566">
        <v>11263.957339906399</v>
      </c>
      <c r="K171" s="569">
        <v>0.74778846674099997</v>
      </c>
    </row>
    <row r="172" spans="1:11" ht="14.4" customHeight="1" thickBot="1" x14ac:dyDescent="0.35">
      <c r="A172" s="585" t="s">
        <v>470</v>
      </c>
      <c r="B172" s="565">
        <v>74255.478623281306</v>
      </c>
      <c r="C172" s="565">
        <v>71830.365669999999</v>
      </c>
      <c r="D172" s="566">
        <v>-2425.1129532812902</v>
      </c>
      <c r="E172" s="567">
        <v>0.96734095586900004</v>
      </c>
      <c r="F172" s="565">
        <v>68316.585828731797</v>
      </c>
      <c r="G172" s="566">
        <v>39851.341733426903</v>
      </c>
      <c r="H172" s="568">
        <v>9719.6040799999992</v>
      </c>
      <c r="I172" s="565">
        <v>51137.980969999997</v>
      </c>
      <c r="J172" s="566">
        <v>11286.639236573101</v>
      </c>
      <c r="K172" s="569">
        <v>0.74854415438999999</v>
      </c>
    </row>
    <row r="173" spans="1:11" ht="14.4" customHeight="1" thickBot="1" x14ac:dyDescent="0.35">
      <c r="A173" s="586" t="s">
        <v>471</v>
      </c>
      <c r="B173" s="570">
        <v>23.478623281265001</v>
      </c>
      <c r="C173" s="570">
        <v>-0.54813999999899998</v>
      </c>
      <c r="D173" s="571">
        <v>-24.026763281265001</v>
      </c>
      <c r="E173" s="577">
        <v>-2.3346343328000001E-2</v>
      </c>
      <c r="F173" s="570">
        <v>1.58582871395</v>
      </c>
      <c r="G173" s="571">
        <v>0.92506674980400005</v>
      </c>
      <c r="H173" s="573">
        <v>4.4073000000000002</v>
      </c>
      <c r="I173" s="570">
        <v>4.5461400000000003</v>
      </c>
      <c r="J173" s="571">
        <v>3.6210732501949998</v>
      </c>
      <c r="K173" s="578">
        <v>2.86672826643</v>
      </c>
    </row>
    <row r="174" spans="1:11" ht="14.4" customHeight="1" thickBot="1" x14ac:dyDescent="0.35">
      <c r="A174" s="587" t="s">
        <v>472</v>
      </c>
      <c r="B174" s="565">
        <v>0</v>
      </c>
      <c r="C174" s="565">
        <v>0</v>
      </c>
      <c r="D174" s="566">
        <v>0</v>
      </c>
      <c r="E174" s="567">
        <v>1</v>
      </c>
      <c r="F174" s="565">
        <v>0</v>
      </c>
      <c r="G174" s="566">
        <v>0</v>
      </c>
      <c r="H174" s="568">
        <v>0</v>
      </c>
      <c r="I174" s="565">
        <v>0.13883999999999999</v>
      </c>
      <c r="J174" s="566">
        <v>0.13883999999999999</v>
      </c>
      <c r="K174" s="576" t="s">
        <v>326</v>
      </c>
    </row>
    <row r="175" spans="1:11" ht="14.4" customHeight="1" thickBot="1" x14ac:dyDescent="0.35">
      <c r="A175" s="587" t="s">
        <v>473</v>
      </c>
      <c r="B175" s="565">
        <v>16.719649588503</v>
      </c>
      <c r="C175" s="565">
        <v>-2.2264400000000002</v>
      </c>
      <c r="D175" s="566">
        <v>-18.946089588503</v>
      </c>
      <c r="E175" s="567">
        <v>-0.133163077863</v>
      </c>
      <c r="F175" s="565">
        <v>0</v>
      </c>
      <c r="G175" s="566">
        <v>0</v>
      </c>
      <c r="H175" s="568">
        <v>4.4073000000000002</v>
      </c>
      <c r="I175" s="565">
        <v>4.4073000000000002</v>
      </c>
      <c r="J175" s="566">
        <v>4.4073000000000002</v>
      </c>
      <c r="K175" s="576" t="s">
        <v>307</v>
      </c>
    </row>
    <row r="176" spans="1:11" ht="14.4" customHeight="1" thickBot="1" x14ac:dyDescent="0.35">
      <c r="A176" s="587" t="s">
        <v>474</v>
      </c>
      <c r="B176" s="565">
        <v>6.7589736927609998</v>
      </c>
      <c r="C176" s="565">
        <v>1.6782999999999999</v>
      </c>
      <c r="D176" s="566">
        <v>-5.0806736927609997</v>
      </c>
      <c r="E176" s="567">
        <v>0.248306928875</v>
      </c>
      <c r="F176" s="565">
        <v>1.58582871395</v>
      </c>
      <c r="G176" s="566">
        <v>0.92506674980400005</v>
      </c>
      <c r="H176" s="568">
        <v>0</v>
      </c>
      <c r="I176" s="565">
        <v>0</v>
      </c>
      <c r="J176" s="566">
        <v>-0.92506674980400005</v>
      </c>
      <c r="K176" s="569">
        <v>0</v>
      </c>
    </row>
    <row r="177" spans="1:11" ht="14.4" customHeight="1" thickBot="1" x14ac:dyDescent="0.35">
      <c r="A177" s="586" t="s">
        <v>475</v>
      </c>
      <c r="B177" s="570">
        <v>0</v>
      </c>
      <c r="C177" s="570">
        <v>347.82670000000002</v>
      </c>
      <c r="D177" s="571">
        <v>347.82670000000002</v>
      </c>
      <c r="E177" s="572" t="s">
        <v>307</v>
      </c>
      <c r="F177" s="570">
        <v>463.00000000012102</v>
      </c>
      <c r="G177" s="571">
        <v>270.08333333340403</v>
      </c>
      <c r="H177" s="573">
        <v>3.2705000000000002</v>
      </c>
      <c r="I177" s="570">
        <v>23.244150000000001</v>
      </c>
      <c r="J177" s="571">
        <v>-246.83918333340401</v>
      </c>
      <c r="K177" s="578">
        <v>5.0203347731999998E-2</v>
      </c>
    </row>
    <row r="178" spans="1:11" ht="14.4" customHeight="1" thickBot="1" x14ac:dyDescent="0.35">
      <c r="A178" s="587" t="s">
        <v>476</v>
      </c>
      <c r="B178" s="565">
        <v>0</v>
      </c>
      <c r="C178" s="565">
        <v>321.26740000000001</v>
      </c>
      <c r="D178" s="566">
        <v>321.26740000000001</v>
      </c>
      <c r="E178" s="575" t="s">
        <v>326</v>
      </c>
      <c r="F178" s="565">
        <v>463.00000000012102</v>
      </c>
      <c r="G178" s="566">
        <v>270.08333333340403</v>
      </c>
      <c r="H178" s="568">
        <v>3.2705000000000002</v>
      </c>
      <c r="I178" s="565">
        <v>16.620249999999999</v>
      </c>
      <c r="J178" s="566">
        <v>-253.463083333404</v>
      </c>
      <c r="K178" s="569">
        <v>3.5896868249999998E-2</v>
      </c>
    </row>
    <row r="179" spans="1:11" ht="14.4" customHeight="1" thickBot="1" x14ac:dyDescent="0.35">
      <c r="A179" s="587" t="s">
        <v>477</v>
      </c>
      <c r="B179" s="565">
        <v>0</v>
      </c>
      <c r="C179" s="565">
        <v>26.5593</v>
      </c>
      <c r="D179" s="566">
        <v>26.5593</v>
      </c>
      <c r="E179" s="575" t="s">
        <v>307</v>
      </c>
      <c r="F179" s="565">
        <v>0</v>
      </c>
      <c r="G179" s="566">
        <v>0</v>
      </c>
      <c r="H179" s="568">
        <v>0</v>
      </c>
      <c r="I179" s="565">
        <v>6.6238999999999999</v>
      </c>
      <c r="J179" s="566">
        <v>6.6238999999999999</v>
      </c>
      <c r="K179" s="576" t="s">
        <v>307</v>
      </c>
    </row>
    <row r="180" spans="1:11" ht="14.4" customHeight="1" thickBot="1" x14ac:dyDescent="0.35">
      <c r="A180" s="586" t="s">
        <v>478</v>
      </c>
      <c r="B180" s="570">
        <v>0</v>
      </c>
      <c r="C180" s="570">
        <v>885.20786999999996</v>
      </c>
      <c r="D180" s="571">
        <v>885.20786999999996</v>
      </c>
      <c r="E180" s="572" t="s">
        <v>307</v>
      </c>
      <c r="F180" s="570">
        <v>786.00000000020498</v>
      </c>
      <c r="G180" s="571">
        <v>458.50000000012</v>
      </c>
      <c r="H180" s="573">
        <v>0</v>
      </c>
      <c r="I180" s="570">
        <v>0</v>
      </c>
      <c r="J180" s="571">
        <v>-458.50000000012</v>
      </c>
      <c r="K180" s="578">
        <v>0</v>
      </c>
    </row>
    <row r="181" spans="1:11" ht="14.4" customHeight="1" thickBot="1" x14ac:dyDescent="0.35">
      <c r="A181" s="587" t="s">
        <v>479</v>
      </c>
      <c r="B181" s="565">
        <v>0</v>
      </c>
      <c r="C181" s="565">
        <v>885.20786999999996</v>
      </c>
      <c r="D181" s="566">
        <v>885.20786999999996</v>
      </c>
      <c r="E181" s="575" t="s">
        <v>326</v>
      </c>
      <c r="F181" s="565">
        <v>786.00000000020498</v>
      </c>
      <c r="G181" s="566">
        <v>458.50000000012</v>
      </c>
      <c r="H181" s="568">
        <v>0</v>
      </c>
      <c r="I181" s="565">
        <v>0</v>
      </c>
      <c r="J181" s="566">
        <v>-458.50000000012</v>
      </c>
      <c r="K181" s="569">
        <v>0</v>
      </c>
    </row>
    <row r="182" spans="1:11" ht="14.4" customHeight="1" thickBot="1" x14ac:dyDescent="0.35">
      <c r="A182" s="586" t="s">
        <v>480</v>
      </c>
      <c r="B182" s="570">
        <v>74232</v>
      </c>
      <c r="C182" s="570">
        <v>64568.38465</v>
      </c>
      <c r="D182" s="571">
        <v>-9663.6153500000401</v>
      </c>
      <c r="E182" s="577">
        <v>0.86981873922200004</v>
      </c>
      <c r="F182" s="570">
        <v>67066.000000017506</v>
      </c>
      <c r="G182" s="571">
        <v>39121.833333343602</v>
      </c>
      <c r="H182" s="573">
        <v>8777.1437399999995</v>
      </c>
      <c r="I182" s="570">
        <v>47693.588369999998</v>
      </c>
      <c r="J182" s="571">
        <v>8571.7550366564392</v>
      </c>
      <c r="K182" s="578">
        <v>0.71114407255500001</v>
      </c>
    </row>
    <row r="183" spans="1:11" ht="14.4" customHeight="1" thickBot="1" x14ac:dyDescent="0.35">
      <c r="A183" s="587" t="s">
        <v>481</v>
      </c>
      <c r="B183" s="565">
        <v>22415</v>
      </c>
      <c r="C183" s="565">
        <v>16427.629649999999</v>
      </c>
      <c r="D183" s="566">
        <v>-5987.3703500000202</v>
      </c>
      <c r="E183" s="567">
        <v>0.73288555208499995</v>
      </c>
      <c r="F183" s="565">
        <v>17667.000000004598</v>
      </c>
      <c r="G183" s="566">
        <v>10305.750000002699</v>
      </c>
      <c r="H183" s="568">
        <v>4582.4161700000004</v>
      </c>
      <c r="I183" s="565">
        <v>15029.971219999999</v>
      </c>
      <c r="J183" s="566">
        <v>4724.2212199973101</v>
      </c>
      <c r="K183" s="569">
        <v>0.85073703628200004</v>
      </c>
    </row>
    <row r="184" spans="1:11" ht="14.4" customHeight="1" thickBot="1" x14ac:dyDescent="0.35">
      <c r="A184" s="587" t="s">
        <v>482</v>
      </c>
      <c r="B184" s="565">
        <v>51817</v>
      </c>
      <c r="C184" s="565">
        <v>48140.754999999997</v>
      </c>
      <c r="D184" s="566">
        <v>-3676.2450000000199</v>
      </c>
      <c r="E184" s="567">
        <v>0.92905330296999999</v>
      </c>
      <c r="F184" s="565">
        <v>49399.0000000129</v>
      </c>
      <c r="G184" s="566">
        <v>28816.083333340899</v>
      </c>
      <c r="H184" s="568">
        <v>4194.72757</v>
      </c>
      <c r="I184" s="565">
        <v>32663.617149999998</v>
      </c>
      <c r="J184" s="566">
        <v>3847.53381665914</v>
      </c>
      <c r="K184" s="569">
        <v>0.66122020992300001</v>
      </c>
    </row>
    <row r="185" spans="1:11" ht="14.4" customHeight="1" thickBot="1" x14ac:dyDescent="0.35">
      <c r="A185" s="586" t="s">
        <v>483</v>
      </c>
      <c r="B185" s="570">
        <v>0</v>
      </c>
      <c r="C185" s="570">
        <v>6029.4945900000002</v>
      </c>
      <c r="D185" s="571">
        <v>6029.4945900000002</v>
      </c>
      <c r="E185" s="572" t="s">
        <v>307</v>
      </c>
      <c r="F185" s="570">
        <v>0</v>
      </c>
      <c r="G185" s="571">
        <v>0</v>
      </c>
      <c r="H185" s="573">
        <v>934.78254000000004</v>
      </c>
      <c r="I185" s="570">
        <v>3416.6023100000002</v>
      </c>
      <c r="J185" s="571">
        <v>3416.6023100000002</v>
      </c>
      <c r="K185" s="574" t="s">
        <v>307</v>
      </c>
    </row>
    <row r="186" spans="1:11" ht="14.4" customHeight="1" thickBot="1" x14ac:dyDescent="0.35">
      <c r="A186" s="587" t="s">
        <v>484</v>
      </c>
      <c r="B186" s="565">
        <v>0</v>
      </c>
      <c r="C186" s="565">
        <v>160.95596</v>
      </c>
      <c r="D186" s="566">
        <v>160.95596</v>
      </c>
      <c r="E186" s="575" t="s">
        <v>307</v>
      </c>
      <c r="F186" s="565">
        <v>0</v>
      </c>
      <c r="G186" s="566">
        <v>0</v>
      </c>
      <c r="H186" s="568">
        <v>0</v>
      </c>
      <c r="I186" s="565">
        <v>402.59481</v>
      </c>
      <c r="J186" s="566">
        <v>402.59481</v>
      </c>
      <c r="K186" s="576" t="s">
        <v>307</v>
      </c>
    </row>
    <row r="187" spans="1:11" ht="14.4" customHeight="1" thickBot="1" x14ac:dyDescent="0.35">
      <c r="A187" s="587" t="s">
        <v>485</v>
      </c>
      <c r="B187" s="565">
        <v>0</v>
      </c>
      <c r="C187" s="565">
        <v>5868.53863</v>
      </c>
      <c r="D187" s="566">
        <v>5868.53863</v>
      </c>
      <c r="E187" s="575" t="s">
        <v>307</v>
      </c>
      <c r="F187" s="565">
        <v>0</v>
      </c>
      <c r="G187" s="566">
        <v>0</v>
      </c>
      <c r="H187" s="568">
        <v>934.78254000000004</v>
      </c>
      <c r="I187" s="565">
        <v>3014.0075000000002</v>
      </c>
      <c r="J187" s="566">
        <v>3014.0075000000002</v>
      </c>
      <c r="K187" s="576" t="s">
        <v>307</v>
      </c>
    </row>
    <row r="188" spans="1:11" ht="14.4" customHeight="1" thickBot="1" x14ac:dyDescent="0.35">
      <c r="A188" s="585" t="s">
        <v>486</v>
      </c>
      <c r="B188" s="565">
        <v>0</v>
      </c>
      <c r="C188" s="565">
        <v>139.39551</v>
      </c>
      <c r="D188" s="566">
        <v>139.39551</v>
      </c>
      <c r="E188" s="575" t="s">
        <v>307</v>
      </c>
      <c r="F188" s="565">
        <v>176.00000000004599</v>
      </c>
      <c r="G188" s="566">
        <v>102.666666666694</v>
      </c>
      <c r="H188" s="568">
        <v>7.9516200000000001</v>
      </c>
      <c r="I188" s="565">
        <v>79.984769999999997</v>
      </c>
      <c r="J188" s="566">
        <v>-22.681896666693</v>
      </c>
      <c r="K188" s="569">
        <v>0.45445892045399999</v>
      </c>
    </row>
    <row r="189" spans="1:11" ht="14.4" customHeight="1" thickBot="1" x14ac:dyDescent="0.35">
      <c r="A189" s="586" t="s">
        <v>487</v>
      </c>
      <c r="B189" s="570">
        <v>0</v>
      </c>
      <c r="C189" s="570">
        <v>139.39551</v>
      </c>
      <c r="D189" s="571">
        <v>139.39551</v>
      </c>
      <c r="E189" s="572" t="s">
        <v>307</v>
      </c>
      <c r="F189" s="570">
        <v>176.00000000004599</v>
      </c>
      <c r="G189" s="571">
        <v>102.666666666694</v>
      </c>
      <c r="H189" s="573">
        <v>7.9516200000000001</v>
      </c>
      <c r="I189" s="570">
        <v>79.984769999999997</v>
      </c>
      <c r="J189" s="571">
        <v>-22.681896666693</v>
      </c>
      <c r="K189" s="578">
        <v>0.45445892045399999</v>
      </c>
    </row>
    <row r="190" spans="1:11" ht="14.4" customHeight="1" thickBot="1" x14ac:dyDescent="0.35">
      <c r="A190" s="587" t="s">
        <v>488</v>
      </c>
      <c r="B190" s="565">
        <v>0</v>
      </c>
      <c r="C190" s="565">
        <v>139.39551</v>
      </c>
      <c r="D190" s="566">
        <v>139.39551</v>
      </c>
      <c r="E190" s="575" t="s">
        <v>307</v>
      </c>
      <c r="F190" s="565">
        <v>176.00000000004599</v>
      </c>
      <c r="G190" s="566">
        <v>102.666666666694</v>
      </c>
      <c r="H190" s="568">
        <v>7.9516200000000001</v>
      </c>
      <c r="I190" s="565">
        <v>79.984769999999997</v>
      </c>
      <c r="J190" s="566">
        <v>-22.681896666693</v>
      </c>
      <c r="K190" s="569">
        <v>0.45445892045399999</v>
      </c>
    </row>
    <row r="191" spans="1:11" ht="14.4" customHeight="1" thickBot="1" x14ac:dyDescent="0.35">
      <c r="A191" s="584" t="s">
        <v>489</v>
      </c>
      <c r="B191" s="565">
        <v>52.334480502433998</v>
      </c>
      <c r="C191" s="565">
        <v>303.53919000000002</v>
      </c>
      <c r="D191" s="566">
        <v>251.204709497566</v>
      </c>
      <c r="E191" s="567">
        <v>5.7999847726749998</v>
      </c>
      <c r="F191" s="565">
        <v>63</v>
      </c>
      <c r="G191" s="566">
        <v>36.75</v>
      </c>
      <c r="H191" s="568">
        <v>-8.2640600000000006</v>
      </c>
      <c r="I191" s="565">
        <v>53.870750000000001</v>
      </c>
      <c r="J191" s="566">
        <v>17.120750000000001</v>
      </c>
      <c r="K191" s="569">
        <v>0.85509126984100003</v>
      </c>
    </row>
    <row r="192" spans="1:11" ht="14.4" customHeight="1" thickBot="1" x14ac:dyDescent="0.35">
      <c r="A192" s="585" t="s">
        <v>490</v>
      </c>
      <c r="B192" s="565">
        <v>0</v>
      </c>
      <c r="C192" s="565">
        <v>87.337800000000001</v>
      </c>
      <c r="D192" s="566">
        <v>87.337800000000001</v>
      </c>
      <c r="E192" s="575" t="s">
        <v>307</v>
      </c>
      <c r="F192" s="565">
        <v>0</v>
      </c>
      <c r="G192" s="566">
        <v>0</v>
      </c>
      <c r="H192" s="568">
        <v>0</v>
      </c>
      <c r="I192" s="565">
        <v>0</v>
      </c>
      <c r="J192" s="566">
        <v>0</v>
      </c>
      <c r="K192" s="576" t="s">
        <v>307</v>
      </c>
    </row>
    <row r="193" spans="1:11" ht="14.4" customHeight="1" thickBot="1" x14ac:dyDescent="0.35">
      <c r="A193" s="586" t="s">
        <v>491</v>
      </c>
      <c r="B193" s="570">
        <v>0</v>
      </c>
      <c r="C193" s="570">
        <v>87.337800000000001</v>
      </c>
      <c r="D193" s="571">
        <v>87.337800000000001</v>
      </c>
      <c r="E193" s="572" t="s">
        <v>326</v>
      </c>
      <c r="F193" s="570">
        <v>0</v>
      </c>
      <c r="G193" s="571">
        <v>0</v>
      </c>
      <c r="H193" s="573">
        <v>0</v>
      </c>
      <c r="I193" s="570">
        <v>0</v>
      </c>
      <c r="J193" s="571">
        <v>0</v>
      </c>
      <c r="K193" s="574" t="s">
        <v>307</v>
      </c>
    </row>
    <row r="194" spans="1:11" ht="14.4" customHeight="1" thickBot="1" x14ac:dyDescent="0.35">
      <c r="A194" s="587" t="s">
        <v>492</v>
      </c>
      <c r="B194" s="565">
        <v>0</v>
      </c>
      <c r="C194" s="565">
        <v>87.337800000000001</v>
      </c>
      <c r="D194" s="566">
        <v>87.337800000000001</v>
      </c>
      <c r="E194" s="575" t="s">
        <v>326</v>
      </c>
      <c r="F194" s="565">
        <v>0</v>
      </c>
      <c r="G194" s="566">
        <v>0</v>
      </c>
      <c r="H194" s="568">
        <v>0</v>
      </c>
      <c r="I194" s="565">
        <v>0</v>
      </c>
      <c r="J194" s="566">
        <v>0</v>
      </c>
      <c r="K194" s="576" t="s">
        <v>307</v>
      </c>
    </row>
    <row r="195" spans="1:11" ht="14.4" customHeight="1" thickBot="1" x14ac:dyDescent="0.35">
      <c r="A195" s="590" t="s">
        <v>493</v>
      </c>
      <c r="B195" s="570">
        <v>52.334480502433998</v>
      </c>
      <c r="C195" s="570">
        <v>216.20139</v>
      </c>
      <c r="D195" s="571">
        <v>163.86690949756601</v>
      </c>
      <c r="E195" s="577">
        <v>4.131146195096</v>
      </c>
      <c r="F195" s="570">
        <v>63</v>
      </c>
      <c r="G195" s="571">
        <v>36.75</v>
      </c>
      <c r="H195" s="573">
        <v>-8.2640600000000006</v>
      </c>
      <c r="I195" s="570">
        <v>53.870750000000001</v>
      </c>
      <c r="J195" s="571">
        <v>17.120750000000001</v>
      </c>
      <c r="K195" s="578">
        <v>0.85509126984100003</v>
      </c>
    </row>
    <row r="196" spans="1:11" ht="14.4" customHeight="1" thickBot="1" x14ac:dyDescent="0.35">
      <c r="A196" s="586" t="s">
        <v>494</v>
      </c>
      <c r="B196" s="570">
        <v>0</v>
      </c>
      <c r="C196" s="570">
        <v>59.999119999999998</v>
      </c>
      <c r="D196" s="571">
        <v>59.999119999999998</v>
      </c>
      <c r="E196" s="572" t="s">
        <v>307</v>
      </c>
      <c r="F196" s="570">
        <v>0</v>
      </c>
      <c r="G196" s="571">
        <v>0</v>
      </c>
      <c r="H196" s="573">
        <v>4.0000000000000002E-4</v>
      </c>
      <c r="I196" s="570">
        <v>3.6000000000000002E-4</v>
      </c>
      <c r="J196" s="571">
        <v>3.6000000000000002E-4</v>
      </c>
      <c r="K196" s="574" t="s">
        <v>307</v>
      </c>
    </row>
    <row r="197" spans="1:11" ht="14.4" customHeight="1" thickBot="1" x14ac:dyDescent="0.35">
      <c r="A197" s="587" t="s">
        <v>495</v>
      </c>
      <c r="B197" s="565">
        <v>0</v>
      </c>
      <c r="C197" s="565">
        <v>-8.8000000000000003E-4</v>
      </c>
      <c r="D197" s="566">
        <v>-8.8000000000000003E-4</v>
      </c>
      <c r="E197" s="575" t="s">
        <v>307</v>
      </c>
      <c r="F197" s="565">
        <v>0</v>
      </c>
      <c r="G197" s="566">
        <v>0</v>
      </c>
      <c r="H197" s="568">
        <v>4.0000000000000002E-4</v>
      </c>
      <c r="I197" s="565">
        <v>3.6000000000000002E-4</v>
      </c>
      <c r="J197" s="566">
        <v>3.6000000000000002E-4</v>
      </c>
      <c r="K197" s="576" t="s">
        <v>307</v>
      </c>
    </row>
    <row r="198" spans="1:11" ht="14.4" customHeight="1" thickBot="1" x14ac:dyDescent="0.35">
      <c r="A198" s="587" t="s">
        <v>496</v>
      </c>
      <c r="B198" s="565">
        <v>0</v>
      </c>
      <c r="C198" s="565">
        <v>60</v>
      </c>
      <c r="D198" s="566">
        <v>60</v>
      </c>
      <c r="E198" s="575" t="s">
        <v>326</v>
      </c>
      <c r="F198" s="565">
        <v>0</v>
      </c>
      <c r="G198" s="566">
        <v>0</v>
      </c>
      <c r="H198" s="568">
        <v>0</v>
      </c>
      <c r="I198" s="565">
        <v>0</v>
      </c>
      <c r="J198" s="566">
        <v>0</v>
      </c>
      <c r="K198" s="576" t="s">
        <v>307</v>
      </c>
    </row>
    <row r="199" spans="1:11" ht="14.4" customHeight="1" thickBot="1" x14ac:dyDescent="0.35">
      <c r="A199" s="586" t="s">
        <v>497</v>
      </c>
      <c r="B199" s="570">
        <v>52.334480502433998</v>
      </c>
      <c r="C199" s="570">
        <v>72.975269999999995</v>
      </c>
      <c r="D199" s="571">
        <v>20.640789497564999</v>
      </c>
      <c r="E199" s="577">
        <v>1.3944013449520001</v>
      </c>
      <c r="F199" s="570">
        <v>63</v>
      </c>
      <c r="G199" s="571">
        <v>36.75</v>
      </c>
      <c r="H199" s="573">
        <v>-8.2644599999999997</v>
      </c>
      <c r="I199" s="570">
        <v>34.93139</v>
      </c>
      <c r="J199" s="571">
        <v>-1.818609999999</v>
      </c>
      <c r="K199" s="578">
        <v>0.55446650793600005</v>
      </c>
    </row>
    <row r="200" spans="1:11" ht="14.4" customHeight="1" thickBot="1" x14ac:dyDescent="0.35">
      <c r="A200" s="587" t="s">
        <v>498</v>
      </c>
      <c r="B200" s="565">
        <v>0</v>
      </c>
      <c r="C200" s="565">
        <v>0</v>
      </c>
      <c r="D200" s="566">
        <v>0</v>
      </c>
      <c r="E200" s="575" t="s">
        <v>307</v>
      </c>
      <c r="F200" s="565">
        <v>0</v>
      </c>
      <c r="G200" s="566">
        <v>0</v>
      </c>
      <c r="H200" s="568">
        <v>0</v>
      </c>
      <c r="I200" s="565">
        <v>1.4E-2</v>
      </c>
      <c r="J200" s="566">
        <v>1.4E-2</v>
      </c>
      <c r="K200" s="576" t="s">
        <v>326</v>
      </c>
    </row>
    <row r="201" spans="1:11" ht="14.4" customHeight="1" thickBot="1" x14ac:dyDescent="0.35">
      <c r="A201" s="587" t="s">
        <v>499</v>
      </c>
      <c r="B201" s="565">
        <v>52.334480502433998</v>
      </c>
      <c r="C201" s="565">
        <v>72.975269999999995</v>
      </c>
      <c r="D201" s="566">
        <v>20.640789497564999</v>
      </c>
      <c r="E201" s="567">
        <v>1.3944013449520001</v>
      </c>
      <c r="F201" s="565">
        <v>63</v>
      </c>
      <c r="G201" s="566">
        <v>36.75</v>
      </c>
      <c r="H201" s="568">
        <v>-8.2644599999999997</v>
      </c>
      <c r="I201" s="565">
        <v>34.917389999999997</v>
      </c>
      <c r="J201" s="566">
        <v>-1.832609999999</v>
      </c>
      <c r="K201" s="569">
        <v>0.55424428571399997</v>
      </c>
    </row>
    <row r="202" spans="1:11" ht="14.4" customHeight="1" thickBot="1" x14ac:dyDescent="0.35">
      <c r="A202" s="586" t="s">
        <v>500</v>
      </c>
      <c r="B202" s="570">
        <v>0</v>
      </c>
      <c r="C202" s="570">
        <v>83.227000000000004</v>
      </c>
      <c r="D202" s="571">
        <v>83.227000000000004</v>
      </c>
      <c r="E202" s="572" t="s">
        <v>307</v>
      </c>
      <c r="F202" s="570">
        <v>0</v>
      </c>
      <c r="G202" s="571">
        <v>0</v>
      </c>
      <c r="H202" s="573">
        <v>0</v>
      </c>
      <c r="I202" s="570">
        <v>18.939</v>
      </c>
      <c r="J202" s="571">
        <v>18.939</v>
      </c>
      <c r="K202" s="574" t="s">
        <v>307</v>
      </c>
    </row>
    <row r="203" spans="1:11" ht="14.4" customHeight="1" thickBot="1" x14ac:dyDescent="0.35">
      <c r="A203" s="587" t="s">
        <v>501</v>
      </c>
      <c r="B203" s="565">
        <v>0</v>
      </c>
      <c r="C203" s="565">
        <v>83.227000000000004</v>
      </c>
      <c r="D203" s="566">
        <v>83.227000000000004</v>
      </c>
      <c r="E203" s="575" t="s">
        <v>307</v>
      </c>
      <c r="F203" s="565">
        <v>0</v>
      </c>
      <c r="G203" s="566">
        <v>0</v>
      </c>
      <c r="H203" s="568">
        <v>0</v>
      </c>
      <c r="I203" s="565">
        <v>18.939</v>
      </c>
      <c r="J203" s="566">
        <v>18.939</v>
      </c>
      <c r="K203" s="576" t="s">
        <v>307</v>
      </c>
    </row>
    <row r="204" spans="1:11" ht="14.4" customHeight="1" thickBot="1" x14ac:dyDescent="0.35">
      <c r="A204" s="584" t="s">
        <v>502</v>
      </c>
      <c r="B204" s="565">
        <v>0</v>
      </c>
      <c r="C204" s="565">
        <v>5.2500000000000003E-3</v>
      </c>
      <c r="D204" s="566">
        <v>5.2500000000000003E-3</v>
      </c>
      <c r="E204" s="575" t="s">
        <v>326</v>
      </c>
      <c r="F204" s="565">
        <v>0</v>
      </c>
      <c r="G204" s="566">
        <v>0</v>
      </c>
      <c r="H204" s="568">
        <v>0</v>
      </c>
      <c r="I204" s="565">
        <v>0</v>
      </c>
      <c r="J204" s="566">
        <v>0</v>
      </c>
      <c r="K204" s="569">
        <v>0</v>
      </c>
    </row>
    <row r="205" spans="1:11" ht="14.4" customHeight="1" thickBot="1" x14ac:dyDescent="0.35">
      <c r="A205" s="590" t="s">
        <v>503</v>
      </c>
      <c r="B205" s="570">
        <v>0</v>
      </c>
      <c r="C205" s="570">
        <v>5.2500000000000003E-3</v>
      </c>
      <c r="D205" s="571">
        <v>5.2500000000000003E-3</v>
      </c>
      <c r="E205" s="572" t="s">
        <v>326</v>
      </c>
      <c r="F205" s="570">
        <v>0</v>
      </c>
      <c r="G205" s="571">
        <v>0</v>
      </c>
      <c r="H205" s="573">
        <v>0</v>
      </c>
      <c r="I205" s="570">
        <v>0</v>
      </c>
      <c r="J205" s="571">
        <v>0</v>
      </c>
      <c r="K205" s="578">
        <v>0</v>
      </c>
    </row>
    <row r="206" spans="1:11" ht="14.4" customHeight="1" thickBot="1" x14ac:dyDescent="0.35">
      <c r="A206" s="586" t="s">
        <v>504</v>
      </c>
      <c r="B206" s="570">
        <v>0</v>
      </c>
      <c r="C206" s="570">
        <v>5.2500000000000003E-3</v>
      </c>
      <c r="D206" s="571">
        <v>5.2500000000000003E-3</v>
      </c>
      <c r="E206" s="572" t="s">
        <v>326</v>
      </c>
      <c r="F206" s="570">
        <v>0</v>
      </c>
      <c r="G206" s="571">
        <v>0</v>
      </c>
      <c r="H206" s="573">
        <v>0</v>
      </c>
      <c r="I206" s="570">
        <v>0</v>
      </c>
      <c r="J206" s="571">
        <v>0</v>
      </c>
      <c r="K206" s="578">
        <v>0</v>
      </c>
    </row>
    <row r="207" spans="1:11" ht="14.4" customHeight="1" thickBot="1" x14ac:dyDescent="0.35">
      <c r="A207" s="587" t="s">
        <v>505</v>
      </c>
      <c r="B207" s="565">
        <v>0</v>
      </c>
      <c r="C207" s="565">
        <v>5.2500000000000003E-3</v>
      </c>
      <c r="D207" s="566">
        <v>5.2500000000000003E-3</v>
      </c>
      <c r="E207" s="575" t="s">
        <v>326</v>
      </c>
      <c r="F207" s="565">
        <v>0</v>
      </c>
      <c r="G207" s="566">
        <v>0</v>
      </c>
      <c r="H207" s="568">
        <v>0</v>
      </c>
      <c r="I207" s="565">
        <v>0</v>
      </c>
      <c r="J207" s="566">
        <v>0</v>
      </c>
      <c r="K207" s="569">
        <v>0</v>
      </c>
    </row>
    <row r="208" spans="1:11" ht="14.4" customHeight="1" thickBot="1" x14ac:dyDescent="0.35">
      <c r="A208" s="584" t="s">
        <v>506</v>
      </c>
      <c r="B208" s="565">
        <v>40</v>
      </c>
      <c r="C208" s="565">
        <v>64.956000000000003</v>
      </c>
      <c r="D208" s="566">
        <v>24.956</v>
      </c>
      <c r="E208" s="567">
        <v>1.6238999999999999</v>
      </c>
      <c r="F208" s="565">
        <v>29.422690984669</v>
      </c>
      <c r="G208" s="566">
        <v>17.163236407723002</v>
      </c>
      <c r="H208" s="568">
        <v>2.0619999999999998</v>
      </c>
      <c r="I208" s="565">
        <v>60.517000000000003</v>
      </c>
      <c r="J208" s="566">
        <v>43.353763592276003</v>
      </c>
      <c r="K208" s="569">
        <v>2.0568139070460001</v>
      </c>
    </row>
    <row r="209" spans="1:11" ht="14.4" customHeight="1" thickBot="1" x14ac:dyDescent="0.35">
      <c r="A209" s="590" t="s">
        <v>507</v>
      </c>
      <c r="B209" s="570">
        <v>40</v>
      </c>
      <c r="C209" s="570">
        <v>64.956000000000003</v>
      </c>
      <c r="D209" s="571">
        <v>24.956</v>
      </c>
      <c r="E209" s="577">
        <v>1.6238999999999999</v>
      </c>
      <c r="F209" s="570">
        <v>29.422690984669</v>
      </c>
      <c r="G209" s="571">
        <v>17.163236407723002</v>
      </c>
      <c r="H209" s="573">
        <v>2.0619999999999998</v>
      </c>
      <c r="I209" s="570">
        <v>60.517000000000003</v>
      </c>
      <c r="J209" s="571">
        <v>43.353763592276003</v>
      </c>
      <c r="K209" s="578">
        <v>2.0568139070460001</v>
      </c>
    </row>
    <row r="210" spans="1:11" ht="14.4" customHeight="1" thickBot="1" x14ac:dyDescent="0.35">
      <c r="A210" s="586" t="s">
        <v>508</v>
      </c>
      <c r="B210" s="570">
        <v>40</v>
      </c>
      <c r="C210" s="570">
        <v>40.200000000000003</v>
      </c>
      <c r="D210" s="571">
        <v>0.19999999999900001</v>
      </c>
      <c r="E210" s="577">
        <v>1.0049999999999999</v>
      </c>
      <c r="F210" s="570">
        <v>0</v>
      </c>
      <c r="G210" s="571">
        <v>0</v>
      </c>
      <c r="H210" s="573">
        <v>0</v>
      </c>
      <c r="I210" s="570">
        <v>46.08</v>
      </c>
      <c r="J210" s="571">
        <v>46.08</v>
      </c>
      <c r="K210" s="574" t="s">
        <v>307</v>
      </c>
    </row>
    <row r="211" spans="1:11" ht="14.4" customHeight="1" thickBot="1" x14ac:dyDescent="0.35">
      <c r="A211" s="587" t="s">
        <v>509</v>
      </c>
      <c r="B211" s="565">
        <v>0</v>
      </c>
      <c r="C211" s="565">
        <v>0</v>
      </c>
      <c r="D211" s="566">
        <v>0</v>
      </c>
      <c r="E211" s="567">
        <v>1</v>
      </c>
      <c r="F211" s="565">
        <v>0</v>
      </c>
      <c r="G211" s="566">
        <v>0</v>
      </c>
      <c r="H211" s="568">
        <v>0</v>
      </c>
      <c r="I211" s="565">
        <v>46.08</v>
      </c>
      <c r="J211" s="566">
        <v>46.08</v>
      </c>
      <c r="K211" s="576" t="s">
        <v>326</v>
      </c>
    </row>
    <row r="212" spans="1:11" ht="14.4" customHeight="1" thickBot="1" x14ac:dyDescent="0.35">
      <c r="A212" s="587" t="s">
        <v>510</v>
      </c>
      <c r="B212" s="565">
        <v>40</v>
      </c>
      <c r="C212" s="565">
        <v>40.200000000000003</v>
      </c>
      <c r="D212" s="566">
        <v>0.19999999999900001</v>
      </c>
      <c r="E212" s="567">
        <v>1.0049999999999999</v>
      </c>
      <c r="F212" s="565">
        <v>0</v>
      </c>
      <c r="G212" s="566">
        <v>0</v>
      </c>
      <c r="H212" s="568">
        <v>0</v>
      </c>
      <c r="I212" s="565">
        <v>0</v>
      </c>
      <c r="J212" s="566">
        <v>0</v>
      </c>
      <c r="K212" s="576" t="s">
        <v>307</v>
      </c>
    </row>
    <row r="213" spans="1:11" ht="14.4" customHeight="1" thickBot="1" x14ac:dyDescent="0.35">
      <c r="A213" s="589" t="s">
        <v>511</v>
      </c>
      <c r="B213" s="565">
        <v>0</v>
      </c>
      <c r="C213" s="565">
        <v>24.756</v>
      </c>
      <c r="D213" s="566">
        <v>24.756</v>
      </c>
      <c r="E213" s="575" t="s">
        <v>307</v>
      </c>
      <c r="F213" s="565">
        <v>29.422690984669</v>
      </c>
      <c r="G213" s="566">
        <v>17.163236407723002</v>
      </c>
      <c r="H213" s="568">
        <v>2.0619999999999998</v>
      </c>
      <c r="I213" s="565">
        <v>14.436999999999999</v>
      </c>
      <c r="J213" s="566">
        <v>-2.7262364077229999</v>
      </c>
      <c r="K213" s="569">
        <v>0.49067571717000003</v>
      </c>
    </row>
    <row r="214" spans="1:11" ht="14.4" customHeight="1" thickBot="1" x14ac:dyDescent="0.35">
      <c r="A214" s="587" t="s">
        <v>512</v>
      </c>
      <c r="B214" s="565">
        <v>0</v>
      </c>
      <c r="C214" s="565">
        <v>24.756</v>
      </c>
      <c r="D214" s="566">
        <v>24.756</v>
      </c>
      <c r="E214" s="575" t="s">
        <v>307</v>
      </c>
      <c r="F214" s="565">
        <v>29.422690984669</v>
      </c>
      <c r="G214" s="566">
        <v>17.163236407723002</v>
      </c>
      <c r="H214" s="568">
        <v>2.0619999999999998</v>
      </c>
      <c r="I214" s="565">
        <v>14.436999999999999</v>
      </c>
      <c r="J214" s="566">
        <v>-2.7262364077229999</v>
      </c>
      <c r="K214" s="569">
        <v>0.49067571717000003</v>
      </c>
    </row>
    <row r="215" spans="1:11" ht="14.4" customHeight="1" thickBot="1" x14ac:dyDescent="0.35">
      <c r="A215" s="583" t="s">
        <v>513</v>
      </c>
      <c r="B215" s="565">
        <v>6394.0059540686098</v>
      </c>
      <c r="C215" s="565">
        <v>7285.4961999999996</v>
      </c>
      <c r="D215" s="566">
        <v>891.49024593138904</v>
      </c>
      <c r="E215" s="567">
        <v>1.139425933027</v>
      </c>
      <c r="F215" s="565">
        <v>5551.8126036267604</v>
      </c>
      <c r="G215" s="566">
        <v>3238.5573521156098</v>
      </c>
      <c r="H215" s="568">
        <v>771.00721999999996</v>
      </c>
      <c r="I215" s="565">
        <v>4592.3988000000099</v>
      </c>
      <c r="J215" s="566">
        <v>1353.8414478843999</v>
      </c>
      <c r="K215" s="569">
        <v>0.827189087218</v>
      </c>
    </row>
    <row r="216" spans="1:11" ht="14.4" customHeight="1" thickBot="1" x14ac:dyDescent="0.35">
      <c r="A216" s="588" t="s">
        <v>514</v>
      </c>
      <c r="B216" s="570">
        <v>6394.0059540686098</v>
      </c>
      <c r="C216" s="570">
        <v>7285.4961999999996</v>
      </c>
      <c r="D216" s="571">
        <v>891.49024593138904</v>
      </c>
      <c r="E216" s="577">
        <v>1.139425933027</v>
      </c>
      <c r="F216" s="570">
        <v>5551.8126036267604</v>
      </c>
      <c r="G216" s="571">
        <v>3238.5573521156098</v>
      </c>
      <c r="H216" s="573">
        <v>771.00721999999996</v>
      </c>
      <c r="I216" s="570">
        <v>4592.3988000000099</v>
      </c>
      <c r="J216" s="571">
        <v>1353.8414478843999</v>
      </c>
      <c r="K216" s="578">
        <v>0.827189087218</v>
      </c>
    </row>
    <row r="217" spans="1:11" ht="14.4" customHeight="1" thickBot="1" x14ac:dyDescent="0.35">
      <c r="A217" s="590" t="s">
        <v>41</v>
      </c>
      <c r="B217" s="570">
        <v>6394.0059540686098</v>
      </c>
      <c r="C217" s="570">
        <v>7285.4961999999996</v>
      </c>
      <c r="D217" s="571">
        <v>891.49024593138904</v>
      </c>
      <c r="E217" s="577">
        <v>1.139425933027</v>
      </c>
      <c r="F217" s="570">
        <v>5551.8126036267604</v>
      </c>
      <c r="G217" s="571">
        <v>3238.5573521156098</v>
      </c>
      <c r="H217" s="573">
        <v>771.00721999999996</v>
      </c>
      <c r="I217" s="570">
        <v>4592.3988000000099</v>
      </c>
      <c r="J217" s="571">
        <v>1353.8414478843999</v>
      </c>
      <c r="K217" s="578">
        <v>0.827189087218</v>
      </c>
    </row>
    <row r="218" spans="1:11" ht="14.4" customHeight="1" thickBot="1" x14ac:dyDescent="0.35">
      <c r="A218" s="586" t="s">
        <v>515</v>
      </c>
      <c r="B218" s="570">
        <v>53</v>
      </c>
      <c r="C218" s="570">
        <v>71.775000000000006</v>
      </c>
      <c r="D218" s="571">
        <v>18.774999999999999</v>
      </c>
      <c r="E218" s="577">
        <v>1.3542452830180001</v>
      </c>
      <c r="F218" s="570">
        <v>77.694224087486006</v>
      </c>
      <c r="G218" s="571">
        <v>45.321630717700003</v>
      </c>
      <c r="H218" s="573">
        <v>8.0649999999999995</v>
      </c>
      <c r="I218" s="570">
        <v>53.454250000000002</v>
      </c>
      <c r="J218" s="571">
        <v>8.1326192822990002</v>
      </c>
      <c r="K218" s="578">
        <v>0.68800802926799998</v>
      </c>
    </row>
    <row r="219" spans="1:11" ht="14.4" customHeight="1" thickBot="1" x14ac:dyDescent="0.35">
      <c r="A219" s="587" t="s">
        <v>516</v>
      </c>
      <c r="B219" s="565">
        <v>53</v>
      </c>
      <c r="C219" s="565">
        <v>71.775000000000006</v>
      </c>
      <c r="D219" s="566">
        <v>18.774999999999999</v>
      </c>
      <c r="E219" s="567">
        <v>1.3542452830180001</v>
      </c>
      <c r="F219" s="565">
        <v>77.694224087486006</v>
      </c>
      <c r="G219" s="566">
        <v>45.321630717700003</v>
      </c>
      <c r="H219" s="568">
        <v>8.0649999999999995</v>
      </c>
      <c r="I219" s="565">
        <v>53.454250000000002</v>
      </c>
      <c r="J219" s="566">
        <v>8.1326192822990002</v>
      </c>
      <c r="K219" s="569">
        <v>0.68800802926799998</v>
      </c>
    </row>
    <row r="220" spans="1:11" ht="14.4" customHeight="1" thickBot="1" x14ac:dyDescent="0.35">
      <c r="A220" s="586" t="s">
        <v>517</v>
      </c>
      <c r="B220" s="570">
        <v>42.005954068613001</v>
      </c>
      <c r="C220" s="570">
        <v>48.171720000000001</v>
      </c>
      <c r="D220" s="571">
        <v>6.1657659313859998</v>
      </c>
      <c r="E220" s="577">
        <v>1.146783142249</v>
      </c>
      <c r="F220" s="570">
        <v>59.963499265674997</v>
      </c>
      <c r="G220" s="571">
        <v>34.978707904977</v>
      </c>
      <c r="H220" s="573">
        <v>6.0879399999999997</v>
      </c>
      <c r="I220" s="570">
        <v>47.152999999999999</v>
      </c>
      <c r="J220" s="571">
        <v>12.174292095023</v>
      </c>
      <c r="K220" s="578">
        <v>0.78636171299900004</v>
      </c>
    </row>
    <row r="221" spans="1:11" ht="14.4" customHeight="1" thickBot="1" x14ac:dyDescent="0.35">
      <c r="A221" s="587" t="s">
        <v>518</v>
      </c>
      <c r="B221" s="565">
        <v>42.005954068613001</v>
      </c>
      <c r="C221" s="565">
        <v>48.171720000000001</v>
      </c>
      <c r="D221" s="566">
        <v>6.1657659313859998</v>
      </c>
      <c r="E221" s="567">
        <v>1.146783142249</v>
      </c>
      <c r="F221" s="565">
        <v>0</v>
      </c>
      <c r="G221" s="566">
        <v>0</v>
      </c>
      <c r="H221" s="568">
        <v>0</v>
      </c>
      <c r="I221" s="565">
        <v>9.9475983006414001E-14</v>
      </c>
      <c r="J221" s="566">
        <v>9.9475983006414001E-14</v>
      </c>
      <c r="K221" s="576" t="s">
        <v>307</v>
      </c>
    </row>
    <row r="222" spans="1:11" ht="14.4" customHeight="1" thickBot="1" x14ac:dyDescent="0.35">
      <c r="A222" s="587" t="s">
        <v>519</v>
      </c>
      <c r="B222" s="565">
        <v>0</v>
      </c>
      <c r="C222" s="565">
        <v>0</v>
      </c>
      <c r="D222" s="566">
        <v>0</v>
      </c>
      <c r="E222" s="567">
        <v>1</v>
      </c>
      <c r="F222" s="565">
        <v>24.590413094310001</v>
      </c>
      <c r="G222" s="566">
        <v>14.344407638347</v>
      </c>
      <c r="H222" s="568">
        <v>1.85</v>
      </c>
      <c r="I222" s="565">
        <v>21.815999999999999</v>
      </c>
      <c r="J222" s="566">
        <v>7.4715923616520001</v>
      </c>
      <c r="K222" s="569">
        <v>0.887175010697</v>
      </c>
    </row>
    <row r="223" spans="1:11" ht="14.4" customHeight="1" thickBot="1" x14ac:dyDescent="0.35">
      <c r="A223" s="587" t="s">
        <v>520</v>
      </c>
      <c r="B223" s="565">
        <v>0</v>
      </c>
      <c r="C223" s="565">
        <v>0</v>
      </c>
      <c r="D223" s="566">
        <v>0</v>
      </c>
      <c r="E223" s="567">
        <v>1</v>
      </c>
      <c r="F223" s="565">
        <v>4.8727534148089999</v>
      </c>
      <c r="G223" s="566">
        <v>2.8424394919720002</v>
      </c>
      <c r="H223" s="568">
        <v>0</v>
      </c>
      <c r="I223" s="565">
        <v>0</v>
      </c>
      <c r="J223" s="566">
        <v>-2.8424394919720002</v>
      </c>
      <c r="K223" s="569">
        <v>0</v>
      </c>
    </row>
    <row r="224" spans="1:11" ht="14.4" customHeight="1" thickBot="1" x14ac:dyDescent="0.35">
      <c r="A224" s="587" t="s">
        <v>521</v>
      </c>
      <c r="B224" s="565">
        <v>0</v>
      </c>
      <c r="C224" s="565">
        <v>0</v>
      </c>
      <c r="D224" s="566">
        <v>0</v>
      </c>
      <c r="E224" s="567">
        <v>1</v>
      </c>
      <c r="F224" s="565">
        <v>30.500332756555</v>
      </c>
      <c r="G224" s="566">
        <v>17.791860774657</v>
      </c>
      <c r="H224" s="568">
        <v>4.23794</v>
      </c>
      <c r="I224" s="565">
        <v>25.337</v>
      </c>
      <c r="J224" s="566">
        <v>7.545139225342</v>
      </c>
      <c r="K224" s="569">
        <v>0.83071224836199997</v>
      </c>
    </row>
    <row r="225" spans="1:11" ht="14.4" customHeight="1" thickBot="1" x14ac:dyDescent="0.35">
      <c r="A225" s="586" t="s">
        <v>522</v>
      </c>
      <c r="B225" s="570">
        <v>1289</v>
      </c>
      <c r="C225" s="570">
        <v>872.80804000000001</v>
      </c>
      <c r="D225" s="571">
        <v>-416.19195999999999</v>
      </c>
      <c r="E225" s="577">
        <v>0.67712027928600005</v>
      </c>
      <c r="F225" s="570">
        <v>859.90845802579997</v>
      </c>
      <c r="G225" s="571">
        <v>501.61326718171699</v>
      </c>
      <c r="H225" s="573">
        <v>80.664720000000003</v>
      </c>
      <c r="I225" s="570">
        <v>522.21221000000105</v>
      </c>
      <c r="J225" s="571">
        <v>20.598942818284002</v>
      </c>
      <c r="K225" s="578">
        <v>0.60728814227299999</v>
      </c>
    </row>
    <row r="226" spans="1:11" ht="14.4" customHeight="1" thickBot="1" x14ac:dyDescent="0.35">
      <c r="A226" s="587" t="s">
        <v>523</v>
      </c>
      <c r="B226" s="565">
        <v>1289</v>
      </c>
      <c r="C226" s="565">
        <v>872.80804000000001</v>
      </c>
      <c r="D226" s="566">
        <v>-416.19195999999999</v>
      </c>
      <c r="E226" s="567">
        <v>0.67712027928600005</v>
      </c>
      <c r="F226" s="565">
        <v>859.90845802579997</v>
      </c>
      <c r="G226" s="566">
        <v>501.61326718171699</v>
      </c>
      <c r="H226" s="568">
        <v>80.664720000000003</v>
      </c>
      <c r="I226" s="565">
        <v>522.21221000000105</v>
      </c>
      <c r="J226" s="566">
        <v>20.598942818284002</v>
      </c>
      <c r="K226" s="569">
        <v>0.60728814227299999</v>
      </c>
    </row>
    <row r="227" spans="1:11" ht="14.4" customHeight="1" thickBot="1" x14ac:dyDescent="0.35">
      <c r="A227" s="586" t="s">
        <v>524</v>
      </c>
      <c r="B227" s="570">
        <v>0</v>
      </c>
      <c r="C227" s="570">
        <v>9.4220000000000006</v>
      </c>
      <c r="D227" s="571">
        <v>9.4220000000000006</v>
      </c>
      <c r="E227" s="572" t="s">
        <v>326</v>
      </c>
      <c r="F227" s="570">
        <v>0</v>
      </c>
      <c r="G227" s="571">
        <v>0</v>
      </c>
      <c r="H227" s="573">
        <v>0.86599999999999999</v>
      </c>
      <c r="I227" s="570">
        <v>5.6920000000000002</v>
      </c>
      <c r="J227" s="571">
        <v>5.6920000000000002</v>
      </c>
      <c r="K227" s="574" t="s">
        <v>307</v>
      </c>
    </row>
    <row r="228" spans="1:11" ht="14.4" customHeight="1" thickBot="1" x14ac:dyDescent="0.35">
      <c r="A228" s="587" t="s">
        <v>525</v>
      </c>
      <c r="B228" s="565">
        <v>0</v>
      </c>
      <c r="C228" s="565">
        <v>9.4220000000000006</v>
      </c>
      <c r="D228" s="566">
        <v>9.4220000000000006</v>
      </c>
      <c r="E228" s="575" t="s">
        <v>326</v>
      </c>
      <c r="F228" s="565">
        <v>0</v>
      </c>
      <c r="G228" s="566">
        <v>0</v>
      </c>
      <c r="H228" s="568">
        <v>0.86599999999999999</v>
      </c>
      <c r="I228" s="565">
        <v>5.6920000000000002</v>
      </c>
      <c r="J228" s="566">
        <v>5.6920000000000002</v>
      </c>
      <c r="K228" s="576" t="s">
        <v>307</v>
      </c>
    </row>
    <row r="229" spans="1:11" ht="14.4" customHeight="1" thickBot="1" x14ac:dyDescent="0.35">
      <c r="A229" s="586" t="s">
        <v>526</v>
      </c>
      <c r="B229" s="570">
        <v>586</v>
      </c>
      <c r="C229" s="570">
        <v>514.13036999999997</v>
      </c>
      <c r="D229" s="571">
        <v>-71.869629999999006</v>
      </c>
      <c r="E229" s="577">
        <v>0.87735558020399995</v>
      </c>
      <c r="F229" s="570">
        <v>563</v>
      </c>
      <c r="G229" s="571">
        <v>328.41666666666703</v>
      </c>
      <c r="H229" s="573">
        <v>43.274120000000003</v>
      </c>
      <c r="I229" s="570">
        <v>284.59267999999997</v>
      </c>
      <c r="J229" s="571">
        <v>-43.823986666666002</v>
      </c>
      <c r="K229" s="578">
        <v>0.50549321491999999</v>
      </c>
    </row>
    <row r="230" spans="1:11" ht="14.4" customHeight="1" thickBot="1" x14ac:dyDescent="0.35">
      <c r="A230" s="587" t="s">
        <v>527</v>
      </c>
      <c r="B230" s="565">
        <v>577</v>
      </c>
      <c r="C230" s="565">
        <v>504.70925999999997</v>
      </c>
      <c r="D230" s="566">
        <v>-72.29074</v>
      </c>
      <c r="E230" s="567">
        <v>0.87471275563200002</v>
      </c>
      <c r="F230" s="565">
        <v>563</v>
      </c>
      <c r="G230" s="566">
        <v>328.41666666666703</v>
      </c>
      <c r="H230" s="568">
        <v>43.274120000000003</v>
      </c>
      <c r="I230" s="565">
        <v>284.59267999999997</v>
      </c>
      <c r="J230" s="566">
        <v>-43.823986666666002</v>
      </c>
      <c r="K230" s="569">
        <v>0.50549321491999999</v>
      </c>
    </row>
    <row r="231" spans="1:11" ht="14.4" customHeight="1" thickBot="1" x14ac:dyDescent="0.35">
      <c r="A231" s="587" t="s">
        <v>528</v>
      </c>
      <c r="B231" s="565">
        <v>9</v>
      </c>
      <c r="C231" s="565">
        <v>9.4211100000000005</v>
      </c>
      <c r="D231" s="566">
        <v>0.42110999999999998</v>
      </c>
      <c r="E231" s="567">
        <v>1.0467900000000001</v>
      </c>
      <c r="F231" s="565">
        <v>0</v>
      </c>
      <c r="G231" s="566">
        <v>0</v>
      </c>
      <c r="H231" s="568">
        <v>0</v>
      </c>
      <c r="I231" s="565">
        <v>0</v>
      </c>
      <c r="J231" s="566">
        <v>0</v>
      </c>
      <c r="K231" s="576" t="s">
        <v>307</v>
      </c>
    </row>
    <row r="232" spans="1:11" ht="14.4" customHeight="1" thickBot="1" x14ac:dyDescent="0.35">
      <c r="A232" s="586" t="s">
        <v>529</v>
      </c>
      <c r="B232" s="570">
        <v>0</v>
      </c>
      <c r="C232" s="570">
        <v>1110.79016</v>
      </c>
      <c r="D232" s="571">
        <v>1110.79016</v>
      </c>
      <c r="E232" s="572" t="s">
        <v>326</v>
      </c>
      <c r="F232" s="570">
        <v>0</v>
      </c>
      <c r="G232" s="571">
        <v>0</v>
      </c>
      <c r="H232" s="573">
        <v>133.68464</v>
      </c>
      <c r="I232" s="570">
        <v>914.25439000000199</v>
      </c>
      <c r="J232" s="571">
        <v>914.25439000000199</v>
      </c>
      <c r="K232" s="574" t="s">
        <v>307</v>
      </c>
    </row>
    <row r="233" spans="1:11" ht="14.4" customHeight="1" thickBot="1" x14ac:dyDescent="0.35">
      <c r="A233" s="587" t="s">
        <v>530</v>
      </c>
      <c r="B233" s="565">
        <v>0</v>
      </c>
      <c r="C233" s="565">
        <v>1110.79016</v>
      </c>
      <c r="D233" s="566">
        <v>1110.79016</v>
      </c>
      <c r="E233" s="575" t="s">
        <v>326</v>
      </c>
      <c r="F233" s="565">
        <v>0</v>
      </c>
      <c r="G233" s="566">
        <v>0</v>
      </c>
      <c r="H233" s="568">
        <v>133.68464</v>
      </c>
      <c r="I233" s="565">
        <v>914.25439000000199</v>
      </c>
      <c r="J233" s="566">
        <v>914.25439000000199</v>
      </c>
      <c r="K233" s="576" t="s">
        <v>307</v>
      </c>
    </row>
    <row r="234" spans="1:11" ht="14.4" customHeight="1" thickBot="1" x14ac:dyDescent="0.35">
      <c r="A234" s="586" t="s">
        <v>531</v>
      </c>
      <c r="B234" s="570">
        <v>4424</v>
      </c>
      <c r="C234" s="570">
        <v>4658.3989099999999</v>
      </c>
      <c r="D234" s="571">
        <v>234.39891</v>
      </c>
      <c r="E234" s="577">
        <v>1.052983478752</v>
      </c>
      <c r="F234" s="570">
        <v>3991.2464222478002</v>
      </c>
      <c r="G234" s="571">
        <v>2328.22707964455</v>
      </c>
      <c r="H234" s="573">
        <v>498.3648</v>
      </c>
      <c r="I234" s="570">
        <v>2765.04027000001</v>
      </c>
      <c r="J234" s="571">
        <v>436.81319035545499</v>
      </c>
      <c r="K234" s="578">
        <v>0.69277613494000001</v>
      </c>
    </row>
    <row r="235" spans="1:11" ht="14.4" customHeight="1" thickBot="1" x14ac:dyDescent="0.35">
      <c r="A235" s="587" t="s">
        <v>532</v>
      </c>
      <c r="B235" s="565">
        <v>4424</v>
      </c>
      <c r="C235" s="565">
        <v>4658.3989099999999</v>
      </c>
      <c r="D235" s="566">
        <v>234.39891</v>
      </c>
      <c r="E235" s="567">
        <v>1.052983478752</v>
      </c>
      <c r="F235" s="565">
        <v>3991.2464222478002</v>
      </c>
      <c r="G235" s="566">
        <v>2328.22707964455</v>
      </c>
      <c r="H235" s="568">
        <v>498.3648</v>
      </c>
      <c r="I235" s="565">
        <v>2765.04027000001</v>
      </c>
      <c r="J235" s="566">
        <v>436.81319035545499</v>
      </c>
      <c r="K235" s="569">
        <v>0.69277613494000001</v>
      </c>
    </row>
    <row r="236" spans="1:11" ht="14.4" customHeight="1" thickBot="1" x14ac:dyDescent="0.35">
      <c r="A236" s="591" t="s">
        <v>533</v>
      </c>
      <c r="B236" s="570">
        <v>0</v>
      </c>
      <c r="C236" s="570">
        <v>5.9749999999999996</v>
      </c>
      <c r="D236" s="571">
        <v>5.9749999999999996</v>
      </c>
      <c r="E236" s="572" t="s">
        <v>326</v>
      </c>
      <c r="F236" s="570">
        <v>0</v>
      </c>
      <c r="G236" s="571">
        <v>0</v>
      </c>
      <c r="H236" s="573">
        <v>0</v>
      </c>
      <c r="I236" s="570">
        <v>0</v>
      </c>
      <c r="J236" s="571">
        <v>0</v>
      </c>
      <c r="K236" s="574" t="s">
        <v>307</v>
      </c>
    </row>
    <row r="237" spans="1:11" ht="14.4" customHeight="1" thickBot="1" x14ac:dyDescent="0.35">
      <c r="A237" s="588" t="s">
        <v>534</v>
      </c>
      <c r="B237" s="570">
        <v>0</v>
      </c>
      <c r="C237" s="570">
        <v>5.9749999999999996</v>
      </c>
      <c r="D237" s="571">
        <v>5.9749999999999996</v>
      </c>
      <c r="E237" s="572" t="s">
        <v>326</v>
      </c>
      <c r="F237" s="570">
        <v>0</v>
      </c>
      <c r="G237" s="571">
        <v>0</v>
      </c>
      <c r="H237" s="573">
        <v>0</v>
      </c>
      <c r="I237" s="570">
        <v>0</v>
      </c>
      <c r="J237" s="571">
        <v>0</v>
      </c>
      <c r="K237" s="574" t="s">
        <v>307</v>
      </c>
    </row>
    <row r="238" spans="1:11" ht="14.4" customHeight="1" thickBot="1" x14ac:dyDescent="0.35">
      <c r="A238" s="590" t="s">
        <v>535</v>
      </c>
      <c r="B238" s="570">
        <v>0</v>
      </c>
      <c r="C238" s="570">
        <v>5.9749999999999996</v>
      </c>
      <c r="D238" s="571">
        <v>5.9749999999999996</v>
      </c>
      <c r="E238" s="572" t="s">
        <v>326</v>
      </c>
      <c r="F238" s="570">
        <v>0</v>
      </c>
      <c r="G238" s="571">
        <v>0</v>
      </c>
      <c r="H238" s="573">
        <v>0</v>
      </c>
      <c r="I238" s="570">
        <v>0</v>
      </c>
      <c r="J238" s="571">
        <v>0</v>
      </c>
      <c r="K238" s="574" t="s">
        <v>307</v>
      </c>
    </row>
    <row r="239" spans="1:11" ht="14.4" customHeight="1" thickBot="1" x14ac:dyDescent="0.35">
      <c r="A239" s="586" t="s">
        <v>536</v>
      </c>
      <c r="B239" s="570">
        <v>0</v>
      </c>
      <c r="C239" s="570">
        <v>5.9749999999999996</v>
      </c>
      <c r="D239" s="571">
        <v>5.9749999999999996</v>
      </c>
      <c r="E239" s="572" t="s">
        <v>326</v>
      </c>
      <c r="F239" s="570">
        <v>0</v>
      </c>
      <c r="G239" s="571">
        <v>0</v>
      </c>
      <c r="H239" s="573">
        <v>0</v>
      </c>
      <c r="I239" s="570">
        <v>0</v>
      </c>
      <c r="J239" s="571">
        <v>0</v>
      </c>
      <c r="K239" s="578">
        <v>0</v>
      </c>
    </row>
    <row r="240" spans="1:11" ht="14.4" customHeight="1" thickBot="1" x14ac:dyDescent="0.35">
      <c r="A240" s="587" t="s">
        <v>537</v>
      </c>
      <c r="B240" s="565">
        <v>0</v>
      </c>
      <c r="C240" s="565">
        <v>5.9749999999999996</v>
      </c>
      <c r="D240" s="566">
        <v>5.9749999999999996</v>
      </c>
      <c r="E240" s="575" t="s">
        <v>326</v>
      </c>
      <c r="F240" s="565">
        <v>0</v>
      </c>
      <c r="G240" s="566">
        <v>0</v>
      </c>
      <c r="H240" s="568">
        <v>0</v>
      </c>
      <c r="I240" s="565">
        <v>0</v>
      </c>
      <c r="J240" s="566">
        <v>0</v>
      </c>
      <c r="K240" s="569">
        <v>0</v>
      </c>
    </row>
    <row r="241" spans="1:11" ht="14.4" customHeight="1" thickBot="1" x14ac:dyDescent="0.35">
      <c r="A241" s="592"/>
      <c r="B241" s="565">
        <v>12216.4686671774</v>
      </c>
      <c r="C241" s="565">
        <v>8692.9817599999697</v>
      </c>
      <c r="D241" s="566">
        <v>-3523.4869071773901</v>
      </c>
      <c r="E241" s="567">
        <v>0.71157893470099998</v>
      </c>
      <c r="F241" s="565">
        <v>6915.2466505195798</v>
      </c>
      <c r="G241" s="566">
        <v>4033.8938794697601</v>
      </c>
      <c r="H241" s="568">
        <v>2566.33014</v>
      </c>
      <c r="I241" s="565">
        <v>10737.56825</v>
      </c>
      <c r="J241" s="566">
        <v>6703.6743705302197</v>
      </c>
      <c r="K241" s="569">
        <v>1.5527382886900001</v>
      </c>
    </row>
    <row r="242" spans="1:11" ht="14.4" customHeight="1" thickBot="1" x14ac:dyDescent="0.35">
      <c r="A242" s="593" t="s">
        <v>53</v>
      </c>
      <c r="B242" s="579">
        <v>12216.4686671774</v>
      </c>
      <c r="C242" s="579">
        <v>8692.9817599999697</v>
      </c>
      <c r="D242" s="580">
        <v>-3523.4869071773901</v>
      </c>
      <c r="E242" s="581" t="s">
        <v>326</v>
      </c>
      <c r="F242" s="579">
        <v>6915.2466505195798</v>
      </c>
      <c r="G242" s="580">
        <v>4033.8938794697601</v>
      </c>
      <c r="H242" s="579">
        <v>2566.33014</v>
      </c>
      <c r="I242" s="579">
        <v>10737.56825</v>
      </c>
      <c r="J242" s="580">
        <v>6703.6743705302097</v>
      </c>
      <c r="K242" s="582">
        <v>1.5527382886900001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19" customWidth="1"/>
    <col min="2" max="2" width="61.109375" style="319" customWidth="1"/>
    <col min="3" max="3" width="9.5546875" style="238" customWidth="1"/>
    <col min="4" max="4" width="9.5546875" style="320" customWidth="1"/>
    <col min="5" max="5" width="2.21875" style="320" customWidth="1"/>
    <col min="6" max="6" width="9.5546875" style="321" customWidth="1"/>
    <col min="7" max="7" width="9.5546875" style="318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0" t="s">
        <v>158</v>
      </c>
      <c r="B1" s="481"/>
      <c r="C1" s="481"/>
      <c r="D1" s="481"/>
      <c r="E1" s="481"/>
      <c r="F1" s="481"/>
      <c r="G1" s="452"/>
      <c r="H1" s="482"/>
      <c r="I1" s="482"/>
    </row>
    <row r="2" spans="1:10" ht="14.4" customHeight="1" thickBot="1" x14ac:dyDescent="0.35">
      <c r="A2" s="360" t="s">
        <v>306</v>
      </c>
      <c r="B2" s="317"/>
      <c r="C2" s="317"/>
      <c r="D2" s="317"/>
      <c r="E2" s="317"/>
      <c r="F2" s="317"/>
    </row>
    <row r="3" spans="1:10" ht="14.4" customHeight="1" thickBot="1" x14ac:dyDescent="0.35">
      <c r="A3" s="360"/>
      <c r="B3" s="317"/>
      <c r="C3" s="418">
        <v>2013</v>
      </c>
      <c r="D3" s="419">
        <v>2014</v>
      </c>
      <c r="E3" s="11"/>
      <c r="F3" s="475">
        <v>2015</v>
      </c>
      <c r="G3" s="476"/>
      <c r="H3" s="476"/>
      <c r="I3" s="477"/>
    </row>
    <row r="4" spans="1:10" ht="14.4" customHeight="1" thickBot="1" x14ac:dyDescent="0.35">
      <c r="A4" s="423" t="s">
        <v>0</v>
      </c>
      <c r="B4" s="424" t="s">
        <v>264</v>
      </c>
      <c r="C4" s="478" t="s">
        <v>81</v>
      </c>
      <c r="D4" s="479"/>
      <c r="E4" s="425"/>
      <c r="F4" s="420" t="s">
        <v>81</v>
      </c>
      <c r="G4" s="421" t="s">
        <v>82</v>
      </c>
      <c r="H4" s="421" t="s">
        <v>56</v>
      </c>
      <c r="I4" s="422" t="s">
        <v>83</v>
      </c>
    </row>
    <row r="5" spans="1:10" ht="14.4" customHeight="1" x14ac:dyDescent="0.3">
      <c r="A5" s="594" t="s">
        <v>538</v>
      </c>
      <c r="B5" s="595" t="s">
        <v>539</v>
      </c>
      <c r="C5" s="596" t="s">
        <v>540</v>
      </c>
      <c r="D5" s="596" t="s">
        <v>540</v>
      </c>
      <c r="E5" s="596"/>
      <c r="F5" s="596" t="s">
        <v>540</v>
      </c>
      <c r="G5" s="596" t="s">
        <v>540</v>
      </c>
      <c r="H5" s="596" t="s">
        <v>540</v>
      </c>
      <c r="I5" s="597" t="s">
        <v>540</v>
      </c>
      <c r="J5" s="598" t="s">
        <v>61</v>
      </c>
    </row>
    <row r="6" spans="1:10" ht="14.4" customHeight="1" x14ac:dyDescent="0.3">
      <c r="A6" s="594" t="s">
        <v>538</v>
      </c>
      <c r="B6" s="595" t="s">
        <v>315</v>
      </c>
      <c r="C6" s="596">
        <v>1099.8706799999991</v>
      </c>
      <c r="D6" s="596">
        <v>954.00470999999993</v>
      </c>
      <c r="E6" s="596"/>
      <c r="F6" s="596">
        <v>1141.7625599999999</v>
      </c>
      <c r="G6" s="596">
        <v>1025.0455135464401</v>
      </c>
      <c r="H6" s="596">
        <v>116.71704645355976</v>
      </c>
      <c r="I6" s="597">
        <v>1.1138652332126635</v>
      </c>
      <c r="J6" s="598" t="s">
        <v>1</v>
      </c>
    </row>
    <row r="7" spans="1:10" ht="14.4" customHeight="1" x14ac:dyDescent="0.3">
      <c r="A7" s="594" t="s">
        <v>538</v>
      </c>
      <c r="B7" s="595" t="s">
        <v>316</v>
      </c>
      <c r="C7" s="596">
        <v>116.51410999999901</v>
      </c>
      <c r="D7" s="596">
        <v>71.28716</v>
      </c>
      <c r="E7" s="596"/>
      <c r="F7" s="596">
        <v>94.681539999999998</v>
      </c>
      <c r="G7" s="596">
        <v>106.57007924134425</v>
      </c>
      <c r="H7" s="596">
        <v>-11.888539241344247</v>
      </c>
      <c r="I7" s="597">
        <v>0.88844392979739806</v>
      </c>
      <c r="J7" s="598" t="s">
        <v>1</v>
      </c>
    </row>
    <row r="8" spans="1:10" ht="14.4" customHeight="1" x14ac:dyDescent="0.3">
      <c r="A8" s="594" t="s">
        <v>538</v>
      </c>
      <c r="B8" s="595" t="s">
        <v>317</v>
      </c>
      <c r="C8" s="596">
        <v>14.022749999999998</v>
      </c>
      <c r="D8" s="596">
        <v>13.552499999999998</v>
      </c>
      <c r="E8" s="596"/>
      <c r="F8" s="596">
        <v>17.979340000000001</v>
      </c>
      <c r="G8" s="596">
        <v>15.065147183325168</v>
      </c>
      <c r="H8" s="596">
        <v>2.9141928166748325</v>
      </c>
      <c r="I8" s="597">
        <v>1.1934393857034733</v>
      </c>
      <c r="J8" s="598" t="s">
        <v>1</v>
      </c>
    </row>
    <row r="9" spans="1:10" ht="14.4" customHeight="1" x14ac:dyDescent="0.3">
      <c r="A9" s="594" t="s">
        <v>538</v>
      </c>
      <c r="B9" s="595" t="s">
        <v>318</v>
      </c>
      <c r="C9" s="596">
        <v>114.987819999998</v>
      </c>
      <c r="D9" s="596">
        <v>86.891969999999986</v>
      </c>
      <c r="E9" s="596"/>
      <c r="F9" s="596">
        <v>79.961359999999999</v>
      </c>
      <c r="G9" s="596">
        <v>85.925024427444413</v>
      </c>
      <c r="H9" s="596">
        <v>-5.9636644274444137</v>
      </c>
      <c r="I9" s="597">
        <v>0.93059455650803835</v>
      </c>
      <c r="J9" s="598" t="s">
        <v>1</v>
      </c>
    </row>
    <row r="10" spans="1:10" ht="14.4" customHeight="1" x14ac:dyDescent="0.3">
      <c r="A10" s="594" t="s">
        <v>538</v>
      </c>
      <c r="B10" s="595" t="s">
        <v>319</v>
      </c>
      <c r="C10" s="596">
        <v>10.984339999998998</v>
      </c>
      <c r="D10" s="596">
        <v>5.15442</v>
      </c>
      <c r="E10" s="596"/>
      <c r="F10" s="596">
        <v>5.27182</v>
      </c>
      <c r="G10" s="596">
        <v>3.9058037463614164</v>
      </c>
      <c r="H10" s="596">
        <v>1.3660162536385836</v>
      </c>
      <c r="I10" s="597">
        <v>1.3497401155680548</v>
      </c>
      <c r="J10" s="598" t="s">
        <v>1</v>
      </c>
    </row>
    <row r="11" spans="1:10" ht="14.4" customHeight="1" x14ac:dyDescent="0.3">
      <c r="A11" s="594" t="s">
        <v>538</v>
      </c>
      <c r="B11" s="595" t="s">
        <v>541</v>
      </c>
      <c r="C11" s="596">
        <v>101.73084</v>
      </c>
      <c r="D11" s="596" t="s">
        <v>540</v>
      </c>
      <c r="E11" s="596"/>
      <c r="F11" s="596" t="s">
        <v>540</v>
      </c>
      <c r="G11" s="596" t="s">
        <v>540</v>
      </c>
      <c r="H11" s="596" t="s">
        <v>540</v>
      </c>
      <c r="I11" s="597" t="s">
        <v>540</v>
      </c>
      <c r="J11" s="598" t="s">
        <v>1</v>
      </c>
    </row>
    <row r="12" spans="1:10" ht="14.4" customHeight="1" x14ac:dyDescent="0.3">
      <c r="A12" s="594" t="s">
        <v>538</v>
      </c>
      <c r="B12" s="595" t="s">
        <v>320</v>
      </c>
      <c r="C12" s="596">
        <v>169.81885999999901</v>
      </c>
      <c r="D12" s="596">
        <v>319.23820000000001</v>
      </c>
      <c r="E12" s="596"/>
      <c r="F12" s="596">
        <v>182.16041000000001</v>
      </c>
      <c r="G12" s="596">
        <v>265.902291475163</v>
      </c>
      <c r="H12" s="596">
        <v>-83.741881475162984</v>
      </c>
      <c r="I12" s="597">
        <v>0.68506521320074809</v>
      </c>
      <c r="J12" s="598" t="s">
        <v>1</v>
      </c>
    </row>
    <row r="13" spans="1:10" ht="14.4" customHeight="1" x14ac:dyDescent="0.3">
      <c r="A13" s="594" t="s">
        <v>538</v>
      </c>
      <c r="B13" s="595" t="s">
        <v>542</v>
      </c>
      <c r="C13" s="596">
        <v>1627.9293999999941</v>
      </c>
      <c r="D13" s="596">
        <v>1450.12896</v>
      </c>
      <c r="E13" s="596"/>
      <c r="F13" s="596">
        <v>1521.8170299999999</v>
      </c>
      <c r="G13" s="596">
        <v>1502.4138596200787</v>
      </c>
      <c r="H13" s="596">
        <v>19.403170379921221</v>
      </c>
      <c r="I13" s="597">
        <v>1.0129146641291153</v>
      </c>
      <c r="J13" s="598" t="s">
        <v>543</v>
      </c>
    </row>
    <row r="15" spans="1:10" ht="14.4" customHeight="1" x14ac:dyDescent="0.3">
      <c r="A15" s="594" t="s">
        <v>538</v>
      </c>
      <c r="B15" s="595" t="s">
        <v>539</v>
      </c>
      <c r="C15" s="596" t="s">
        <v>540</v>
      </c>
      <c r="D15" s="596" t="s">
        <v>540</v>
      </c>
      <c r="E15" s="596"/>
      <c r="F15" s="596" t="s">
        <v>540</v>
      </c>
      <c r="G15" s="596" t="s">
        <v>540</v>
      </c>
      <c r="H15" s="596" t="s">
        <v>540</v>
      </c>
      <c r="I15" s="597" t="s">
        <v>540</v>
      </c>
      <c r="J15" s="598" t="s">
        <v>61</v>
      </c>
    </row>
    <row r="16" spans="1:10" ht="14.4" customHeight="1" x14ac:dyDescent="0.3">
      <c r="A16" s="594" t="s">
        <v>544</v>
      </c>
      <c r="B16" s="595" t="s">
        <v>545</v>
      </c>
      <c r="C16" s="596" t="s">
        <v>540</v>
      </c>
      <c r="D16" s="596" t="s">
        <v>540</v>
      </c>
      <c r="E16" s="596"/>
      <c r="F16" s="596" t="s">
        <v>540</v>
      </c>
      <c r="G16" s="596" t="s">
        <v>540</v>
      </c>
      <c r="H16" s="596" t="s">
        <v>540</v>
      </c>
      <c r="I16" s="597" t="s">
        <v>540</v>
      </c>
      <c r="J16" s="598" t="s">
        <v>0</v>
      </c>
    </row>
    <row r="17" spans="1:10" ht="14.4" customHeight="1" x14ac:dyDescent="0.3">
      <c r="A17" s="594" t="s">
        <v>544</v>
      </c>
      <c r="B17" s="595" t="s">
        <v>315</v>
      </c>
      <c r="C17" s="596">
        <v>92.262249999999995</v>
      </c>
      <c r="D17" s="596">
        <v>105.07883000000001</v>
      </c>
      <c r="E17" s="596"/>
      <c r="F17" s="596">
        <v>104.27513</v>
      </c>
      <c r="G17" s="596">
        <v>113.95110372227809</v>
      </c>
      <c r="H17" s="596">
        <v>-9.6759737222780871</v>
      </c>
      <c r="I17" s="597">
        <v>0.915086616924217</v>
      </c>
      <c r="J17" s="598" t="s">
        <v>1</v>
      </c>
    </row>
    <row r="18" spans="1:10" ht="14.4" customHeight="1" x14ac:dyDescent="0.3">
      <c r="A18" s="594" t="s">
        <v>544</v>
      </c>
      <c r="B18" s="595" t="s">
        <v>316</v>
      </c>
      <c r="C18" s="596">
        <v>18.643540000000002</v>
      </c>
      <c r="D18" s="596">
        <v>0</v>
      </c>
      <c r="E18" s="596"/>
      <c r="F18" s="596" t="s">
        <v>540</v>
      </c>
      <c r="G18" s="596" t="s">
        <v>540</v>
      </c>
      <c r="H18" s="596" t="s">
        <v>540</v>
      </c>
      <c r="I18" s="597" t="s">
        <v>540</v>
      </c>
      <c r="J18" s="598" t="s">
        <v>1</v>
      </c>
    </row>
    <row r="19" spans="1:10" ht="14.4" customHeight="1" x14ac:dyDescent="0.3">
      <c r="A19" s="594" t="s">
        <v>544</v>
      </c>
      <c r="B19" s="595" t="s">
        <v>317</v>
      </c>
      <c r="C19" s="596" t="s">
        <v>540</v>
      </c>
      <c r="D19" s="596" t="s">
        <v>540</v>
      </c>
      <c r="E19" s="596"/>
      <c r="F19" s="596">
        <v>5.2437000000000005</v>
      </c>
      <c r="G19" s="596">
        <v>0</v>
      </c>
      <c r="H19" s="596">
        <v>5.2437000000000005</v>
      </c>
      <c r="I19" s="597" t="s">
        <v>540</v>
      </c>
      <c r="J19" s="598" t="s">
        <v>1</v>
      </c>
    </row>
    <row r="20" spans="1:10" ht="14.4" customHeight="1" x14ac:dyDescent="0.3">
      <c r="A20" s="594" t="s">
        <v>544</v>
      </c>
      <c r="B20" s="595" t="s">
        <v>318</v>
      </c>
      <c r="C20" s="596">
        <v>4.7769099999989999</v>
      </c>
      <c r="D20" s="596">
        <v>6.8611499999999994</v>
      </c>
      <c r="E20" s="596"/>
      <c r="F20" s="596">
        <v>6.6998399999999991</v>
      </c>
      <c r="G20" s="596">
        <v>9.1952407163610008</v>
      </c>
      <c r="H20" s="596">
        <v>-2.4954007163610017</v>
      </c>
      <c r="I20" s="597">
        <v>0.72862040338748724</v>
      </c>
      <c r="J20" s="598" t="s">
        <v>1</v>
      </c>
    </row>
    <row r="21" spans="1:10" ht="14.4" customHeight="1" x14ac:dyDescent="0.3">
      <c r="A21" s="594" t="s">
        <v>544</v>
      </c>
      <c r="B21" s="595" t="s">
        <v>319</v>
      </c>
      <c r="C21" s="596">
        <v>0.77981</v>
      </c>
      <c r="D21" s="596">
        <v>1.5597599999999998</v>
      </c>
      <c r="E21" s="596"/>
      <c r="F21" s="596">
        <v>1.8162999999999998</v>
      </c>
      <c r="G21" s="596">
        <v>0.99340430667449986</v>
      </c>
      <c r="H21" s="596">
        <v>0.82289569332549994</v>
      </c>
      <c r="I21" s="597">
        <v>1.8283592972132454</v>
      </c>
      <c r="J21" s="598" t="s">
        <v>1</v>
      </c>
    </row>
    <row r="22" spans="1:10" ht="14.4" customHeight="1" x14ac:dyDescent="0.3">
      <c r="A22" s="594" t="s">
        <v>544</v>
      </c>
      <c r="B22" s="595" t="s">
        <v>320</v>
      </c>
      <c r="C22" s="596">
        <v>83.228129999998998</v>
      </c>
      <c r="D22" s="596">
        <v>87.09320000000001</v>
      </c>
      <c r="E22" s="596"/>
      <c r="F22" s="596">
        <v>83.510329999999996</v>
      </c>
      <c r="G22" s="596">
        <v>87.988161699078674</v>
      </c>
      <c r="H22" s="596">
        <v>-4.4778316990786777</v>
      </c>
      <c r="I22" s="597">
        <v>0.94910870266396796</v>
      </c>
      <c r="J22" s="598" t="s">
        <v>1</v>
      </c>
    </row>
    <row r="23" spans="1:10" ht="14.4" customHeight="1" x14ac:dyDescent="0.3">
      <c r="A23" s="594" t="s">
        <v>544</v>
      </c>
      <c r="B23" s="595" t="s">
        <v>546</v>
      </c>
      <c r="C23" s="596">
        <v>199.69063999999798</v>
      </c>
      <c r="D23" s="596">
        <v>200.59294</v>
      </c>
      <c r="E23" s="596"/>
      <c r="F23" s="596">
        <v>201.5453</v>
      </c>
      <c r="G23" s="596">
        <v>212.12791044439228</v>
      </c>
      <c r="H23" s="596">
        <v>-10.582610444392287</v>
      </c>
      <c r="I23" s="597">
        <v>0.95011212611191753</v>
      </c>
      <c r="J23" s="598" t="s">
        <v>547</v>
      </c>
    </row>
    <row r="24" spans="1:10" ht="14.4" customHeight="1" x14ac:dyDescent="0.3">
      <c r="A24" s="594" t="s">
        <v>540</v>
      </c>
      <c r="B24" s="595" t="s">
        <v>540</v>
      </c>
      <c r="C24" s="596" t="s">
        <v>540</v>
      </c>
      <c r="D24" s="596" t="s">
        <v>540</v>
      </c>
      <c r="E24" s="596"/>
      <c r="F24" s="596" t="s">
        <v>540</v>
      </c>
      <c r="G24" s="596" t="s">
        <v>540</v>
      </c>
      <c r="H24" s="596" t="s">
        <v>540</v>
      </c>
      <c r="I24" s="597" t="s">
        <v>540</v>
      </c>
      <c r="J24" s="598" t="s">
        <v>548</v>
      </c>
    </row>
    <row r="25" spans="1:10" ht="14.4" customHeight="1" x14ac:dyDescent="0.3">
      <c r="A25" s="594" t="s">
        <v>549</v>
      </c>
      <c r="B25" s="595" t="s">
        <v>550</v>
      </c>
      <c r="C25" s="596" t="s">
        <v>540</v>
      </c>
      <c r="D25" s="596" t="s">
        <v>540</v>
      </c>
      <c r="E25" s="596"/>
      <c r="F25" s="596" t="s">
        <v>540</v>
      </c>
      <c r="G25" s="596" t="s">
        <v>540</v>
      </c>
      <c r="H25" s="596" t="s">
        <v>540</v>
      </c>
      <c r="I25" s="597" t="s">
        <v>540</v>
      </c>
      <c r="J25" s="598" t="s">
        <v>0</v>
      </c>
    </row>
    <row r="26" spans="1:10" ht="14.4" customHeight="1" x14ac:dyDescent="0.3">
      <c r="A26" s="594" t="s">
        <v>549</v>
      </c>
      <c r="B26" s="595" t="s">
        <v>315</v>
      </c>
      <c r="C26" s="596">
        <v>79.031419999998988</v>
      </c>
      <c r="D26" s="596">
        <v>75.678970000000007</v>
      </c>
      <c r="E26" s="596"/>
      <c r="F26" s="596">
        <v>77.66152000000001</v>
      </c>
      <c r="G26" s="596">
        <v>75.860335748163763</v>
      </c>
      <c r="H26" s="596">
        <v>1.8011842518362471</v>
      </c>
      <c r="I26" s="597">
        <v>1.0237434257846643</v>
      </c>
      <c r="J26" s="598" t="s">
        <v>1</v>
      </c>
    </row>
    <row r="27" spans="1:10" ht="14.4" customHeight="1" x14ac:dyDescent="0.3">
      <c r="A27" s="594" t="s">
        <v>549</v>
      </c>
      <c r="B27" s="595" t="s">
        <v>316</v>
      </c>
      <c r="C27" s="596">
        <v>2.9588599999999996</v>
      </c>
      <c r="D27" s="596">
        <v>1.9333299999999998</v>
      </c>
      <c r="E27" s="596"/>
      <c r="F27" s="596">
        <v>0.37709999999999999</v>
      </c>
      <c r="G27" s="596">
        <v>1.5707654109618334</v>
      </c>
      <c r="H27" s="596">
        <v>-1.1936654109618334</v>
      </c>
      <c r="I27" s="597">
        <v>0.24007404120841236</v>
      </c>
      <c r="J27" s="598" t="s">
        <v>1</v>
      </c>
    </row>
    <row r="28" spans="1:10" ht="14.4" customHeight="1" x14ac:dyDescent="0.3">
      <c r="A28" s="594" t="s">
        <v>549</v>
      </c>
      <c r="B28" s="595" t="s">
        <v>318</v>
      </c>
      <c r="C28" s="596">
        <v>11.575349999999</v>
      </c>
      <c r="D28" s="596">
        <v>6.9003299999999994</v>
      </c>
      <c r="E28" s="596"/>
      <c r="F28" s="596">
        <v>14.612119999999999</v>
      </c>
      <c r="G28" s="596">
        <v>5.9737191929537499</v>
      </c>
      <c r="H28" s="596">
        <v>8.6384008070462492</v>
      </c>
      <c r="I28" s="597">
        <v>2.4460674377254965</v>
      </c>
      <c r="J28" s="598" t="s">
        <v>1</v>
      </c>
    </row>
    <row r="29" spans="1:10" ht="14.4" customHeight="1" x14ac:dyDescent="0.3">
      <c r="A29" s="594" t="s">
        <v>549</v>
      </c>
      <c r="B29" s="595" t="s">
        <v>319</v>
      </c>
      <c r="C29" s="596">
        <v>0.53336999999900003</v>
      </c>
      <c r="D29" s="596">
        <v>0.72725999999999991</v>
      </c>
      <c r="E29" s="596"/>
      <c r="F29" s="596">
        <v>0.67208999999999997</v>
      </c>
      <c r="G29" s="596">
        <v>0.61287935311925001</v>
      </c>
      <c r="H29" s="596">
        <v>5.9210646880749951E-2</v>
      </c>
      <c r="I29" s="597">
        <v>1.0966106079106717</v>
      </c>
      <c r="J29" s="598" t="s">
        <v>1</v>
      </c>
    </row>
    <row r="30" spans="1:10" ht="14.4" customHeight="1" x14ac:dyDescent="0.3">
      <c r="A30" s="594" t="s">
        <v>549</v>
      </c>
      <c r="B30" s="595" t="s">
        <v>551</v>
      </c>
      <c r="C30" s="596">
        <v>94.098999999996991</v>
      </c>
      <c r="D30" s="596">
        <v>85.239890000000003</v>
      </c>
      <c r="E30" s="596"/>
      <c r="F30" s="596">
        <v>93.32283000000001</v>
      </c>
      <c r="G30" s="596">
        <v>84.017699705198609</v>
      </c>
      <c r="H30" s="596">
        <v>9.3051302948014012</v>
      </c>
      <c r="I30" s="597">
        <v>1.1107520240074562</v>
      </c>
      <c r="J30" s="598" t="s">
        <v>547</v>
      </c>
    </row>
    <row r="31" spans="1:10" ht="14.4" customHeight="1" x14ac:dyDescent="0.3">
      <c r="A31" s="594" t="s">
        <v>540</v>
      </c>
      <c r="B31" s="595" t="s">
        <v>540</v>
      </c>
      <c r="C31" s="596" t="s">
        <v>540</v>
      </c>
      <c r="D31" s="596" t="s">
        <v>540</v>
      </c>
      <c r="E31" s="596"/>
      <c r="F31" s="596" t="s">
        <v>540</v>
      </c>
      <c r="G31" s="596" t="s">
        <v>540</v>
      </c>
      <c r="H31" s="596" t="s">
        <v>540</v>
      </c>
      <c r="I31" s="597" t="s">
        <v>540</v>
      </c>
      <c r="J31" s="598" t="s">
        <v>548</v>
      </c>
    </row>
    <row r="32" spans="1:10" ht="14.4" customHeight="1" x14ac:dyDescent="0.3">
      <c r="A32" s="594" t="s">
        <v>552</v>
      </c>
      <c r="B32" s="595" t="s">
        <v>553</v>
      </c>
      <c r="C32" s="596" t="s">
        <v>540</v>
      </c>
      <c r="D32" s="596" t="s">
        <v>540</v>
      </c>
      <c r="E32" s="596"/>
      <c r="F32" s="596" t="s">
        <v>540</v>
      </c>
      <c r="G32" s="596" t="s">
        <v>540</v>
      </c>
      <c r="H32" s="596" t="s">
        <v>540</v>
      </c>
      <c r="I32" s="597" t="s">
        <v>540</v>
      </c>
      <c r="J32" s="598" t="s">
        <v>0</v>
      </c>
    </row>
    <row r="33" spans="1:10" ht="14.4" customHeight="1" x14ac:dyDescent="0.3">
      <c r="A33" s="594" t="s">
        <v>552</v>
      </c>
      <c r="B33" s="595" t="s">
        <v>315</v>
      </c>
      <c r="C33" s="596">
        <v>928.57701000000009</v>
      </c>
      <c r="D33" s="596">
        <v>773.24690999999996</v>
      </c>
      <c r="E33" s="596"/>
      <c r="F33" s="596">
        <v>959.82590999999991</v>
      </c>
      <c r="G33" s="596">
        <v>835.23407407599825</v>
      </c>
      <c r="H33" s="596">
        <v>124.59183592400166</v>
      </c>
      <c r="I33" s="597">
        <v>1.1491699629973011</v>
      </c>
      <c r="J33" s="598" t="s">
        <v>1</v>
      </c>
    </row>
    <row r="34" spans="1:10" ht="14.4" customHeight="1" x14ac:dyDescent="0.3">
      <c r="A34" s="594" t="s">
        <v>552</v>
      </c>
      <c r="B34" s="595" t="s">
        <v>316</v>
      </c>
      <c r="C34" s="596">
        <v>94.911709999999005</v>
      </c>
      <c r="D34" s="596">
        <v>69.353830000000002</v>
      </c>
      <c r="E34" s="596"/>
      <c r="F34" s="596">
        <v>94.30444</v>
      </c>
      <c r="G34" s="596">
        <v>104.99931383038241</v>
      </c>
      <c r="H34" s="596">
        <v>-10.694873830382406</v>
      </c>
      <c r="I34" s="597">
        <v>0.89814339313055813</v>
      </c>
      <c r="J34" s="598" t="s">
        <v>1</v>
      </c>
    </row>
    <row r="35" spans="1:10" ht="14.4" customHeight="1" x14ac:dyDescent="0.3">
      <c r="A35" s="594" t="s">
        <v>552</v>
      </c>
      <c r="B35" s="595" t="s">
        <v>317</v>
      </c>
      <c r="C35" s="596">
        <v>14.022749999999998</v>
      </c>
      <c r="D35" s="596">
        <v>13.552499999999998</v>
      </c>
      <c r="E35" s="596"/>
      <c r="F35" s="596">
        <v>12.73564</v>
      </c>
      <c r="G35" s="596">
        <v>15.065147183325168</v>
      </c>
      <c r="H35" s="596">
        <v>-2.3295071833251679</v>
      </c>
      <c r="I35" s="597">
        <v>0.84537109694463664</v>
      </c>
      <c r="J35" s="598" t="s">
        <v>1</v>
      </c>
    </row>
    <row r="36" spans="1:10" ht="14.4" customHeight="1" x14ac:dyDescent="0.3">
      <c r="A36" s="594" t="s">
        <v>552</v>
      </c>
      <c r="B36" s="595" t="s">
        <v>318</v>
      </c>
      <c r="C36" s="596">
        <v>98.635559999999998</v>
      </c>
      <c r="D36" s="596">
        <v>73.130489999999995</v>
      </c>
      <c r="E36" s="596"/>
      <c r="F36" s="596">
        <v>58.6494</v>
      </c>
      <c r="G36" s="596">
        <v>70.756064518129662</v>
      </c>
      <c r="H36" s="596">
        <v>-12.106664518129662</v>
      </c>
      <c r="I36" s="597">
        <v>0.82889573352362467</v>
      </c>
      <c r="J36" s="598" t="s">
        <v>1</v>
      </c>
    </row>
    <row r="37" spans="1:10" ht="14.4" customHeight="1" x14ac:dyDescent="0.3">
      <c r="A37" s="594" t="s">
        <v>552</v>
      </c>
      <c r="B37" s="595" t="s">
        <v>319</v>
      </c>
      <c r="C37" s="596">
        <v>9.6711599999999986</v>
      </c>
      <c r="D37" s="596">
        <v>2.8673999999999999</v>
      </c>
      <c r="E37" s="596"/>
      <c r="F37" s="596">
        <v>2.7834299999999996</v>
      </c>
      <c r="G37" s="596">
        <v>2.2995200865676666</v>
      </c>
      <c r="H37" s="596">
        <v>0.48390991343233303</v>
      </c>
      <c r="I37" s="597">
        <v>1.2104395244290436</v>
      </c>
      <c r="J37" s="598" t="s">
        <v>1</v>
      </c>
    </row>
    <row r="38" spans="1:10" ht="14.4" customHeight="1" x14ac:dyDescent="0.3">
      <c r="A38" s="594" t="s">
        <v>552</v>
      </c>
      <c r="B38" s="595" t="s">
        <v>320</v>
      </c>
      <c r="C38" s="596">
        <v>86.590729999999994</v>
      </c>
      <c r="D38" s="596">
        <v>232.14499999999998</v>
      </c>
      <c r="E38" s="596"/>
      <c r="F38" s="596">
        <v>98.650080000000017</v>
      </c>
      <c r="G38" s="596">
        <v>177.91412977608434</v>
      </c>
      <c r="H38" s="596">
        <v>-79.26404977608432</v>
      </c>
      <c r="I38" s="597">
        <v>0.55448142384282295</v>
      </c>
      <c r="J38" s="598" t="s">
        <v>1</v>
      </c>
    </row>
    <row r="39" spans="1:10" ht="14.4" customHeight="1" x14ac:dyDescent="0.3">
      <c r="A39" s="594" t="s">
        <v>552</v>
      </c>
      <c r="B39" s="595" t="s">
        <v>554</v>
      </c>
      <c r="C39" s="596">
        <v>1232.4089199999992</v>
      </c>
      <c r="D39" s="596">
        <v>1164.2961299999999</v>
      </c>
      <c r="E39" s="596"/>
      <c r="F39" s="596">
        <v>1226.9489000000001</v>
      </c>
      <c r="G39" s="596">
        <v>1206.2682494704875</v>
      </c>
      <c r="H39" s="596">
        <v>20.680650529512604</v>
      </c>
      <c r="I39" s="597">
        <v>1.0171443213717932</v>
      </c>
      <c r="J39" s="598" t="s">
        <v>547</v>
      </c>
    </row>
    <row r="40" spans="1:10" ht="14.4" customHeight="1" x14ac:dyDescent="0.3">
      <c r="A40" s="594" t="s">
        <v>540</v>
      </c>
      <c r="B40" s="595" t="s">
        <v>540</v>
      </c>
      <c r="C40" s="596" t="s">
        <v>540</v>
      </c>
      <c r="D40" s="596" t="s">
        <v>540</v>
      </c>
      <c r="E40" s="596"/>
      <c r="F40" s="596" t="s">
        <v>540</v>
      </c>
      <c r="G40" s="596" t="s">
        <v>540</v>
      </c>
      <c r="H40" s="596" t="s">
        <v>540</v>
      </c>
      <c r="I40" s="597" t="s">
        <v>540</v>
      </c>
      <c r="J40" s="598" t="s">
        <v>548</v>
      </c>
    </row>
    <row r="41" spans="1:10" ht="14.4" customHeight="1" x14ac:dyDescent="0.3">
      <c r="A41" s="594" t="s">
        <v>555</v>
      </c>
      <c r="B41" s="595" t="s">
        <v>556</v>
      </c>
      <c r="C41" s="596" t="s">
        <v>540</v>
      </c>
      <c r="D41" s="596" t="s">
        <v>540</v>
      </c>
      <c r="E41" s="596"/>
      <c r="F41" s="596" t="s">
        <v>540</v>
      </c>
      <c r="G41" s="596" t="s">
        <v>540</v>
      </c>
      <c r="H41" s="596" t="s">
        <v>540</v>
      </c>
      <c r="I41" s="597" t="s">
        <v>540</v>
      </c>
      <c r="J41" s="598" t="s">
        <v>0</v>
      </c>
    </row>
    <row r="42" spans="1:10" ht="14.4" customHeight="1" x14ac:dyDescent="0.3">
      <c r="A42" s="594" t="s">
        <v>555</v>
      </c>
      <c r="B42" s="595" t="s">
        <v>541</v>
      </c>
      <c r="C42" s="596">
        <v>101.73084</v>
      </c>
      <c r="D42" s="596" t="s">
        <v>540</v>
      </c>
      <c r="E42" s="596"/>
      <c r="F42" s="596" t="s">
        <v>540</v>
      </c>
      <c r="G42" s="596" t="s">
        <v>540</v>
      </c>
      <c r="H42" s="596" t="s">
        <v>540</v>
      </c>
      <c r="I42" s="597" t="s">
        <v>540</v>
      </c>
      <c r="J42" s="598" t="s">
        <v>1</v>
      </c>
    </row>
    <row r="43" spans="1:10" ht="14.4" customHeight="1" x14ac:dyDescent="0.3">
      <c r="A43" s="594" t="s">
        <v>555</v>
      </c>
      <c r="B43" s="595" t="s">
        <v>557</v>
      </c>
      <c r="C43" s="596">
        <v>101.73084</v>
      </c>
      <c r="D43" s="596" t="s">
        <v>540</v>
      </c>
      <c r="E43" s="596"/>
      <c r="F43" s="596" t="s">
        <v>540</v>
      </c>
      <c r="G43" s="596" t="s">
        <v>540</v>
      </c>
      <c r="H43" s="596" t="s">
        <v>540</v>
      </c>
      <c r="I43" s="597" t="s">
        <v>540</v>
      </c>
      <c r="J43" s="598" t="s">
        <v>547</v>
      </c>
    </row>
    <row r="44" spans="1:10" ht="14.4" customHeight="1" x14ac:dyDescent="0.3">
      <c r="A44" s="594" t="s">
        <v>540</v>
      </c>
      <c r="B44" s="595" t="s">
        <v>540</v>
      </c>
      <c r="C44" s="596" t="s">
        <v>540</v>
      </c>
      <c r="D44" s="596" t="s">
        <v>540</v>
      </c>
      <c r="E44" s="596"/>
      <c r="F44" s="596" t="s">
        <v>540</v>
      </c>
      <c r="G44" s="596" t="s">
        <v>540</v>
      </c>
      <c r="H44" s="596" t="s">
        <v>540</v>
      </c>
      <c r="I44" s="597" t="s">
        <v>540</v>
      </c>
      <c r="J44" s="598" t="s">
        <v>548</v>
      </c>
    </row>
    <row r="45" spans="1:10" ht="14.4" customHeight="1" x14ac:dyDescent="0.3">
      <c r="A45" s="594" t="s">
        <v>538</v>
      </c>
      <c r="B45" s="595" t="s">
        <v>542</v>
      </c>
      <c r="C45" s="596">
        <v>1627.9293999999941</v>
      </c>
      <c r="D45" s="596">
        <v>1450.12896</v>
      </c>
      <c r="E45" s="596"/>
      <c r="F45" s="596">
        <v>1521.8170299999999</v>
      </c>
      <c r="G45" s="596">
        <v>1502.4138596200785</v>
      </c>
      <c r="H45" s="596">
        <v>19.403170379921448</v>
      </c>
      <c r="I45" s="597">
        <v>1.0129146641291156</v>
      </c>
      <c r="J45" s="598" t="s">
        <v>543</v>
      </c>
    </row>
  </sheetData>
  <mergeCells count="3">
    <mergeCell ref="F3:I3"/>
    <mergeCell ref="C4:D4"/>
    <mergeCell ref="A1:I1"/>
  </mergeCells>
  <conditionalFormatting sqref="F14 F46:F65537">
    <cfRule type="cellIs" dxfId="56" priority="18" stopIfTrue="1" operator="greaterThan">
      <formula>1</formula>
    </cfRule>
  </conditionalFormatting>
  <conditionalFormatting sqref="H5:H13">
    <cfRule type="expression" dxfId="55" priority="14">
      <formula>$H5&gt;0</formula>
    </cfRule>
  </conditionalFormatting>
  <conditionalFormatting sqref="I5:I13">
    <cfRule type="expression" dxfId="54" priority="15">
      <formula>$I5&gt;1</formula>
    </cfRule>
  </conditionalFormatting>
  <conditionalFormatting sqref="B5:B13">
    <cfRule type="expression" dxfId="53" priority="11">
      <formula>OR($J5="NS",$J5="SumaNS",$J5="Účet")</formula>
    </cfRule>
  </conditionalFormatting>
  <conditionalFormatting sqref="B5:D13 F5:I13">
    <cfRule type="expression" dxfId="52" priority="17">
      <formula>AND($J5&lt;&gt;"",$J5&lt;&gt;"mezeraKL")</formula>
    </cfRule>
  </conditionalFormatting>
  <conditionalFormatting sqref="B5:D13 F5:I13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50" priority="13">
      <formula>OR($J5="SumaNS",$J5="NS")</formula>
    </cfRule>
  </conditionalFormatting>
  <conditionalFormatting sqref="A5:A13">
    <cfRule type="expression" dxfId="49" priority="9">
      <formula>AND($J5&lt;&gt;"mezeraKL",$J5&lt;&gt;"")</formula>
    </cfRule>
  </conditionalFormatting>
  <conditionalFormatting sqref="A5:A13">
    <cfRule type="expression" dxfId="48" priority="10">
      <formula>AND($J5&lt;&gt;"",$J5&lt;&gt;"mezeraKL")</formula>
    </cfRule>
  </conditionalFormatting>
  <conditionalFormatting sqref="H15:H45">
    <cfRule type="expression" dxfId="47" priority="5">
      <formula>$H15&gt;0</formula>
    </cfRule>
  </conditionalFormatting>
  <conditionalFormatting sqref="A15:A45">
    <cfRule type="expression" dxfId="46" priority="2">
      <formula>AND($J15&lt;&gt;"mezeraKL",$J15&lt;&gt;"")</formula>
    </cfRule>
  </conditionalFormatting>
  <conditionalFormatting sqref="I15:I45">
    <cfRule type="expression" dxfId="45" priority="6">
      <formula>$I15&gt;1</formula>
    </cfRule>
  </conditionalFormatting>
  <conditionalFormatting sqref="B15:B45">
    <cfRule type="expression" dxfId="44" priority="1">
      <formula>OR($J15="NS",$J15="SumaNS",$J15="Účet")</formula>
    </cfRule>
  </conditionalFormatting>
  <conditionalFormatting sqref="A15:D45 F15:I45">
    <cfRule type="expression" dxfId="43" priority="8">
      <formula>AND($J15&lt;&gt;"",$J15&lt;&gt;"mezeraKL")</formula>
    </cfRule>
  </conditionalFormatting>
  <conditionalFormatting sqref="B15:D45 F15:I45">
    <cfRule type="expression" dxfId="4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5 F15:I45">
    <cfRule type="expression" dxfId="4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9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0" bestFit="1" customWidth="1" collapsed="1"/>
    <col min="4" max="4" width="18.77734375" style="324" customWidth="1"/>
    <col min="5" max="5" width="9" style="320" bestFit="1" customWidth="1"/>
    <col min="6" max="6" width="18.77734375" style="324" customWidth="1"/>
    <col min="7" max="7" width="5" style="320" customWidth="1"/>
    <col min="8" max="8" width="12.44140625" style="320" hidden="1" customWidth="1" outlineLevel="1"/>
    <col min="9" max="9" width="8.5546875" style="320" hidden="1" customWidth="1" outlineLevel="1"/>
    <col min="10" max="10" width="25.77734375" style="320" customWidth="1" collapsed="1"/>
    <col min="11" max="11" width="8.77734375" style="320" customWidth="1"/>
    <col min="12" max="13" width="7.77734375" style="318" customWidth="1"/>
    <col min="14" max="14" width="11.109375" style="318" customWidth="1"/>
    <col min="15" max="16384" width="8.88671875" style="238"/>
  </cols>
  <sheetData>
    <row r="1" spans="1:14" ht="18.600000000000001" customHeight="1" thickBot="1" x14ac:dyDescent="0.4">
      <c r="A1" s="487" t="s">
        <v>181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1:14" ht="14.4" customHeight="1" thickBot="1" x14ac:dyDescent="0.35">
      <c r="A2" s="360" t="s">
        <v>306</v>
      </c>
      <c r="B2" s="66"/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23"/>
      <c r="N2" s="323"/>
    </row>
    <row r="3" spans="1:14" ht="14.4" customHeight="1" thickBot="1" x14ac:dyDescent="0.35">
      <c r="A3" s="66"/>
      <c r="B3" s="66"/>
      <c r="C3" s="483"/>
      <c r="D3" s="484"/>
      <c r="E3" s="484"/>
      <c r="F3" s="484"/>
      <c r="G3" s="484"/>
      <c r="H3" s="484"/>
      <c r="I3" s="484"/>
      <c r="J3" s="485" t="s">
        <v>142</v>
      </c>
      <c r="K3" s="486"/>
      <c r="L3" s="192">
        <f>IF(M3&lt;&gt;0,N3/M3,0)</f>
        <v>141.44955190195765</v>
      </c>
      <c r="M3" s="192">
        <f>SUBTOTAL(9,M5:M1048576)</f>
        <v>10254.800000000001</v>
      </c>
      <c r="N3" s="193">
        <f>SUBTOTAL(9,N5:N1048576)</f>
        <v>1450536.8648441955</v>
      </c>
    </row>
    <row r="4" spans="1:14" s="319" customFormat="1" ht="14.4" customHeight="1" thickBot="1" x14ac:dyDescent="0.35">
      <c r="A4" s="599" t="s">
        <v>4</v>
      </c>
      <c r="B4" s="600" t="s">
        <v>5</v>
      </c>
      <c r="C4" s="600" t="s">
        <v>0</v>
      </c>
      <c r="D4" s="600" t="s">
        <v>6</v>
      </c>
      <c r="E4" s="600" t="s">
        <v>7</v>
      </c>
      <c r="F4" s="600" t="s">
        <v>1</v>
      </c>
      <c r="G4" s="600" t="s">
        <v>8</v>
      </c>
      <c r="H4" s="600" t="s">
        <v>9</v>
      </c>
      <c r="I4" s="600" t="s">
        <v>10</v>
      </c>
      <c r="J4" s="601" t="s">
        <v>11</v>
      </c>
      <c r="K4" s="601" t="s">
        <v>12</v>
      </c>
      <c r="L4" s="602" t="s">
        <v>165</v>
      </c>
      <c r="M4" s="602" t="s">
        <v>13</v>
      </c>
      <c r="N4" s="603" t="s">
        <v>176</v>
      </c>
    </row>
    <row r="5" spans="1:14" ht="14.4" customHeight="1" x14ac:dyDescent="0.3">
      <c r="A5" s="604" t="s">
        <v>538</v>
      </c>
      <c r="B5" s="605" t="s">
        <v>539</v>
      </c>
      <c r="C5" s="606" t="s">
        <v>544</v>
      </c>
      <c r="D5" s="607" t="s">
        <v>1192</v>
      </c>
      <c r="E5" s="606" t="s">
        <v>558</v>
      </c>
      <c r="F5" s="607" t="s">
        <v>1195</v>
      </c>
      <c r="G5" s="606" t="s">
        <v>559</v>
      </c>
      <c r="H5" s="606" t="s">
        <v>560</v>
      </c>
      <c r="I5" s="606" t="s">
        <v>560</v>
      </c>
      <c r="J5" s="606" t="s">
        <v>561</v>
      </c>
      <c r="K5" s="606" t="s">
        <v>562</v>
      </c>
      <c r="L5" s="608">
        <v>171.60000000000002</v>
      </c>
      <c r="M5" s="608">
        <v>5</v>
      </c>
      <c r="N5" s="609">
        <v>858.00000000000011</v>
      </c>
    </row>
    <row r="6" spans="1:14" ht="14.4" customHeight="1" x14ac:dyDescent="0.3">
      <c r="A6" s="610" t="s">
        <v>538</v>
      </c>
      <c r="B6" s="611" t="s">
        <v>539</v>
      </c>
      <c r="C6" s="612" t="s">
        <v>544</v>
      </c>
      <c r="D6" s="613" t="s">
        <v>1192</v>
      </c>
      <c r="E6" s="612" t="s">
        <v>558</v>
      </c>
      <c r="F6" s="613" t="s">
        <v>1195</v>
      </c>
      <c r="G6" s="612" t="s">
        <v>559</v>
      </c>
      <c r="H6" s="612" t="s">
        <v>563</v>
      </c>
      <c r="I6" s="612" t="s">
        <v>563</v>
      </c>
      <c r="J6" s="612" t="s">
        <v>564</v>
      </c>
      <c r="K6" s="612" t="s">
        <v>565</v>
      </c>
      <c r="L6" s="614">
        <v>222.19999999999993</v>
      </c>
      <c r="M6" s="614">
        <v>1</v>
      </c>
      <c r="N6" s="615">
        <v>222.19999999999993</v>
      </c>
    </row>
    <row r="7" spans="1:14" ht="14.4" customHeight="1" x14ac:dyDescent="0.3">
      <c r="A7" s="610" t="s">
        <v>538</v>
      </c>
      <c r="B7" s="611" t="s">
        <v>539</v>
      </c>
      <c r="C7" s="612" t="s">
        <v>544</v>
      </c>
      <c r="D7" s="613" t="s">
        <v>1192</v>
      </c>
      <c r="E7" s="612" t="s">
        <v>558</v>
      </c>
      <c r="F7" s="613" t="s">
        <v>1195</v>
      </c>
      <c r="G7" s="612" t="s">
        <v>559</v>
      </c>
      <c r="H7" s="612" t="s">
        <v>566</v>
      </c>
      <c r="I7" s="612" t="s">
        <v>567</v>
      </c>
      <c r="J7" s="612" t="s">
        <v>568</v>
      </c>
      <c r="K7" s="612" t="s">
        <v>569</v>
      </c>
      <c r="L7" s="614">
        <v>87.072124039321253</v>
      </c>
      <c r="M7" s="614">
        <v>4</v>
      </c>
      <c r="N7" s="615">
        <v>348.28849615728501</v>
      </c>
    </row>
    <row r="8" spans="1:14" ht="14.4" customHeight="1" x14ac:dyDescent="0.3">
      <c r="A8" s="610" t="s">
        <v>538</v>
      </c>
      <c r="B8" s="611" t="s">
        <v>539</v>
      </c>
      <c r="C8" s="612" t="s">
        <v>544</v>
      </c>
      <c r="D8" s="613" t="s">
        <v>1192</v>
      </c>
      <c r="E8" s="612" t="s">
        <v>558</v>
      </c>
      <c r="F8" s="613" t="s">
        <v>1195</v>
      </c>
      <c r="G8" s="612" t="s">
        <v>559</v>
      </c>
      <c r="H8" s="612" t="s">
        <v>570</v>
      </c>
      <c r="I8" s="612" t="s">
        <v>571</v>
      </c>
      <c r="J8" s="612" t="s">
        <v>572</v>
      </c>
      <c r="K8" s="612" t="s">
        <v>573</v>
      </c>
      <c r="L8" s="614">
        <v>96.82</v>
      </c>
      <c r="M8" s="614">
        <v>2</v>
      </c>
      <c r="N8" s="615">
        <v>193.64</v>
      </c>
    </row>
    <row r="9" spans="1:14" ht="14.4" customHeight="1" x14ac:dyDescent="0.3">
      <c r="A9" s="610" t="s">
        <v>538</v>
      </c>
      <c r="B9" s="611" t="s">
        <v>539</v>
      </c>
      <c r="C9" s="612" t="s">
        <v>544</v>
      </c>
      <c r="D9" s="613" t="s">
        <v>1192</v>
      </c>
      <c r="E9" s="612" t="s">
        <v>558</v>
      </c>
      <c r="F9" s="613" t="s">
        <v>1195</v>
      </c>
      <c r="G9" s="612" t="s">
        <v>559</v>
      </c>
      <c r="H9" s="612" t="s">
        <v>574</v>
      </c>
      <c r="I9" s="612" t="s">
        <v>575</v>
      </c>
      <c r="J9" s="612" t="s">
        <v>576</v>
      </c>
      <c r="K9" s="612" t="s">
        <v>577</v>
      </c>
      <c r="L9" s="614">
        <v>79.912819005323939</v>
      </c>
      <c r="M9" s="614">
        <v>26</v>
      </c>
      <c r="N9" s="615">
        <v>2077.7332941384225</v>
      </c>
    </row>
    <row r="10" spans="1:14" ht="14.4" customHeight="1" x14ac:dyDescent="0.3">
      <c r="A10" s="610" t="s">
        <v>538</v>
      </c>
      <c r="B10" s="611" t="s">
        <v>539</v>
      </c>
      <c r="C10" s="612" t="s">
        <v>544</v>
      </c>
      <c r="D10" s="613" t="s">
        <v>1192</v>
      </c>
      <c r="E10" s="612" t="s">
        <v>558</v>
      </c>
      <c r="F10" s="613" t="s">
        <v>1195</v>
      </c>
      <c r="G10" s="612" t="s">
        <v>559</v>
      </c>
      <c r="H10" s="612" t="s">
        <v>578</v>
      </c>
      <c r="I10" s="612" t="s">
        <v>579</v>
      </c>
      <c r="J10" s="612" t="s">
        <v>580</v>
      </c>
      <c r="K10" s="612" t="s">
        <v>581</v>
      </c>
      <c r="L10" s="614">
        <v>45.844146110558768</v>
      </c>
      <c r="M10" s="614">
        <v>105</v>
      </c>
      <c r="N10" s="615">
        <v>4813.6353416086704</v>
      </c>
    </row>
    <row r="11" spans="1:14" ht="14.4" customHeight="1" x14ac:dyDescent="0.3">
      <c r="A11" s="610" t="s">
        <v>538</v>
      </c>
      <c r="B11" s="611" t="s">
        <v>539</v>
      </c>
      <c r="C11" s="612" t="s">
        <v>544</v>
      </c>
      <c r="D11" s="613" t="s">
        <v>1192</v>
      </c>
      <c r="E11" s="612" t="s">
        <v>558</v>
      </c>
      <c r="F11" s="613" t="s">
        <v>1195</v>
      </c>
      <c r="G11" s="612" t="s">
        <v>559</v>
      </c>
      <c r="H11" s="612" t="s">
        <v>582</v>
      </c>
      <c r="I11" s="612" t="s">
        <v>583</v>
      </c>
      <c r="J11" s="612" t="s">
        <v>584</v>
      </c>
      <c r="K11" s="612" t="s">
        <v>585</v>
      </c>
      <c r="L11" s="614">
        <v>39.26995156983935</v>
      </c>
      <c r="M11" s="614">
        <v>2</v>
      </c>
      <c r="N11" s="615">
        <v>78.5399031396787</v>
      </c>
    </row>
    <row r="12" spans="1:14" ht="14.4" customHeight="1" x14ac:dyDescent="0.3">
      <c r="A12" s="610" t="s">
        <v>538</v>
      </c>
      <c r="B12" s="611" t="s">
        <v>539</v>
      </c>
      <c r="C12" s="612" t="s">
        <v>544</v>
      </c>
      <c r="D12" s="613" t="s">
        <v>1192</v>
      </c>
      <c r="E12" s="612" t="s">
        <v>558</v>
      </c>
      <c r="F12" s="613" t="s">
        <v>1195</v>
      </c>
      <c r="G12" s="612" t="s">
        <v>559</v>
      </c>
      <c r="H12" s="612" t="s">
        <v>586</v>
      </c>
      <c r="I12" s="612" t="s">
        <v>189</v>
      </c>
      <c r="J12" s="612" t="s">
        <v>587</v>
      </c>
      <c r="K12" s="612"/>
      <c r="L12" s="614">
        <v>97.320283267957549</v>
      </c>
      <c r="M12" s="614">
        <v>31</v>
      </c>
      <c r="N12" s="615">
        <v>3016.928781306684</v>
      </c>
    </row>
    <row r="13" spans="1:14" ht="14.4" customHeight="1" x14ac:dyDescent="0.3">
      <c r="A13" s="610" t="s">
        <v>538</v>
      </c>
      <c r="B13" s="611" t="s">
        <v>539</v>
      </c>
      <c r="C13" s="612" t="s">
        <v>544</v>
      </c>
      <c r="D13" s="613" t="s">
        <v>1192</v>
      </c>
      <c r="E13" s="612" t="s">
        <v>558</v>
      </c>
      <c r="F13" s="613" t="s">
        <v>1195</v>
      </c>
      <c r="G13" s="612" t="s">
        <v>559</v>
      </c>
      <c r="H13" s="612" t="s">
        <v>588</v>
      </c>
      <c r="I13" s="612" t="s">
        <v>189</v>
      </c>
      <c r="J13" s="612" t="s">
        <v>589</v>
      </c>
      <c r="K13" s="612"/>
      <c r="L13" s="614">
        <v>218.19999999999996</v>
      </c>
      <c r="M13" s="614">
        <v>1</v>
      </c>
      <c r="N13" s="615">
        <v>218.19999999999996</v>
      </c>
    </row>
    <row r="14" spans="1:14" ht="14.4" customHeight="1" x14ac:dyDescent="0.3">
      <c r="A14" s="610" t="s">
        <v>538</v>
      </c>
      <c r="B14" s="611" t="s">
        <v>539</v>
      </c>
      <c r="C14" s="612" t="s">
        <v>544</v>
      </c>
      <c r="D14" s="613" t="s">
        <v>1192</v>
      </c>
      <c r="E14" s="612" t="s">
        <v>558</v>
      </c>
      <c r="F14" s="613" t="s">
        <v>1195</v>
      </c>
      <c r="G14" s="612" t="s">
        <v>559</v>
      </c>
      <c r="H14" s="612" t="s">
        <v>590</v>
      </c>
      <c r="I14" s="612" t="s">
        <v>591</v>
      </c>
      <c r="J14" s="612" t="s">
        <v>592</v>
      </c>
      <c r="K14" s="612" t="s">
        <v>593</v>
      </c>
      <c r="L14" s="614">
        <v>35.332857142857151</v>
      </c>
      <c r="M14" s="614">
        <v>7</v>
      </c>
      <c r="N14" s="615">
        <v>247.33000000000007</v>
      </c>
    </row>
    <row r="15" spans="1:14" ht="14.4" customHeight="1" x14ac:dyDescent="0.3">
      <c r="A15" s="610" t="s">
        <v>538</v>
      </c>
      <c r="B15" s="611" t="s">
        <v>539</v>
      </c>
      <c r="C15" s="612" t="s">
        <v>544</v>
      </c>
      <c r="D15" s="613" t="s">
        <v>1192</v>
      </c>
      <c r="E15" s="612" t="s">
        <v>558</v>
      </c>
      <c r="F15" s="613" t="s">
        <v>1195</v>
      </c>
      <c r="G15" s="612" t="s">
        <v>559</v>
      </c>
      <c r="H15" s="612" t="s">
        <v>594</v>
      </c>
      <c r="I15" s="612" t="s">
        <v>595</v>
      </c>
      <c r="J15" s="612" t="s">
        <v>596</v>
      </c>
      <c r="K15" s="612" t="s">
        <v>597</v>
      </c>
      <c r="L15" s="614">
        <v>208.69049388512255</v>
      </c>
      <c r="M15" s="614">
        <v>1</v>
      </c>
      <c r="N15" s="615">
        <v>208.69049388512255</v>
      </c>
    </row>
    <row r="16" spans="1:14" ht="14.4" customHeight="1" x14ac:dyDescent="0.3">
      <c r="A16" s="610" t="s">
        <v>538</v>
      </c>
      <c r="B16" s="611" t="s">
        <v>539</v>
      </c>
      <c r="C16" s="612" t="s">
        <v>544</v>
      </c>
      <c r="D16" s="613" t="s">
        <v>1192</v>
      </c>
      <c r="E16" s="612" t="s">
        <v>558</v>
      </c>
      <c r="F16" s="613" t="s">
        <v>1195</v>
      </c>
      <c r="G16" s="612" t="s">
        <v>559</v>
      </c>
      <c r="H16" s="612" t="s">
        <v>598</v>
      </c>
      <c r="I16" s="612" t="s">
        <v>189</v>
      </c>
      <c r="J16" s="612" t="s">
        <v>599</v>
      </c>
      <c r="K16" s="612"/>
      <c r="L16" s="614">
        <v>37.137219666864148</v>
      </c>
      <c r="M16" s="614">
        <v>108</v>
      </c>
      <c r="N16" s="615">
        <v>4010.8197240213276</v>
      </c>
    </row>
    <row r="17" spans="1:14" ht="14.4" customHeight="1" x14ac:dyDescent="0.3">
      <c r="A17" s="610" t="s">
        <v>538</v>
      </c>
      <c r="B17" s="611" t="s">
        <v>539</v>
      </c>
      <c r="C17" s="612" t="s">
        <v>544</v>
      </c>
      <c r="D17" s="613" t="s">
        <v>1192</v>
      </c>
      <c r="E17" s="612" t="s">
        <v>558</v>
      </c>
      <c r="F17" s="613" t="s">
        <v>1195</v>
      </c>
      <c r="G17" s="612" t="s">
        <v>559</v>
      </c>
      <c r="H17" s="612" t="s">
        <v>600</v>
      </c>
      <c r="I17" s="612" t="s">
        <v>601</v>
      </c>
      <c r="J17" s="612" t="s">
        <v>602</v>
      </c>
      <c r="K17" s="612" t="s">
        <v>603</v>
      </c>
      <c r="L17" s="614">
        <v>62.986372074716122</v>
      </c>
      <c r="M17" s="614">
        <v>3</v>
      </c>
      <c r="N17" s="615">
        <v>188.95911622414837</v>
      </c>
    </row>
    <row r="18" spans="1:14" ht="14.4" customHeight="1" x14ac:dyDescent="0.3">
      <c r="A18" s="610" t="s">
        <v>538</v>
      </c>
      <c r="B18" s="611" t="s">
        <v>539</v>
      </c>
      <c r="C18" s="612" t="s">
        <v>544</v>
      </c>
      <c r="D18" s="613" t="s">
        <v>1192</v>
      </c>
      <c r="E18" s="612" t="s">
        <v>558</v>
      </c>
      <c r="F18" s="613" t="s">
        <v>1195</v>
      </c>
      <c r="G18" s="612" t="s">
        <v>559</v>
      </c>
      <c r="H18" s="612" t="s">
        <v>604</v>
      </c>
      <c r="I18" s="612" t="s">
        <v>605</v>
      </c>
      <c r="J18" s="612" t="s">
        <v>606</v>
      </c>
      <c r="K18" s="612" t="s">
        <v>607</v>
      </c>
      <c r="L18" s="614">
        <v>50.88981350989004</v>
      </c>
      <c r="M18" s="614">
        <v>3</v>
      </c>
      <c r="N18" s="615">
        <v>152.66944052967011</v>
      </c>
    </row>
    <row r="19" spans="1:14" ht="14.4" customHeight="1" x14ac:dyDescent="0.3">
      <c r="A19" s="610" t="s">
        <v>538</v>
      </c>
      <c r="B19" s="611" t="s">
        <v>539</v>
      </c>
      <c r="C19" s="612" t="s">
        <v>544</v>
      </c>
      <c r="D19" s="613" t="s">
        <v>1192</v>
      </c>
      <c r="E19" s="612" t="s">
        <v>558</v>
      </c>
      <c r="F19" s="613" t="s">
        <v>1195</v>
      </c>
      <c r="G19" s="612" t="s">
        <v>559</v>
      </c>
      <c r="H19" s="612" t="s">
        <v>608</v>
      </c>
      <c r="I19" s="612" t="s">
        <v>189</v>
      </c>
      <c r="J19" s="612" t="s">
        <v>609</v>
      </c>
      <c r="K19" s="612"/>
      <c r="L19" s="614">
        <v>41.365900669098799</v>
      </c>
      <c r="M19" s="614">
        <v>12</v>
      </c>
      <c r="N19" s="615">
        <v>496.39080802918556</v>
      </c>
    </row>
    <row r="20" spans="1:14" ht="14.4" customHeight="1" x14ac:dyDescent="0.3">
      <c r="A20" s="610" t="s">
        <v>538</v>
      </c>
      <c r="B20" s="611" t="s">
        <v>539</v>
      </c>
      <c r="C20" s="612" t="s">
        <v>544</v>
      </c>
      <c r="D20" s="613" t="s">
        <v>1192</v>
      </c>
      <c r="E20" s="612" t="s">
        <v>558</v>
      </c>
      <c r="F20" s="613" t="s">
        <v>1195</v>
      </c>
      <c r="G20" s="612" t="s">
        <v>559</v>
      </c>
      <c r="H20" s="612" t="s">
        <v>610</v>
      </c>
      <c r="I20" s="612" t="s">
        <v>610</v>
      </c>
      <c r="J20" s="612" t="s">
        <v>611</v>
      </c>
      <c r="K20" s="612" t="s">
        <v>612</v>
      </c>
      <c r="L20" s="614">
        <v>75.616337858036928</v>
      </c>
      <c r="M20" s="614">
        <v>14</v>
      </c>
      <c r="N20" s="615">
        <v>1058.6287300125171</v>
      </c>
    </row>
    <row r="21" spans="1:14" ht="14.4" customHeight="1" x14ac:dyDescent="0.3">
      <c r="A21" s="610" t="s">
        <v>538</v>
      </c>
      <c r="B21" s="611" t="s">
        <v>539</v>
      </c>
      <c r="C21" s="612" t="s">
        <v>544</v>
      </c>
      <c r="D21" s="613" t="s">
        <v>1192</v>
      </c>
      <c r="E21" s="612" t="s">
        <v>558</v>
      </c>
      <c r="F21" s="613" t="s">
        <v>1195</v>
      </c>
      <c r="G21" s="612" t="s">
        <v>559</v>
      </c>
      <c r="H21" s="612" t="s">
        <v>613</v>
      </c>
      <c r="I21" s="612" t="s">
        <v>614</v>
      </c>
      <c r="J21" s="612" t="s">
        <v>615</v>
      </c>
      <c r="K21" s="612" t="s">
        <v>616</v>
      </c>
      <c r="L21" s="614">
        <v>59.563036437415469</v>
      </c>
      <c r="M21" s="614">
        <v>105</v>
      </c>
      <c r="N21" s="615">
        <v>6254.1188259286246</v>
      </c>
    </row>
    <row r="22" spans="1:14" ht="14.4" customHeight="1" x14ac:dyDescent="0.3">
      <c r="A22" s="610" t="s">
        <v>538</v>
      </c>
      <c r="B22" s="611" t="s">
        <v>539</v>
      </c>
      <c r="C22" s="612" t="s">
        <v>544</v>
      </c>
      <c r="D22" s="613" t="s">
        <v>1192</v>
      </c>
      <c r="E22" s="612" t="s">
        <v>558</v>
      </c>
      <c r="F22" s="613" t="s">
        <v>1195</v>
      </c>
      <c r="G22" s="612" t="s">
        <v>559</v>
      </c>
      <c r="H22" s="612" t="s">
        <v>617</v>
      </c>
      <c r="I22" s="612" t="s">
        <v>189</v>
      </c>
      <c r="J22" s="612" t="s">
        <v>618</v>
      </c>
      <c r="K22" s="612" t="s">
        <v>619</v>
      </c>
      <c r="L22" s="614">
        <v>23.700268607418309</v>
      </c>
      <c r="M22" s="614">
        <v>180</v>
      </c>
      <c r="N22" s="615">
        <v>4266.0483493352958</v>
      </c>
    </row>
    <row r="23" spans="1:14" ht="14.4" customHeight="1" x14ac:dyDescent="0.3">
      <c r="A23" s="610" t="s">
        <v>538</v>
      </c>
      <c r="B23" s="611" t="s">
        <v>539</v>
      </c>
      <c r="C23" s="612" t="s">
        <v>544</v>
      </c>
      <c r="D23" s="613" t="s">
        <v>1192</v>
      </c>
      <c r="E23" s="612" t="s">
        <v>558</v>
      </c>
      <c r="F23" s="613" t="s">
        <v>1195</v>
      </c>
      <c r="G23" s="612" t="s">
        <v>559</v>
      </c>
      <c r="H23" s="612" t="s">
        <v>620</v>
      </c>
      <c r="I23" s="612" t="s">
        <v>189</v>
      </c>
      <c r="J23" s="612" t="s">
        <v>621</v>
      </c>
      <c r="K23" s="612" t="s">
        <v>622</v>
      </c>
      <c r="L23" s="614">
        <v>199.67000000000004</v>
      </c>
      <c r="M23" s="614">
        <v>1</v>
      </c>
      <c r="N23" s="615">
        <v>199.67000000000004</v>
      </c>
    </row>
    <row r="24" spans="1:14" ht="14.4" customHeight="1" x14ac:dyDescent="0.3">
      <c r="A24" s="610" t="s">
        <v>538</v>
      </c>
      <c r="B24" s="611" t="s">
        <v>539</v>
      </c>
      <c r="C24" s="612" t="s">
        <v>544</v>
      </c>
      <c r="D24" s="613" t="s">
        <v>1192</v>
      </c>
      <c r="E24" s="612" t="s">
        <v>558</v>
      </c>
      <c r="F24" s="613" t="s">
        <v>1195</v>
      </c>
      <c r="G24" s="612" t="s">
        <v>559</v>
      </c>
      <c r="H24" s="612" t="s">
        <v>623</v>
      </c>
      <c r="I24" s="612" t="s">
        <v>624</v>
      </c>
      <c r="J24" s="612" t="s">
        <v>625</v>
      </c>
      <c r="K24" s="612" t="s">
        <v>626</v>
      </c>
      <c r="L24" s="614">
        <v>163.81</v>
      </c>
      <c r="M24" s="614">
        <v>1</v>
      </c>
      <c r="N24" s="615">
        <v>163.81</v>
      </c>
    </row>
    <row r="25" spans="1:14" ht="14.4" customHeight="1" x14ac:dyDescent="0.3">
      <c r="A25" s="610" t="s">
        <v>538</v>
      </c>
      <c r="B25" s="611" t="s">
        <v>539</v>
      </c>
      <c r="C25" s="612" t="s">
        <v>544</v>
      </c>
      <c r="D25" s="613" t="s">
        <v>1192</v>
      </c>
      <c r="E25" s="612" t="s">
        <v>558</v>
      </c>
      <c r="F25" s="613" t="s">
        <v>1195</v>
      </c>
      <c r="G25" s="612" t="s">
        <v>559</v>
      </c>
      <c r="H25" s="612" t="s">
        <v>627</v>
      </c>
      <c r="I25" s="612" t="s">
        <v>579</v>
      </c>
      <c r="J25" s="612" t="s">
        <v>628</v>
      </c>
      <c r="K25" s="612"/>
      <c r="L25" s="614">
        <v>268.41180399691126</v>
      </c>
      <c r="M25" s="614">
        <v>3</v>
      </c>
      <c r="N25" s="615">
        <v>805.23541199073372</v>
      </c>
    </row>
    <row r="26" spans="1:14" ht="14.4" customHeight="1" x14ac:dyDescent="0.3">
      <c r="A26" s="610" t="s">
        <v>538</v>
      </c>
      <c r="B26" s="611" t="s">
        <v>539</v>
      </c>
      <c r="C26" s="612" t="s">
        <v>544</v>
      </c>
      <c r="D26" s="613" t="s">
        <v>1192</v>
      </c>
      <c r="E26" s="612" t="s">
        <v>558</v>
      </c>
      <c r="F26" s="613" t="s">
        <v>1195</v>
      </c>
      <c r="G26" s="612" t="s">
        <v>559</v>
      </c>
      <c r="H26" s="612" t="s">
        <v>629</v>
      </c>
      <c r="I26" s="612" t="s">
        <v>189</v>
      </c>
      <c r="J26" s="612" t="s">
        <v>630</v>
      </c>
      <c r="K26" s="612"/>
      <c r="L26" s="614">
        <v>179.77685953396059</v>
      </c>
      <c r="M26" s="614">
        <v>1</v>
      </c>
      <c r="N26" s="615">
        <v>179.77685953396059</v>
      </c>
    </row>
    <row r="27" spans="1:14" ht="14.4" customHeight="1" x14ac:dyDescent="0.3">
      <c r="A27" s="610" t="s">
        <v>538</v>
      </c>
      <c r="B27" s="611" t="s">
        <v>539</v>
      </c>
      <c r="C27" s="612" t="s">
        <v>544</v>
      </c>
      <c r="D27" s="613" t="s">
        <v>1192</v>
      </c>
      <c r="E27" s="612" t="s">
        <v>558</v>
      </c>
      <c r="F27" s="613" t="s">
        <v>1195</v>
      </c>
      <c r="G27" s="612" t="s">
        <v>559</v>
      </c>
      <c r="H27" s="612" t="s">
        <v>631</v>
      </c>
      <c r="I27" s="612" t="s">
        <v>189</v>
      </c>
      <c r="J27" s="612" t="s">
        <v>632</v>
      </c>
      <c r="K27" s="612"/>
      <c r="L27" s="614">
        <v>36.056991735695824</v>
      </c>
      <c r="M27" s="614">
        <v>1</v>
      </c>
      <c r="N27" s="615">
        <v>36.056991735695824</v>
      </c>
    </row>
    <row r="28" spans="1:14" ht="14.4" customHeight="1" x14ac:dyDescent="0.3">
      <c r="A28" s="610" t="s">
        <v>538</v>
      </c>
      <c r="B28" s="611" t="s">
        <v>539</v>
      </c>
      <c r="C28" s="612" t="s">
        <v>544</v>
      </c>
      <c r="D28" s="613" t="s">
        <v>1192</v>
      </c>
      <c r="E28" s="612" t="s">
        <v>558</v>
      </c>
      <c r="F28" s="613" t="s">
        <v>1195</v>
      </c>
      <c r="G28" s="612" t="s">
        <v>559</v>
      </c>
      <c r="H28" s="612" t="s">
        <v>633</v>
      </c>
      <c r="I28" s="612" t="s">
        <v>634</v>
      </c>
      <c r="J28" s="612" t="s">
        <v>635</v>
      </c>
      <c r="K28" s="612" t="s">
        <v>636</v>
      </c>
      <c r="L28" s="614">
        <v>32.83</v>
      </c>
      <c r="M28" s="614">
        <v>1</v>
      </c>
      <c r="N28" s="615">
        <v>32.83</v>
      </c>
    </row>
    <row r="29" spans="1:14" ht="14.4" customHeight="1" x14ac:dyDescent="0.3">
      <c r="A29" s="610" t="s">
        <v>538</v>
      </c>
      <c r="B29" s="611" t="s">
        <v>539</v>
      </c>
      <c r="C29" s="612" t="s">
        <v>544</v>
      </c>
      <c r="D29" s="613" t="s">
        <v>1192</v>
      </c>
      <c r="E29" s="612" t="s">
        <v>558</v>
      </c>
      <c r="F29" s="613" t="s">
        <v>1195</v>
      </c>
      <c r="G29" s="612" t="s">
        <v>559</v>
      </c>
      <c r="H29" s="612" t="s">
        <v>637</v>
      </c>
      <c r="I29" s="612" t="s">
        <v>638</v>
      </c>
      <c r="J29" s="612" t="s">
        <v>639</v>
      </c>
      <c r="K29" s="612" t="s">
        <v>640</v>
      </c>
      <c r="L29" s="614">
        <v>84.548666666666662</v>
      </c>
      <c r="M29" s="614">
        <v>3</v>
      </c>
      <c r="N29" s="615">
        <v>253.64599999999999</v>
      </c>
    </row>
    <row r="30" spans="1:14" ht="14.4" customHeight="1" x14ac:dyDescent="0.3">
      <c r="A30" s="610" t="s">
        <v>538</v>
      </c>
      <c r="B30" s="611" t="s">
        <v>539</v>
      </c>
      <c r="C30" s="612" t="s">
        <v>544</v>
      </c>
      <c r="D30" s="613" t="s">
        <v>1192</v>
      </c>
      <c r="E30" s="612" t="s">
        <v>558</v>
      </c>
      <c r="F30" s="613" t="s">
        <v>1195</v>
      </c>
      <c r="G30" s="612" t="s">
        <v>559</v>
      </c>
      <c r="H30" s="612" t="s">
        <v>641</v>
      </c>
      <c r="I30" s="612" t="s">
        <v>642</v>
      </c>
      <c r="J30" s="612" t="s">
        <v>643</v>
      </c>
      <c r="K30" s="612" t="s">
        <v>644</v>
      </c>
      <c r="L30" s="614">
        <v>50.160018674685567</v>
      </c>
      <c r="M30" s="614">
        <v>1</v>
      </c>
      <c r="N30" s="615">
        <v>50.160018674685567</v>
      </c>
    </row>
    <row r="31" spans="1:14" ht="14.4" customHeight="1" x14ac:dyDescent="0.3">
      <c r="A31" s="610" t="s">
        <v>538</v>
      </c>
      <c r="B31" s="611" t="s">
        <v>539</v>
      </c>
      <c r="C31" s="612" t="s">
        <v>544</v>
      </c>
      <c r="D31" s="613" t="s">
        <v>1192</v>
      </c>
      <c r="E31" s="612" t="s">
        <v>558</v>
      </c>
      <c r="F31" s="613" t="s">
        <v>1195</v>
      </c>
      <c r="G31" s="612" t="s">
        <v>559</v>
      </c>
      <c r="H31" s="612" t="s">
        <v>645</v>
      </c>
      <c r="I31" s="612" t="s">
        <v>646</v>
      </c>
      <c r="J31" s="612" t="s">
        <v>647</v>
      </c>
      <c r="K31" s="612" t="s">
        <v>648</v>
      </c>
      <c r="L31" s="614">
        <v>664.74999999999989</v>
      </c>
      <c r="M31" s="614">
        <v>1</v>
      </c>
      <c r="N31" s="615">
        <v>664.74999999999989</v>
      </c>
    </row>
    <row r="32" spans="1:14" ht="14.4" customHeight="1" x14ac:dyDescent="0.3">
      <c r="A32" s="610" t="s">
        <v>538</v>
      </c>
      <c r="B32" s="611" t="s">
        <v>539</v>
      </c>
      <c r="C32" s="612" t="s">
        <v>544</v>
      </c>
      <c r="D32" s="613" t="s">
        <v>1192</v>
      </c>
      <c r="E32" s="612" t="s">
        <v>558</v>
      </c>
      <c r="F32" s="613" t="s">
        <v>1195</v>
      </c>
      <c r="G32" s="612" t="s">
        <v>559</v>
      </c>
      <c r="H32" s="612" t="s">
        <v>649</v>
      </c>
      <c r="I32" s="612" t="s">
        <v>650</v>
      </c>
      <c r="J32" s="612" t="s">
        <v>625</v>
      </c>
      <c r="K32" s="612" t="s">
        <v>651</v>
      </c>
      <c r="L32" s="614">
        <v>107.39436582444998</v>
      </c>
      <c r="M32" s="614">
        <v>13</v>
      </c>
      <c r="N32" s="615">
        <v>1396.1267557178496</v>
      </c>
    </row>
    <row r="33" spans="1:14" ht="14.4" customHeight="1" x14ac:dyDescent="0.3">
      <c r="A33" s="610" t="s">
        <v>538</v>
      </c>
      <c r="B33" s="611" t="s">
        <v>539</v>
      </c>
      <c r="C33" s="612" t="s">
        <v>544</v>
      </c>
      <c r="D33" s="613" t="s">
        <v>1192</v>
      </c>
      <c r="E33" s="612" t="s">
        <v>558</v>
      </c>
      <c r="F33" s="613" t="s">
        <v>1195</v>
      </c>
      <c r="G33" s="612" t="s">
        <v>559</v>
      </c>
      <c r="H33" s="612" t="s">
        <v>652</v>
      </c>
      <c r="I33" s="612" t="s">
        <v>189</v>
      </c>
      <c r="J33" s="612" t="s">
        <v>653</v>
      </c>
      <c r="K33" s="612"/>
      <c r="L33" s="614">
        <v>86.839746587674938</v>
      </c>
      <c r="M33" s="614">
        <v>33</v>
      </c>
      <c r="N33" s="615">
        <v>2865.7116373932731</v>
      </c>
    </row>
    <row r="34" spans="1:14" ht="14.4" customHeight="1" x14ac:dyDescent="0.3">
      <c r="A34" s="610" t="s">
        <v>538</v>
      </c>
      <c r="B34" s="611" t="s">
        <v>539</v>
      </c>
      <c r="C34" s="612" t="s">
        <v>544</v>
      </c>
      <c r="D34" s="613" t="s">
        <v>1192</v>
      </c>
      <c r="E34" s="612" t="s">
        <v>558</v>
      </c>
      <c r="F34" s="613" t="s">
        <v>1195</v>
      </c>
      <c r="G34" s="612" t="s">
        <v>559</v>
      </c>
      <c r="H34" s="612" t="s">
        <v>654</v>
      </c>
      <c r="I34" s="612" t="s">
        <v>189</v>
      </c>
      <c r="J34" s="612" t="s">
        <v>655</v>
      </c>
      <c r="K34" s="612"/>
      <c r="L34" s="614">
        <v>55.642467580630736</v>
      </c>
      <c r="M34" s="614">
        <v>70</v>
      </c>
      <c r="N34" s="615">
        <v>3894.9727306441514</v>
      </c>
    </row>
    <row r="35" spans="1:14" ht="14.4" customHeight="1" x14ac:dyDescent="0.3">
      <c r="A35" s="610" t="s">
        <v>538</v>
      </c>
      <c r="B35" s="611" t="s">
        <v>539</v>
      </c>
      <c r="C35" s="612" t="s">
        <v>544</v>
      </c>
      <c r="D35" s="613" t="s">
        <v>1192</v>
      </c>
      <c r="E35" s="612" t="s">
        <v>558</v>
      </c>
      <c r="F35" s="613" t="s">
        <v>1195</v>
      </c>
      <c r="G35" s="612" t="s">
        <v>559</v>
      </c>
      <c r="H35" s="612" t="s">
        <v>656</v>
      </c>
      <c r="I35" s="612" t="s">
        <v>657</v>
      </c>
      <c r="J35" s="612" t="s">
        <v>658</v>
      </c>
      <c r="K35" s="612" t="s">
        <v>659</v>
      </c>
      <c r="L35" s="614">
        <v>1901.9099999999996</v>
      </c>
      <c r="M35" s="614">
        <v>1</v>
      </c>
      <c r="N35" s="615">
        <v>1901.9099999999996</v>
      </c>
    </row>
    <row r="36" spans="1:14" ht="14.4" customHeight="1" x14ac:dyDescent="0.3">
      <c r="A36" s="610" t="s">
        <v>538</v>
      </c>
      <c r="B36" s="611" t="s">
        <v>539</v>
      </c>
      <c r="C36" s="612" t="s">
        <v>544</v>
      </c>
      <c r="D36" s="613" t="s">
        <v>1192</v>
      </c>
      <c r="E36" s="612" t="s">
        <v>558</v>
      </c>
      <c r="F36" s="613" t="s">
        <v>1195</v>
      </c>
      <c r="G36" s="612" t="s">
        <v>559</v>
      </c>
      <c r="H36" s="612" t="s">
        <v>660</v>
      </c>
      <c r="I36" s="612" t="s">
        <v>189</v>
      </c>
      <c r="J36" s="612" t="s">
        <v>661</v>
      </c>
      <c r="K36" s="612"/>
      <c r="L36" s="614">
        <v>83.782449162631153</v>
      </c>
      <c r="M36" s="614">
        <v>160</v>
      </c>
      <c r="N36" s="615">
        <v>13405.191866020985</v>
      </c>
    </row>
    <row r="37" spans="1:14" ht="14.4" customHeight="1" x14ac:dyDescent="0.3">
      <c r="A37" s="610" t="s">
        <v>538</v>
      </c>
      <c r="B37" s="611" t="s">
        <v>539</v>
      </c>
      <c r="C37" s="612" t="s">
        <v>544</v>
      </c>
      <c r="D37" s="613" t="s">
        <v>1192</v>
      </c>
      <c r="E37" s="612" t="s">
        <v>558</v>
      </c>
      <c r="F37" s="613" t="s">
        <v>1195</v>
      </c>
      <c r="G37" s="612" t="s">
        <v>559</v>
      </c>
      <c r="H37" s="612" t="s">
        <v>662</v>
      </c>
      <c r="I37" s="612" t="s">
        <v>189</v>
      </c>
      <c r="J37" s="612" t="s">
        <v>663</v>
      </c>
      <c r="K37" s="612"/>
      <c r="L37" s="614">
        <v>148.35386784042277</v>
      </c>
      <c r="M37" s="614">
        <v>3</v>
      </c>
      <c r="N37" s="615">
        <v>445.0616035212683</v>
      </c>
    </row>
    <row r="38" spans="1:14" ht="14.4" customHeight="1" x14ac:dyDescent="0.3">
      <c r="A38" s="610" t="s">
        <v>538</v>
      </c>
      <c r="B38" s="611" t="s">
        <v>539</v>
      </c>
      <c r="C38" s="612" t="s">
        <v>544</v>
      </c>
      <c r="D38" s="613" t="s">
        <v>1192</v>
      </c>
      <c r="E38" s="612" t="s">
        <v>558</v>
      </c>
      <c r="F38" s="613" t="s">
        <v>1195</v>
      </c>
      <c r="G38" s="612" t="s">
        <v>559</v>
      </c>
      <c r="H38" s="612" t="s">
        <v>664</v>
      </c>
      <c r="I38" s="612" t="s">
        <v>189</v>
      </c>
      <c r="J38" s="612" t="s">
        <v>665</v>
      </c>
      <c r="K38" s="612"/>
      <c r="L38" s="614">
        <v>48.57760558509294</v>
      </c>
      <c r="M38" s="614">
        <v>525</v>
      </c>
      <c r="N38" s="615">
        <v>25503.242932173795</v>
      </c>
    </row>
    <row r="39" spans="1:14" ht="14.4" customHeight="1" x14ac:dyDescent="0.3">
      <c r="A39" s="610" t="s">
        <v>538</v>
      </c>
      <c r="B39" s="611" t="s">
        <v>539</v>
      </c>
      <c r="C39" s="612" t="s">
        <v>544</v>
      </c>
      <c r="D39" s="613" t="s">
        <v>1192</v>
      </c>
      <c r="E39" s="612" t="s">
        <v>558</v>
      </c>
      <c r="F39" s="613" t="s">
        <v>1195</v>
      </c>
      <c r="G39" s="612" t="s">
        <v>559</v>
      </c>
      <c r="H39" s="612" t="s">
        <v>666</v>
      </c>
      <c r="I39" s="612" t="s">
        <v>189</v>
      </c>
      <c r="J39" s="612" t="s">
        <v>667</v>
      </c>
      <c r="K39" s="612"/>
      <c r="L39" s="614">
        <v>49.141434180740681</v>
      </c>
      <c r="M39" s="614">
        <v>5</v>
      </c>
      <c r="N39" s="615">
        <v>245.7071709037034</v>
      </c>
    </row>
    <row r="40" spans="1:14" ht="14.4" customHeight="1" x14ac:dyDescent="0.3">
      <c r="A40" s="610" t="s">
        <v>538</v>
      </c>
      <c r="B40" s="611" t="s">
        <v>539</v>
      </c>
      <c r="C40" s="612" t="s">
        <v>544</v>
      </c>
      <c r="D40" s="613" t="s">
        <v>1192</v>
      </c>
      <c r="E40" s="612" t="s">
        <v>558</v>
      </c>
      <c r="F40" s="613" t="s">
        <v>1195</v>
      </c>
      <c r="G40" s="612" t="s">
        <v>559</v>
      </c>
      <c r="H40" s="612" t="s">
        <v>668</v>
      </c>
      <c r="I40" s="612" t="s">
        <v>189</v>
      </c>
      <c r="J40" s="612" t="s">
        <v>669</v>
      </c>
      <c r="K40" s="612"/>
      <c r="L40" s="614">
        <v>120.00691915792103</v>
      </c>
      <c r="M40" s="614">
        <v>2</v>
      </c>
      <c r="N40" s="615">
        <v>240.01383831584207</v>
      </c>
    </row>
    <row r="41" spans="1:14" ht="14.4" customHeight="1" x14ac:dyDescent="0.3">
      <c r="A41" s="610" t="s">
        <v>538</v>
      </c>
      <c r="B41" s="611" t="s">
        <v>539</v>
      </c>
      <c r="C41" s="612" t="s">
        <v>544</v>
      </c>
      <c r="D41" s="613" t="s">
        <v>1192</v>
      </c>
      <c r="E41" s="612" t="s">
        <v>558</v>
      </c>
      <c r="F41" s="613" t="s">
        <v>1195</v>
      </c>
      <c r="G41" s="612" t="s">
        <v>559</v>
      </c>
      <c r="H41" s="612" t="s">
        <v>670</v>
      </c>
      <c r="I41" s="612" t="s">
        <v>189</v>
      </c>
      <c r="J41" s="612" t="s">
        <v>671</v>
      </c>
      <c r="K41" s="612"/>
      <c r="L41" s="614">
        <v>148.00966182651138</v>
      </c>
      <c r="M41" s="614">
        <v>1</v>
      </c>
      <c r="N41" s="615">
        <v>148.00966182651138</v>
      </c>
    </row>
    <row r="42" spans="1:14" ht="14.4" customHeight="1" x14ac:dyDescent="0.3">
      <c r="A42" s="610" t="s">
        <v>538</v>
      </c>
      <c r="B42" s="611" t="s">
        <v>539</v>
      </c>
      <c r="C42" s="612" t="s">
        <v>544</v>
      </c>
      <c r="D42" s="613" t="s">
        <v>1192</v>
      </c>
      <c r="E42" s="612" t="s">
        <v>558</v>
      </c>
      <c r="F42" s="613" t="s">
        <v>1195</v>
      </c>
      <c r="G42" s="612" t="s">
        <v>559</v>
      </c>
      <c r="H42" s="612" t="s">
        <v>672</v>
      </c>
      <c r="I42" s="612" t="s">
        <v>579</v>
      </c>
      <c r="J42" s="612" t="s">
        <v>673</v>
      </c>
      <c r="K42" s="612" t="s">
        <v>674</v>
      </c>
      <c r="L42" s="614">
        <v>158.8034738036576</v>
      </c>
      <c r="M42" s="614">
        <v>1</v>
      </c>
      <c r="N42" s="615">
        <v>158.8034738036576</v>
      </c>
    </row>
    <row r="43" spans="1:14" ht="14.4" customHeight="1" x14ac:dyDescent="0.3">
      <c r="A43" s="610" t="s">
        <v>538</v>
      </c>
      <c r="B43" s="611" t="s">
        <v>539</v>
      </c>
      <c r="C43" s="612" t="s">
        <v>544</v>
      </c>
      <c r="D43" s="613" t="s">
        <v>1192</v>
      </c>
      <c r="E43" s="612" t="s">
        <v>558</v>
      </c>
      <c r="F43" s="613" t="s">
        <v>1195</v>
      </c>
      <c r="G43" s="612" t="s">
        <v>559</v>
      </c>
      <c r="H43" s="612" t="s">
        <v>675</v>
      </c>
      <c r="I43" s="612" t="s">
        <v>189</v>
      </c>
      <c r="J43" s="612" t="s">
        <v>676</v>
      </c>
      <c r="K43" s="612" t="s">
        <v>677</v>
      </c>
      <c r="L43" s="614">
        <v>75.020430929007574</v>
      </c>
      <c r="M43" s="614">
        <v>1</v>
      </c>
      <c r="N43" s="615">
        <v>75.020430929007574</v>
      </c>
    </row>
    <row r="44" spans="1:14" ht="14.4" customHeight="1" x14ac:dyDescent="0.3">
      <c r="A44" s="610" t="s">
        <v>538</v>
      </c>
      <c r="B44" s="611" t="s">
        <v>539</v>
      </c>
      <c r="C44" s="612" t="s">
        <v>544</v>
      </c>
      <c r="D44" s="613" t="s">
        <v>1192</v>
      </c>
      <c r="E44" s="612" t="s">
        <v>558</v>
      </c>
      <c r="F44" s="613" t="s">
        <v>1195</v>
      </c>
      <c r="G44" s="612" t="s">
        <v>559</v>
      </c>
      <c r="H44" s="612" t="s">
        <v>678</v>
      </c>
      <c r="I44" s="612" t="s">
        <v>679</v>
      </c>
      <c r="J44" s="612" t="s">
        <v>680</v>
      </c>
      <c r="K44" s="612" t="s">
        <v>681</v>
      </c>
      <c r="L44" s="614">
        <v>65.340000000000018</v>
      </c>
      <c r="M44" s="614">
        <v>1</v>
      </c>
      <c r="N44" s="615">
        <v>65.340000000000018</v>
      </c>
    </row>
    <row r="45" spans="1:14" ht="14.4" customHeight="1" x14ac:dyDescent="0.3">
      <c r="A45" s="610" t="s">
        <v>538</v>
      </c>
      <c r="B45" s="611" t="s">
        <v>539</v>
      </c>
      <c r="C45" s="612" t="s">
        <v>544</v>
      </c>
      <c r="D45" s="613" t="s">
        <v>1192</v>
      </c>
      <c r="E45" s="612" t="s">
        <v>558</v>
      </c>
      <c r="F45" s="613" t="s">
        <v>1195</v>
      </c>
      <c r="G45" s="612" t="s">
        <v>559</v>
      </c>
      <c r="H45" s="612" t="s">
        <v>682</v>
      </c>
      <c r="I45" s="612" t="s">
        <v>683</v>
      </c>
      <c r="J45" s="612" t="s">
        <v>684</v>
      </c>
      <c r="K45" s="612" t="s">
        <v>685</v>
      </c>
      <c r="L45" s="614">
        <v>76.709999999999994</v>
      </c>
      <c r="M45" s="614">
        <v>2</v>
      </c>
      <c r="N45" s="615">
        <v>153.41999999999999</v>
      </c>
    </row>
    <row r="46" spans="1:14" ht="14.4" customHeight="1" x14ac:dyDescent="0.3">
      <c r="A46" s="610" t="s">
        <v>538</v>
      </c>
      <c r="B46" s="611" t="s">
        <v>539</v>
      </c>
      <c r="C46" s="612" t="s">
        <v>544</v>
      </c>
      <c r="D46" s="613" t="s">
        <v>1192</v>
      </c>
      <c r="E46" s="612" t="s">
        <v>558</v>
      </c>
      <c r="F46" s="613" t="s">
        <v>1195</v>
      </c>
      <c r="G46" s="612" t="s">
        <v>559</v>
      </c>
      <c r="H46" s="612" t="s">
        <v>686</v>
      </c>
      <c r="I46" s="612" t="s">
        <v>189</v>
      </c>
      <c r="J46" s="612" t="s">
        <v>687</v>
      </c>
      <c r="K46" s="612"/>
      <c r="L46" s="614">
        <v>331.66</v>
      </c>
      <c r="M46" s="614">
        <v>1</v>
      </c>
      <c r="N46" s="615">
        <v>331.66</v>
      </c>
    </row>
    <row r="47" spans="1:14" ht="14.4" customHeight="1" x14ac:dyDescent="0.3">
      <c r="A47" s="610" t="s">
        <v>538</v>
      </c>
      <c r="B47" s="611" t="s">
        <v>539</v>
      </c>
      <c r="C47" s="612" t="s">
        <v>544</v>
      </c>
      <c r="D47" s="613" t="s">
        <v>1192</v>
      </c>
      <c r="E47" s="612" t="s">
        <v>558</v>
      </c>
      <c r="F47" s="613" t="s">
        <v>1195</v>
      </c>
      <c r="G47" s="612" t="s">
        <v>559</v>
      </c>
      <c r="H47" s="612" t="s">
        <v>688</v>
      </c>
      <c r="I47" s="612" t="s">
        <v>688</v>
      </c>
      <c r="J47" s="612" t="s">
        <v>689</v>
      </c>
      <c r="K47" s="612" t="s">
        <v>690</v>
      </c>
      <c r="L47" s="614">
        <v>58.234123084814122</v>
      </c>
      <c r="M47" s="614">
        <v>255</v>
      </c>
      <c r="N47" s="615">
        <v>14849.701386627601</v>
      </c>
    </row>
    <row r="48" spans="1:14" ht="14.4" customHeight="1" x14ac:dyDescent="0.3">
      <c r="A48" s="610" t="s">
        <v>538</v>
      </c>
      <c r="B48" s="611" t="s">
        <v>539</v>
      </c>
      <c r="C48" s="612" t="s">
        <v>544</v>
      </c>
      <c r="D48" s="613" t="s">
        <v>1192</v>
      </c>
      <c r="E48" s="612" t="s">
        <v>558</v>
      </c>
      <c r="F48" s="613" t="s">
        <v>1195</v>
      </c>
      <c r="G48" s="612" t="s">
        <v>559</v>
      </c>
      <c r="H48" s="612" t="s">
        <v>691</v>
      </c>
      <c r="I48" s="612" t="s">
        <v>189</v>
      </c>
      <c r="J48" s="612" t="s">
        <v>692</v>
      </c>
      <c r="K48" s="612"/>
      <c r="L48" s="614">
        <v>36.840000000000011</v>
      </c>
      <c r="M48" s="614">
        <v>1</v>
      </c>
      <c r="N48" s="615">
        <v>36.840000000000011</v>
      </c>
    </row>
    <row r="49" spans="1:14" ht="14.4" customHeight="1" x14ac:dyDescent="0.3">
      <c r="A49" s="610" t="s">
        <v>538</v>
      </c>
      <c r="B49" s="611" t="s">
        <v>539</v>
      </c>
      <c r="C49" s="612" t="s">
        <v>544</v>
      </c>
      <c r="D49" s="613" t="s">
        <v>1192</v>
      </c>
      <c r="E49" s="612" t="s">
        <v>558</v>
      </c>
      <c r="F49" s="613" t="s">
        <v>1195</v>
      </c>
      <c r="G49" s="612" t="s">
        <v>559</v>
      </c>
      <c r="H49" s="612" t="s">
        <v>693</v>
      </c>
      <c r="I49" s="612" t="s">
        <v>189</v>
      </c>
      <c r="J49" s="612" t="s">
        <v>694</v>
      </c>
      <c r="K49" s="612"/>
      <c r="L49" s="614">
        <v>37.364767003071528</v>
      </c>
      <c r="M49" s="614">
        <v>4</v>
      </c>
      <c r="N49" s="615">
        <v>149.45906801228611</v>
      </c>
    </row>
    <row r="50" spans="1:14" ht="14.4" customHeight="1" x14ac:dyDescent="0.3">
      <c r="A50" s="610" t="s">
        <v>538</v>
      </c>
      <c r="B50" s="611" t="s">
        <v>539</v>
      </c>
      <c r="C50" s="612" t="s">
        <v>544</v>
      </c>
      <c r="D50" s="613" t="s">
        <v>1192</v>
      </c>
      <c r="E50" s="612" t="s">
        <v>558</v>
      </c>
      <c r="F50" s="613" t="s">
        <v>1195</v>
      </c>
      <c r="G50" s="612" t="s">
        <v>559</v>
      </c>
      <c r="H50" s="612" t="s">
        <v>695</v>
      </c>
      <c r="I50" s="612" t="s">
        <v>189</v>
      </c>
      <c r="J50" s="612" t="s">
        <v>696</v>
      </c>
      <c r="K50" s="612"/>
      <c r="L50" s="614">
        <v>149.46152884827299</v>
      </c>
      <c r="M50" s="614">
        <v>47</v>
      </c>
      <c r="N50" s="615">
        <v>7024.6918558688312</v>
      </c>
    </row>
    <row r="51" spans="1:14" ht="14.4" customHeight="1" x14ac:dyDescent="0.3">
      <c r="A51" s="610" t="s">
        <v>538</v>
      </c>
      <c r="B51" s="611" t="s">
        <v>539</v>
      </c>
      <c r="C51" s="612" t="s">
        <v>544</v>
      </c>
      <c r="D51" s="613" t="s">
        <v>1192</v>
      </c>
      <c r="E51" s="612" t="s">
        <v>558</v>
      </c>
      <c r="F51" s="613" t="s">
        <v>1195</v>
      </c>
      <c r="G51" s="612" t="s">
        <v>559</v>
      </c>
      <c r="H51" s="612" t="s">
        <v>697</v>
      </c>
      <c r="I51" s="612" t="s">
        <v>189</v>
      </c>
      <c r="J51" s="612" t="s">
        <v>698</v>
      </c>
      <c r="K51" s="612" t="s">
        <v>699</v>
      </c>
      <c r="L51" s="614">
        <v>44.102457416267946</v>
      </c>
      <c r="M51" s="614">
        <v>1</v>
      </c>
      <c r="N51" s="615">
        <v>44.102457416267946</v>
      </c>
    </row>
    <row r="52" spans="1:14" ht="14.4" customHeight="1" x14ac:dyDescent="0.3">
      <c r="A52" s="610" t="s">
        <v>538</v>
      </c>
      <c r="B52" s="611" t="s">
        <v>539</v>
      </c>
      <c r="C52" s="612" t="s">
        <v>544</v>
      </c>
      <c r="D52" s="613" t="s">
        <v>1192</v>
      </c>
      <c r="E52" s="612" t="s">
        <v>558</v>
      </c>
      <c r="F52" s="613" t="s">
        <v>1195</v>
      </c>
      <c r="G52" s="612" t="s">
        <v>559</v>
      </c>
      <c r="H52" s="612" t="s">
        <v>700</v>
      </c>
      <c r="I52" s="612" t="s">
        <v>700</v>
      </c>
      <c r="J52" s="612" t="s">
        <v>701</v>
      </c>
      <c r="K52" s="612" t="s">
        <v>702</v>
      </c>
      <c r="L52" s="614">
        <v>48.679942664589007</v>
      </c>
      <c r="M52" s="614">
        <v>5</v>
      </c>
      <c r="N52" s="615">
        <v>243.39971332294505</v>
      </c>
    </row>
    <row r="53" spans="1:14" ht="14.4" customHeight="1" x14ac:dyDescent="0.3">
      <c r="A53" s="610" t="s">
        <v>538</v>
      </c>
      <c r="B53" s="611" t="s">
        <v>539</v>
      </c>
      <c r="C53" s="612" t="s">
        <v>544</v>
      </c>
      <c r="D53" s="613" t="s">
        <v>1192</v>
      </c>
      <c r="E53" s="612" t="s">
        <v>703</v>
      </c>
      <c r="F53" s="613" t="s">
        <v>1196</v>
      </c>
      <c r="G53" s="612" t="s">
        <v>559</v>
      </c>
      <c r="H53" s="612" t="s">
        <v>704</v>
      </c>
      <c r="I53" s="612" t="s">
        <v>705</v>
      </c>
      <c r="J53" s="612" t="s">
        <v>706</v>
      </c>
      <c r="K53" s="612" t="s">
        <v>707</v>
      </c>
      <c r="L53" s="614">
        <v>40.25</v>
      </c>
      <c r="M53" s="614">
        <v>4</v>
      </c>
      <c r="N53" s="615">
        <v>161</v>
      </c>
    </row>
    <row r="54" spans="1:14" ht="14.4" customHeight="1" x14ac:dyDescent="0.3">
      <c r="A54" s="610" t="s">
        <v>538</v>
      </c>
      <c r="B54" s="611" t="s">
        <v>539</v>
      </c>
      <c r="C54" s="612" t="s">
        <v>544</v>
      </c>
      <c r="D54" s="613" t="s">
        <v>1192</v>
      </c>
      <c r="E54" s="612" t="s">
        <v>703</v>
      </c>
      <c r="F54" s="613" t="s">
        <v>1196</v>
      </c>
      <c r="G54" s="612" t="s">
        <v>559</v>
      </c>
      <c r="H54" s="612" t="s">
        <v>708</v>
      </c>
      <c r="I54" s="612" t="s">
        <v>709</v>
      </c>
      <c r="J54" s="612" t="s">
        <v>710</v>
      </c>
      <c r="K54" s="612" t="s">
        <v>711</v>
      </c>
      <c r="L54" s="614">
        <v>82.969826283948393</v>
      </c>
      <c r="M54" s="614">
        <v>2</v>
      </c>
      <c r="N54" s="615">
        <v>165.93965256789679</v>
      </c>
    </row>
    <row r="55" spans="1:14" ht="14.4" customHeight="1" x14ac:dyDescent="0.3">
      <c r="A55" s="610" t="s">
        <v>538</v>
      </c>
      <c r="B55" s="611" t="s">
        <v>539</v>
      </c>
      <c r="C55" s="612" t="s">
        <v>544</v>
      </c>
      <c r="D55" s="613" t="s">
        <v>1192</v>
      </c>
      <c r="E55" s="612" t="s">
        <v>703</v>
      </c>
      <c r="F55" s="613" t="s">
        <v>1196</v>
      </c>
      <c r="G55" s="612" t="s">
        <v>559</v>
      </c>
      <c r="H55" s="612" t="s">
        <v>712</v>
      </c>
      <c r="I55" s="612" t="s">
        <v>713</v>
      </c>
      <c r="J55" s="612" t="s">
        <v>714</v>
      </c>
      <c r="K55" s="612" t="s">
        <v>715</v>
      </c>
      <c r="L55" s="614">
        <v>23.529900036903584</v>
      </c>
      <c r="M55" s="614">
        <v>4</v>
      </c>
      <c r="N55" s="615">
        <v>94.119600147614335</v>
      </c>
    </row>
    <row r="56" spans="1:14" ht="14.4" customHeight="1" x14ac:dyDescent="0.3">
      <c r="A56" s="610" t="s">
        <v>538</v>
      </c>
      <c r="B56" s="611" t="s">
        <v>539</v>
      </c>
      <c r="C56" s="612" t="s">
        <v>544</v>
      </c>
      <c r="D56" s="613" t="s">
        <v>1192</v>
      </c>
      <c r="E56" s="612" t="s">
        <v>703</v>
      </c>
      <c r="F56" s="613" t="s">
        <v>1196</v>
      </c>
      <c r="G56" s="612" t="s">
        <v>559</v>
      </c>
      <c r="H56" s="612" t="s">
        <v>716</v>
      </c>
      <c r="I56" s="612" t="s">
        <v>717</v>
      </c>
      <c r="J56" s="612" t="s">
        <v>718</v>
      </c>
      <c r="K56" s="612" t="s">
        <v>719</v>
      </c>
      <c r="L56" s="614">
        <v>49.213967300243105</v>
      </c>
      <c r="M56" s="614">
        <v>62</v>
      </c>
      <c r="N56" s="615">
        <v>3051.2659726150723</v>
      </c>
    </row>
    <row r="57" spans="1:14" ht="14.4" customHeight="1" x14ac:dyDescent="0.3">
      <c r="A57" s="610" t="s">
        <v>538</v>
      </c>
      <c r="B57" s="611" t="s">
        <v>539</v>
      </c>
      <c r="C57" s="612" t="s">
        <v>544</v>
      </c>
      <c r="D57" s="613" t="s">
        <v>1192</v>
      </c>
      <c r="E57" s="612" t="s">
        <v>703</v>
      </c>
      <c r="F57" s="613" t="s">
        <v>1196</v>
      </c>
      <c r="G57" s="612" t="s">
        <v>559</v>
      </c>
      <c r="H57" s="612" t="s">
        <v>720</v>
      </c>
      <c r="I57" s="612" t="s">
        <v>721</v>
      </c>
      <c r="J57" s="612" t="s">
        <v>722</v>
      </c>
      <c r="K57" s="612" t="s">
        <v>723</v>
      </c>
      <c r="L57" s="614">
        <v>56.88</v>
      </c>
      <c r="M57" s="614">
        <v>1</v>
      </c>
      <c r="N57" s="615">
        <v>56.88</v>
      </c>
    </row>
    <row r="58" spans="1:14" ht="14.4" customHeight="1" x14ac:dyDescent="0.3">
      <c r="A58" s="610" t="s">
        <v>538</v>
      </c>
      <c r="B58" s="611" t="s">
        <v>539</v>
      </c>
      <c r="C58" s="612" t="s">
        <v>544</v>
      </c>
      <c r="D58" s="613" t="s">
        <v>1192</v>
      </c>
      <c r="E58" s="612" t="s">
        <v>703</v>
      </c>
      <c r="F58" s="613" t="s">
        <v>1196</v>
      </c>
      <c r="G58" s="612" t="s">
        <v>559</v>
      </c>
      <c r="H58" s="612" t="s">
        <v>724</v>
      </c>
      <c r="I58" s="612" t="s">
        <v>724</v>
      </c>
      <c r="J58" s="612" t="s">
        <v>725</v>
      </c>
      <c r="K58" s="612" t="s">
        <v>726</v>
      </c>
      <c r="L58" s="614">
        <v>72.640000000000015</v>
      </c>
      <c r="M58" s="614">
        <v>1</v>
      </c>
      <c r="N58" s="615">
        <v>72.640000000000015</v>
      </c>
    </row>
    <row r="59" spans="1:14" ht="14.4" customHeight="1" x14ac:dyDescent="0.3">
      <c r="A59" s="610" t="s">
        <v>538</v>
      </c>
      <c r="B59" s="611" t="s">
        <v>539</v>
      </c>
      <c r="C59" s="612" t="s">
        <v>544</v>
      </c>
      <c r="D59" s="613" t="s">
        <v>1192</v>
      </c>
      <c r="E59" s="612" t="s">
        <v>703</v>
      </c>
      <c r="F59" s="613" t="s">
        <v>1196</v>
      </c>
      <c r="G59" s="612" t="s">
        <v>727</v>
      </c>
      <c r="H59" s="612" t="s">
        <v>728</v>
      </c>
      <c r="I59" s="612" t="s">
        <v>729</v>
      </c>
      <c r="J59" s="612" t="s">
        <v>730</v>
      </c>
      <c r="K59" s="612" t="s">
        <v>731</v>
      </c>
      <c r="L59" s="614">
        <v>137.48844562051306</v>
      </c>
      <c r="M59" s="614">
        <v>19</v>
      </c>
      <c r="N59" s="615">
        <v>2612.2804667897481</v>
      </c>
    </row>
    <row r="60" spans="1:14" ht="14.4" customHeight="1" x14ac:dyDescent="0.3">
      <c r="A60" s="610" t="s">
        <v>538</v>
      </c>
      <c r="B60" s="611" t="s">
        <v>539</v>
      </c>
      <c r="C60" s="612" t="s">
        <v>544</v>
      </c>
      <c r="D60" s="613" t="s">
        <v>1192</v>
      </c>
      <c r="E60" s="612" t="s">
        <v>703</v>
      </c>
      <c r="F60" s="613" t="s">
        <v>1196</v>
      </c>
      <c r="G60" s="612" t="s">
        <v>727</v>
      </c>
      <c r="H60" s="612" t="s">
        <v>732</v>
      </c>
      <c r="I60" s="612" t="s">
        <v>733</v>
      </c>
      <c r="J60" s="612" t="s">
        <v>734</v>
      </c>
      <c r="K60" s="612" t="s">
        <v>735</v>
      </c>
      <c r="L60" s="614">
        <v>60.71366302082378</v>
      </c>
      <c r="M60" s="614">
        <v>8</v>
      </c>
      <c r="N60" s="615">
        <v>485.70930416659024</v>
      </c>
    </row>
    <row r="61" spans="1:14" ht="14.4" customHeight="1" x14ac:dyDescent="0.3">
      <c r="A61" s="610" t="s">
        <v>538</v>
      </c>
      <c r="B61" s="611" t="s">
        <v>539</v>
      </c>
      <c r="C61" s="612" t="s">
        <v>544</v>
      </c>
      <c r="D61" s="613" t="s">
        <v>1192</v>
      </c>
      <c r="E61" s="612" t="s">
        <v>736</v>
      </c>
      <c r="F61" s="613" t="s">
        <v>1197</v>
      </c>
      <c r="G61" s="612" t="s">
        <v>559</v>
      </c>
      <c r="H61" s="612" t="s">
        <v>737</v>
      </c>
      <c r="I61" s="612" t="s">
        <v>738</v>
      </c>
      <c r="J61" s="612" t="s">
        <v>739</v>
      </c>
      <c r="K61" s="612" t="s">
        <v>740</v>
      </c>
      <c r="L61" s="614">
        <v>98.949686797982451</v>
      </c>
      <c r="M61" s="614">
        <v>2</v>
      </c>
      <c r="N61" s="615">
        <v>197.8993735959649</v>
      </c>
    </row>
    <row r="62" spans="1:14" ht="14.4" customHeight="1" x14ac:dyDescent="0.3">
      <c r="A62" s="610" t="s">
        <v>538</v>
      </c>
      <c r="B62" s="611" t="s">
        <v>539</v>
      </c>
      <c r="C62" s="612" t="s">
        <v>544</v>
      </c>
      <c r="D62" s="613" t="s">
        <v>1192</v>
      </c>
      <c r="E62" s="612" t="s">
        <v>736</v>
      </c>
      <c r="F62" s="613" t="s">
        <v>1197</v>
      </c>
      <c r="G62" s="612" t="s">
        <v>559</v>
      </c>
      <c r="H62" s="612" t="s">
        <v>741</v>
      </c>
      <c r="I62" s="612" t="s">
        <v>742</v>
      </c>
      <c r="J62" s="612" t="s">
        <v>743</v>
      </c>
      <c r="K62" s="612" t="s">
        <v>744</v>
      </c>
      <c r="L62" s="614">
        <v>95.812199119402933</v>
      </c>
      <c r="M62" s="614">
        <v>16</v>
      </c>
      <c r="N62" s="615">
        <v>1532.9951859104469</v>
      </c>
    </row>
    <row r="63" spans="1:14" ht="14.4" customHeight="1" x14ac:dyDescent="0.3">
      <c r="A63" s="610" t="s">
        <v>538</v>
      </c>
      <c r="B63" s="611" t="s">
        <v>539</v>
      </c>
      <c r="C63" s="612" t="s">
        <v>544</v>
      </c>
      <c r="D63" s="613" t="s">
        <v>1192</v>
      </c>
      <c r="E63" s="612" t="s">
        <v>736</v>
      </c>
      <c r="F63" s="613" t="s">
        <v>1197</v>
      </c>
      <c r="G63" s="612" t="s">
        <v>559</v>
      </c>
      <c r="H63" s="612" t="s">
        <v>745</v>
      </c>
      <c r="I63" s="612" t="s">
        <v>746</v>
      </c>
      <c r="J63" s="612" t="s">
        <v>747</v>
      </c>
      <c r="K63" s="612" t="s">
        <v>748</v>
      </c>
      <c r="L63" s="614">
        <v>85.400000000000063</v>
      </c>
      <c r="M63" s="614">
        <v>1</v>
      </c>
      <c r="N63" s="615">
        <v>85.400000000000063</v>
      </c>
    </row>
    <row r="64" spans="1:14" ht="14.4" customHeight="1" x14ac:dyDescent="0.3">
      <c r="A64" s="610" t="s">
        <v>538</v>
      </c>
      <c r="B64" s="611" t="s">
        <v>539</v>
      </c>
      <c r="C64" s="612" t="s">
        <v>544</v>
      </c>
      <c r="D64" s="613" t="s">
        <v>1192</v>
      </c>
      <c r="E64" s="612" t="s">
        <v>749</v>
      </c>
      <c r="F64" s="613" t="s">
        <v>1198</v>
      </c>
      <c r="G64" s="612"/>
      <c r="H64" s="612"/>
      <c r="I64" s="612" t="s">
        <v>750</v>
      </c>
      <c r="J64" s="612" t="s">
        <v>751</v>
      </c>
      <c r="K64" s="612"/>
      <c r="L64" s="614">
        <v>1048.74</v>
      </c>
      <c r="M64" s="614">
        <v>5</v>
      </c>
      <c r="N64" s="615">
        <v>5243.7</v>
      </c>
    </row>
    <row r="65" spans="1:14" ht="14.4" customHeight="1" x14ac:dyDescent="0.3">
      <c r="A65" s="610" t="s">
        <v>538</v>
      </c>
      <c r="B65" s="611" t="s">
        <v>539</v>
      </c>
      <c r="C65" s="612" t="s">
        <v>549</v>
      </c>
      <c r="D65" s="613" t="s">
        <v>1193</v>
      </c>
      <c r="E65" s="612" t="s">
        <v>558</v>
      </c>
      <c r="F65" s="613" t="s">
        <v>1195</v>
      </c>
      <c r="G65" s="612" t="s">
        <v>559</v>
      </c>
      <c r="H65" s="612" t="s">
        <v>560</v>
      </c>
      <c r="I65" s="612" t="s">
        <v>560</v>
      </c>
      <c r="J65" s="612" t="s">
        <v>561</v>
      </c>
      <c r="K65" s="612" t="s">
        <v>562</v>
      </c>
      <c r="L65" s="614">
        <v>171.59999999999997</v>
      </c>
      <c r="M65" s="614">
        <v>8</v>
      </c>
      <c r="N65" s="615">
        <v>1372.7999999999997</v>
      </c>
    </row>
    <row r="66" spans="1:14" ht="14.4" customHeight="1" x14ac:dyDescent="0.3">
      <c r="A66" s="610" t="s">
        <v>538</v>
      </c>
      <c r="B66" s="611" t="s">
        <v>539</v>
      </c>
      <c r="C66" s="612" t="s">
        <v>549</v>
      </c>
      <c r="D66" s="613" t="s">
        <v>1193</v>
      </c>
      <c r="E66" s="612" t="s">
        <v>558</v>
      </c>
      <c r="F66" s="613" t="s">
        <v>1195</v>
      </c>
      <c r="G66" s="612" t="s">
        <v>559</v>
      </c>
      <c r="H66" s="612" t="s">
        <v>563</v>
      </c>
      <c r="I66" s="612" t="s">
        <v>563</v>
      </c>
      <c r="J66" s="612" t="s">
        <v>564</v>
      </c>
      <c r="K66" s="612" t="s">
        <v>565</v>
      </c>
      <c r="L66" s="614">
        <v>223.1181818181818</v>
      </c>
      <c r="M66" s="614">
        <v>11</v>
      </c>
      <c r="N66" s="615">
        <v>2454.2999999999997</v>
      </c>
    </row>
    <row r="67" spans="1:14" ht="14.4" customHeight="1" x14ac:dyDescent="0.3">
      <c r="A67" s="610" t="s">
        <v>538</v>
      </c>
      <c r="B67" s="611" t="s">
        <v>539</v>
      </c>
      <c r="C67" s="612" t="s">
        <v>549</v>
      </c>
      <c r="D67" s="613" t="s">
        <v>1193</v>
      </c>
      <c r="E67" s="612" t="s">
        <v>558</v>
      </c>
      <c r="F67" s="613" t="s">
        <v>1195</v>
      </c>
      <c r="G67" s="612" t="s">
        <v>559</v>
      </c>
      <c r="H67" s="612" t="s">
        <v>566</v>
      </c>
      <c r="I67" s="612" t="s">
        <v>567</v>
      </c>
      <c r="J67" s="612" t="s">
        <v>568</v>
      </c>
      <c r="K67" s="612" t="s">
        <v>569</v>
      </c>
      <c r="L67" s="614">
        <v>87.030000000000015</v>
      </c>
      <c r="M67" s="614">
        <v>2</v>
      </c>
      <c r="N67" s="615">
        <v>174.06000000000003</v>
      </c>
    </row>
    <row r="68" spans="1:14" ht="14.4" customHeight="1" x14ac:dyDescent="0.3">
      <c r="A68" s="610" t="s">
        <v>538</v>
      </c>
      <c r="B68" s="611" t="s">
        <v>539</v>
      </c>
      <c r="C68" s="612" t="s">
        <v>549</v>
      </c>
      <c r="D68" s="613" t="s">
        <v>1193</v>
      </c>
      <c r="E68" s="612" t="s">
        <v>558</v>
      </c>
      <c r="F68" s="613" t="s">
        <v>1195</v>
      </c>
      <c r="G68" s="612" t="s">
        <v>559</v>
      </c>
      <c r="H68" s="612" t="s">
        <v>570</v>
      </c>
      <c r="I68" s="612" t="s">
        <v>571</v>
      </c>
      <c r="J68" s="612" t="s">
        <v>572</v>
      </c>
      <c r="K68" s="612" t="s">
        <v>573</v>
      </c>
      <c r="L68" s="614">
        <v>96.819559954538946</v>
      </c>
      <c r="M68" s="614">
        <v>4</v>
      </c>
      <c r="N68" s="615">
        <v>387.27823981815578</v>
      </c>
    </row>
    <row r="69" spans="1:14" ht="14.4" customHeight="1" x14ac:dyDescent="0.3">
      <c r="A69" s="610" t="s">
        <v>538</v>
      </c>
      <c r="B69" s="611" t="s">
        <v>539</v>
      </c>
      <c r="C69" s="612" t="s">
        <v>549</v>
      </c>
      <c r="D69" s="613" t="s">
        <v>1193</v>
      </c>
      <c r="E69" s="612" t="s">
        <v>558</v>
      </c>
      <c r="F69" s="613" t="s">
        <v>1195</v>
      </c>
      <c r="G69" s="612" t="s">
        <v>559</v>
      </c>
      <c r="H69" s="612" t="s">
        <v>574</v>
      </c>
      <c r="I69" s="612" t="s">
        <v>575</v>
      </c>
      <c r="J69" s="612" t="s">
        <v>576</v>
      </c>
      <c r="K69" s="612" t="s">
        <v>577</v>
      </c>
      <c r="L69" s="614">
        <v>79.711049894400745</v>
      </c>
      <c r="M69" s="614">
        <v>8</v>
      </c>
      <c r="N69" s="615">
        <v>637.68839915520596</v>
      </c>
    </row>
    <row r="70" spans="1:14" ht="14.4" customHeight="1" x14ac:dyDescent="0.3">
      <c r="A70" s="610" t="s">
        <v>538</v>
      </c>
      <c r="B70" s="611" t="s">
        <v>539</v>
      </c>
      <c r="C70" s="612" t="s">
        <v>549</v>
      </c>
      <c r="D70" s="613" t="s">
        <v>1193</v>
      </c>
      <c r="E70" s="612" t="s">
        <v>558</v>
      </c>
      <c r="F70" s="613" t="s">
        <v>1195</v>
      </c>
      <c r="G70" s="612" t="s">
        <v>559</v>
      </c>
      <c r="H70" s="612" t="s">
        <v>578</v>
      </c>
      <c r="I70" s="612" t="s">
        <v>579</v>
      </c>
      <c r="J70" s="612" t="s">
        <v>580</v>
      </c>
      <c r="K70" s="612" t="s">
        <v>581</v>
      </c>
      <c r="L70" s="614">
        <v>44.53992041481829</v>
      </c>
      <c r="M70" s="614">
        <v>20</v>
      </c>
      <c r="N70" s="615">
        <v>890.79840829636578</v>
      </c>
    </row>
    <row r="71" spans="1:14" ht="14.4" customHeight="1" x14ac:dyDescent="0.3">
      <c r="A71" s="610" t="s">
        <v>538</v>
      </c>
      <c r="B71" s="611" t="s">
        <v>539</v>
      </c>
      <c r="C71" s="612" t="s">
        <v>549</v>
      </c>
      <c r="D71" s="613" t="s">
        <v>1193</v>
      </c>
      <c r="E71" s="612" t="s">
        <v>558</v>
      </c>
      <c r="F71" s="613" t="s">
        <v>1195</v>
      </c>
      <c r="G71" s="612" t="s">
        <v>559</v>
      </c>
      <c r="H71" s="612" t="s">
        <v>752</v>
      </c>
      <c r="I71" s="612" t="s">
        <v>753</v>
      </c>
      <c r="J71" s="612" t="s">
        <v>754</v>
      </c>
      <c r="K71" s="612" t="s">
        <v>755</v>
      </c>
      <c r="L71" s="614">
        <v>66.634416949311571</v>
      </c>
      <c r="M71" s="614">
        <v>2</v>
      </c>
      <c r="N71" s="615">
        <v>133.26883389862314</v>
      </c>
    </row>
    <row r="72" spans="1:14" ht="14.4" customHeight="1" x14ac:dyDescent="0.3">
      <c r="A72" s="610" t="s">
        <v>538</v>
      </c>
      <c r="B72" s="611" t="s">
        <v>539</v>
      </c>
      <c r="C72" s="612" t="s">
        <v>549</v>
      </c>
      <c r="D72" s="613" t="s">
        <v>1193</v>
      </c>
      <c r="E72" s="612" t="s">
        <v>558</v>
      </c>
      <c r="F72" s="613" t="s">
        <v>1195</v>
      </c>
      <c r="G72" s="612" t="s">
        <v>559</v>
      </c>
      <c r="H72" s="612" t="s">
        <v>582</v>
      </c>
      <c r="I72" s="612" t="s">
        <v>583</v>
      </c>
      <c r="J72" s="612" t="s">
        <v>584</v>
      </c>
      <c r="K72" s="612" t="s">
        <v>585</v>
      </c>
      <c r="L72" s="614">
        <v>39.049999999999983</v>
      </c>
      <c r="M72" s="614">
        <v>2</v>
      </c>
      <c r="N72" s="615">
        <v>78.099999999999966</v>
      </c>
    </row>
    <row r="73" spans="1:14" ht="14.4" customHeight="1" x14ac:dyDescent="0.3">
      <c r="A73" s="610" t="s">
        <v>538</v>
      </c>
      <c r="B73" s="611" t="s">
        <v>539</v>
      </c>
      <c r="C73" s="612" t="s">
        <v>549</v>
      </c>
      <c r="D73" s="613" t="s">
        <v>1193</v>
      </c>
      <c r="E73" s="612" t="s">
        <v>558</v>
      </c>
      <c r="F73" s="613" t="s">
        <v>1195</v>
      </c>
      <c r="G73" s="612" t="s">
        <v>559</v>
      </c>
      <c r="H73" s="612" t="s">
        <v>756</v>
      </c>
      <c r="I73" s="612" t="s">
        <v>757</v>
      </c>
      <c r="J73" s="612" t="s">
        <v>758</v>
      </c>
      <c r="K73" s="612" t="s">
        <v>759</v>
      </c>
      <c r="L73" s="614">
        <v>149.25</v>
      </c>
      <c r="M73" s="614">
        <v>1</v>
      </c>
      <c r="N73" s="615">
        <v>149.25</v>
      </c>
    </row>
    <row r="74" spans="1:14" ht="14.4" customHeight="1" x14ac:dyDescent="0.3">
      <c r="A74" s="610" t="s">
        <v>538</v>
      </c>
      <c r="B74" s="611" t="s">
        <v>539</v>
      </c>
      <c r="C74" s="612" t="s">
        <v>549</v>
      </c>
      <c r="D74" s="613" t="s">
        <v>1193</v>
      </c>
      <c r="E74" s="612" t="s">
        <v>558</v>
      </c>
      <c r="F74" s="613" t="s">
        <v>1195</v>
      </c>
      <c r="G74" s="612" t="s">
        <v>559</v>
      </c>
      <c r="H74" s="612" t="s">
        <v>586</v>
      </c>
      <c r="I74" s="612" t="s">
        <v>189</v>
      </c>
      <c r="J74" s="612" t="s">
        <v>587</v>
      </c>
      <c r="K74" s="612"/>
      <c r="L74" s="614">
        <v>97.320286021685206</v>
      </c>
      <c r="M74" s="614">
        <v>19</v>
      </c>
      <c r="N74" s="615">
        <v>1849.0854344120189</v>
      </c>
    </row>
    <row r="75" spans="1:14" ht="14.4" customHeight="1" x14ac:dyDescent="0.3">
      <c r="A75" s="610" t="s">
        <v>538</v>
      </c>
      <c r="B75" s="611" t="s">
        <v>539</v>
      </c>
      <c r="C75" s="612" t="s">
        <v>549</v>
      </c>
      <c r="D75" s="613" t="s">
        <v>1193</v>
      </c>
      <c r="E75" s="612" t="s">
        <v>558</v>
      </c>
      <c r="F75" s="613" t="s">
        <v>1195</v>
      </c>
      <c r="G75" s="612" t="s">
        <v>559</v>
      </c>
      <c r="H75" s="612" t="s">
        <v>760</v>
      </c>
      <c r="I75" s="612" t="s">
        <v>761</v>
      </c>
      <c r="J75" s="612" t="s">
        <v>762</v>
      </c>
      <c r="K75" s="612"/>
      <c r="L75" s="614">
        <v>134.09999999999997</v>
      </c>
      <c r="M75" s="614">
        <v>5</v>
      </c>
      <c r="N75" s="615">
        <v>670.49999999999989</v>
      </c>
    </row>
    <row r="76" spans="1:14" ht="14.4" customHeight="1" x14ac:dyDescent="0.3">
      <c r="A76" s="610" t="s">
        <v>538</v>
      </c>
      <c r="B76" s="611" t="s">
        <v>539</v>
      </c>
      <c r="C76" s="612" t="s">
        <v>549</v>
      </c>
      <c r="D76" s="613" t="s">
        <v>1193</v>
      </c>
      <c r="E76" s="612" t="s">
        <v>558</v>
      </c>
      <c r="F76" s="613" t="s">
        <v>1195</v>
      </c>
      <c r="G76" s="612" t="s">
        <v>559</v>
      </c>
      <c r="H76" s="612" t="s">
        <v>590</v>
      </c>
      <c r="I76" s="612" t="s">
        <v>591</v>
      </c>
      <c r="J76" s="612" t="s">
        <v>592</v>
      </c>
      <c r="K76" s="612" t="s">
        <v>593</v>
      </c>
      <c r="L76" s="614">
        <v>40.669999999999987</v>
      </c>
      <c r="M76" s="614">
        <v>1</v>
      </c>
      <c r="N76" s="615">
        <v>40.669999999999987</v>
      </c>
    </row>
    <row r="77" spans="1:14" ht="14.4" customHeight="1" x14ac:dyDescent="0.3">
      <c r="A77" s="610" t="s">
        <v>538</v>
      </c>
      <c r="B77" s="611" t="s">
        <v>539</v>
      </c>
      <c r="C77" s="612" t="s">
        <v>549</v>
      </c>
      <c r="D77" s="613" t="s">
        <v>1193</v>
      </c>
      <c r="E77" s="612" t="s">
        <v>558</v>
      </c>
      <c r="F77" s="613" t="s">
        <v>1195</v>
      </c>
      <c r="G77" s="612" t="s">
        <v>559</v>
      </c>
      <c r="H77" s="612" t="s">
        <v>763</v>
      </c>
      <c r="I77" s="612" t="s">
        <v>189</v>
      </c>
      <c r="J77" s="612" t="s">
        <v>764</v>
      </c>
      <c r="K77" s="612"/>
      <c r="L77" s="614">
        <v>37.4345</v>
      </c>
      <c r="M77" s="614">
        <v>30</v>
      </c>
      <c r="N77" s="615">
        <v>1123.0350000000001</v>
      </c>
    </row>
    <row r="78" spans="1:14" ht="14.4" customHeight="1" x14ac:dyDescent="0.3">
      <c r="A78" s="610" t="s">
        <v>538</v>
      </c>
      <c r="B78" s="611" t="s">
        <v>539</v>
      </c>
      <c r="C78" s="612" t="s">
        <v>549</v>
      </c>
      <c r="D78" s="613" t="s">
        <v>1193</v>
      </c>
      <c r="E78" s="612" t="s">
        <v>558</v>
      </c>
      <c r="F78" s="613" t="s">
        <v>1195</v>
      </c>
      <c r="G78" s="612" t="s">
        <v>559</v>
      </c>
      <c r="H78" s="612" t="s">
        <v>594</v>
      </c>
      <c r="I78" s="612" t="s">
        <v>595</v>
      </c>
      <c r="J78" s="612" t="s">
        <v>596</v>
      </c>
      <c r="K78" s="612" t="s">
        <v>597</v>
      </c>
      <c r="L78" s="614">
        <v>201.51154791379253</v>
      </c>
      <c r="M78" s="614">
        <v>4</v>
      </c>
      <c r="N78" s="615">
        <v>806.04619165517011</v>
      </c>
    </row>
    <row r="79" spans="1:14" ht="14.4" customHeight="1" x14ac:dyDescent="0.3">
      <c r="A79" s="610" t="s">
        <v>538</v>
      </c>
      <c r="B79" s="611" t="s">
        <v>539</v>
      </c>
      <c r="C79" s="612" t="s">
        <v>549</v>
      </c>
      <c r="D79" s="613" t="s">
        <v>1193</v>
      </c>
      <c r="E79" s="612" t="s">
        <v>558</v>
      </c>
      <c r="F79" s="613" t="s">
        <v>1195</v>
      </c>
      <c r="G79" s="612" t="s">
        <v>559</v>
      </c>
      <c r="H79" s="612" t="s">
        <v>598</v>
      </c>
      <c r="I79" s="612" t="s">
        <v>189</v>
      </c>
      <c r="J79" s="612" t="s">
        <v>599</v>
      </c>
      <c r="K79" s="612"/>
      <c r="L79" s="614">
        <v>37.461625581981252</v>
      </c>
      <c r="M79" s="614">
        <v>288</v>
      </c>
      <c r="N79" s="615">
        <v>10788.948167610601</v>
      </c>
    </row>
    <row r="80" spans="1:14" ht="14.4" customHeight="1" x14ac:dyDescent="0.3">
      <c r="A80" s="610" t="s">
        <v>538</v>
      </c>
      <c r="B80" s="611" t="s">
        <v>539</v>
      </c>
      <c r="C80" s="612" t="s">
        <v>549</v>
      </c>
      <c r="D80" s="613" t="s">
        <v>1193</v>
      </c>
      <c r="E80" s="612" t="s">
        <v>558</v>
      </c>
      <c r="F80" s="613" t="s">
        <v>1195</v>
      </c>
      <c r="G80" s="612" t="s">
        <v>559</v>
      </c>
      <c r="H80" s="612" t="s">
        <v>600</v>
      </c>
      <c r="I80" s="612" t="s">
        <v>601</v>
      </c>
      <c r="J80" s="612" t="s">
        <v>602</v>
      </c>
      <c r="K80" s="612" t="s">
        <v>603</v>
      </c>
      <c r="L80" s="614">
        <v>69.84989432651011</v>
      </c>
      <c r="M80" s="614">
        <v>1</v>
      </c>
      <c r="N80" s="615">
        <v>69.84989432651011</v>
      </c>
    </row>
    <row r="81" spans="1:14" ht="14.4" customHeight="1" x14ac:dyDescent="0.3">
      <c r="A81" s="610" t="s">
        <v>538</v>
      </c>
      <c r="B81" s="611" t="s">
        <v>539</v>
      </c>
      <c r="C81" s="612" t="s">
        <v>549</v>
      </c>
      <c r="D81" s="613" t="s">
        <v>1193</v>
      </c>
      <c r="E81" s="612" t="s">
        <v>558</v>
      </c>
      <c r="F81" s="613" t="s">
        <v>1195</v>
      </c>
      <c r="G81" s="612" t="s">
        <v>559</v>
      </c>
      <c r="H81" s="612" t="s">
        <v>608</v>
      </c>
      <c r="I81" s="612" t="s">
        <v>189</v>
      </c>
      <c r="J81" s="612" t="s">
        <v>609</v>
      </c>
      <c r="K81" s="612"/>
      <c r="L81" s="614">
        <v>275.31261533299789</v>
      </c>
      <c r="M81" s="614">
        <v>1</v>
      </c>
      <c r="N81" s="615">
        <v>275.31261533299789</v>
      </c>
    </row>
    <row r="82" spans="1:14" ht="14.4" customHeight="1" x14ac:dyDescent="0.3">
      <c r="A82" s="610" t="s">
        <v>538</v>
      </c>
      <c r="B82" s="611" t="s">
        <v>539</v>
      </c>
      <c r="C82" s="612" t="s">
        <v>549</v>
      </c>
      <c r="D82" s="613" t="s">
        <v>1193</v>
      </c>
      <c r="E82" s="612" t="s">
        <v>558</v>
      </c>
      <c r="F82" s="613" t="s">
        <v>1195</v>
      </c>
      <c r="G82" s="612" t="s">
        <v>559</v>
      </c>
      <c r="H82" s="612" t="s">
        <v>610</v>
      </c>
      <c r="I82" s="612" t="s">
        <v>610</v>
      </c>
      <c r="J82" s="612" t="s">
        <v>611</v>
      </c>
      <c r="K82" s="612" t="s">
        <v>612</v>
      </c>
      <c r="L82" s="614">
        <v>75.582697121845925</v>
      </c>
      <c r="M82" s="614">
        <v>45</v>
      </c>
      <c r="N82" s="615">
        <v>3401.2213704830665</v>
      </c>
    </row>
    <row r="83" spans="1:14" ht="14.4" customHeight="1" x14ac:dyDescent="0.3">
      <c r="A83" s="610" t="s">
        <v>538</v>
      </c>
      <c r="B83" s="611" t="s">
        <v>539</v>
      </c>
      <c r="C83" s="612" t="s">
        <v>549</v>
      </c>
      <c r="D83" s="613" t="s">
        <v>1193</v>
      </c>
      <c r="E83" s="612" t="s">
        <v>558</v>
      </c>
      <c r="F83" s="613" t="s">
        <v>1195</v>
      </c>
      <c r="G83" s="612" t="s">
        <v>559</v>
      </c>
      <c r="H83" s="612" t="s">
        <v>613</v>
      </c>
      <c r="I83" s="612" t="s">
        <v>614</v>
      </c>
      <c r="J83" s="612" t="s">
        <v>615</v>
      </c>
      <c r="K83" s="612" t="s">
        <v>616</v>
      </c>
      <c r="L83" s="614">
        <v>60.444027586602886</v>
      </c>
      <c r="M83" s="614">
        <v>68</v>
      </c>
      <c r="N83" s="615">
        <v>4110.1938758889964</v>
      </c>
    </row>
    <row r="84" spans="1:14" ht="14.4" customHeight="1" x14ac:dyDescent="0.3">
      <c r="A84" s="610" t="s">
        <v>538</v>
      </c>
      <c r="B84" s="611" t="s">
        <v>539</v>
      </c>
      <c r="C84" s="612" t="s">
        <v>549</v>
      </c>
      <c r="D84" s="613" t="s">
        <v>1193</v>
      </c>
      <c r="E84" s="612" t="s">
        <v>558</v>
      </c>
      <c r="F84" s="613" t="s">
        <v>1195</v>
      </c>
      <c r="G84" s="612" t="s">
        <v>559</v>
      </c>
      <c r="H84" s="612" t="s">
        <v>617</v>
      </c>
      <c r="I84" s="612" t="s">
        <v>189</v>
      </c>
      <c r="J84" s="612" t="s">
        <v>618</v>
      </c>
      <c r="K84" s="612" t="s">
        <v>619</v>
      </c>
      <c r="L84" s="614">
        <v>23.700183317397165</v>
      </c>
      <c r="M84" s="614">
        <v>426</v>
      </c>
      <c r="N84" s="615">
        <v>10096.278093211193</v>
      </c>
    </row>
    <row r="85" spans="1:14" ht="14.4" customHeight="1" x14ac:dyDescent="0.3">
      <c r="A85" s="610" t="s">
        <v>538</v>
      </c>
      <c r="B85" s="611" t="s">
        <v>539</v>
      </c>
      <c r="C85" s="612" t="s">
        <v>549</v>
      </c>
      <c r="D85" s="613" t="s">
        <v>1193</v>
      </c>
      <c r="E85" s="612" t="s">
        <v>558</v>
      </c>
      <c r="F85" s="613" t="s">
        <v>1195</v>
      </c>
      <c r="G85" s="612" t="s">
        <v>559</v>
      </c>
      <c r="H85" s="612" t="s">
        <v>765</v>
      </c>
      <c r="I85" s="612" t="s">
        <v>766</v>
      </c>
      <c r="J85" s="612" t="s">
        <v>767</v>
      </c>
      <c r="K85" s="612" t="s">
        <v>768</v>
      </c>
      <c r="L85" s="614">
        <v>22.130000000000003</v>
      </c>
      <c r="M85" s="614">
        <v>5</v>
      </c>
      <c r="N85" s="615">
        <v>110.65</v>
      </c>
    </row>
    <row r="86" spans="1:14" ht="14.4" customHeight="1" x14ac:dyDescent="0.3">
      <c r="A86" s="610" t="s">
        <v>538</v>
      </c>
      <c r="B86" s="611" t="s">
        <v>539</v>
      </c>
      <c r="C86" s="612" t="s">
        <v>549</v>
      </c>
      <c r="D86" s="613" t="s">
        <v>1193</v>
      </c>
      <c r="E86" s="612" t="s">
        <v>558</v>
      </c>
      <c r="F86" s="613" t="s">
        <v>1195</v>
      </c>
      <c r="G86" s="612" t="s">
        <v>559</v>
      </c>
      <c r="H86" s="612" t="s">
        <v>769</v>
      </c>
      <c r="I86" s="612" t="s">
        <v>770</v>
      </c>
      <c r="J86" s="612" t="s">
        <v>771</v>
      </c>
      <c r="K86" s="612" t="s">
        <v>772</v>
      </c>
      <c r="L86" s="614">
        <v>33.917648723484319</v>
      </c>
      <c r="M86" s="614">
        <v>5</v>
      </c>
      <c r="N86" s="615">
        <v>169.5882436174216</v>
      </c>
    </row>
    <row r="87" spans="1:14" ht="14.4" customHeight="1" x14ac:dyDescent="0.3">
      <c r="A87" s="610" t="s">
        <v>538</v>
      </c>
      <c r="B87" s="611" t="s">
        <v>539</v>
      </c>
      <c r="C87" s="612" t="s">
        <v>549</v>
      </c>
      <c r="D87" s="613" t="s">
        <v>1193</v>
      </c>
      <c r="E87" s="612" t="s">
        <v>558</v>
      </c>
      <c r="F87" s="613" t="s">
        <v>1195</v>
      </c>
      <c r="G87" s="612" t="s">
        <v>559</v>
      </c>
      <c r="H87" s="612" t="s">
        <v>620</v>
      </c>
      <c r="I87" s="612" t="s">
        <v>189</v>
      </c>
      <c r="J87" s="612" t="s">
        <v>621</v>
      </c>
      <c r="K87" s="612" t="s">
        <v>622</v>
      </c>
      <c r="L87" s="614">
        <v>199.67000000000004</v>
      </c>
      <c r="M87" s="614">
        <v>4</v>
      </c>
      <c r="N87" s="615">
        <v>798.68000000000018</v>
      </c>
    </row>
    <row r="88" spans="1:14" ht="14.4" customHeight="1" x14ac:dyDescent="0.3">
      <c r="A88" s="610" t="s">
        <v>538</v>
      </c>
      <c r="B88" s="611" t="s">
        <v>539</v>
      </c>
      <c r="C88" s="612" t="s">
        <v>549</v>
      </c>
      <c r="D88" s="613" t="s">
        <v>1193</v>
      </c>
      <c r="E88" s="612" t="s">
        <v>558</v>
      </c>
      <c r="F88" s="613" t="s">
        <v>1195</v>
      </c>
      <c r="G88" s="612" t="s">
        <v>559</v>
      </c>
      <c r="H88" s="612" t="s">
        <v>773</v>
      </c>
      <c r="I88" s="612" t="s">
        <v>774</v>
      </c>
      <c r="J88" s="612" t="s">
        <v>775</v>
      </c>
      <c r="K88" s="612" t="s">
        <v>776</v>
      </c>
      <c r="L88" s="614">
        <v>70.678314915182298</v>
      </c>
      <c r="M88" s="614">
        <v>6</v>
      </c>
      <c r="N88" s="615">
        <v>424.06988949109376</v>
      </c>
    </row>
    <row r="89" spans="1:14" ht="14.4" customHeight="1" x14ac:dyDescent="0.3">
      <c r="A89" s="610" t="s">
        <v>538</v>
      </c>
      <c r="B89" s="611" t="s">
        <v>539</v>
      </c>
      <c r="C89" s="612" t="s">
        <v>549</v>
      </c>
      <c r="D89" s="613" t="s">
        <v>1193</v>
      </c>
      <c r="E89" s="612" t="s">
        <v>558</v>
      </c>
      <c r="F89" s="613" t="s">
        <v>1195</v>
      </c>
      <c r="G89" s="612" t="s">
        <v>559</v>
      </c>
      <c r="H89" s="612" t="s">
        <v>777</v>
      </c>
      <c r="I89" s="612" t="s">
        <v>778</v>
      </c>
      <c r="J89" s="612" t="s">
        <v>779</v>
      </c>
      <c r="K89" s="612" t="s">
        <v>780</v>
      </c>
      <c r="L89" s="614">
        <v>72.72999999999999</v>
      </c>
      <c r="M89" s="614">
        <v>2</v>
      </c>
      <c r="N89" s="615">
        <v>145.45999999999998</v>
      </c>
    </row>
    <row r="90" spans="1:14" ht="14.4" customHeight="1" x14ac:dyDescent="0.3">
      <c r="A90" s="610" t="s">
        <v>538</v>
      </c>
      <c r="B90" s="611" t="s">
        <v>539</v>
      </c>
      <c r="C90" s="612" t="s">
        <v>549</v>
      </c>
      <c r="D90" s="613" t="s">
        <v>1193</v>
      </c>
      <c r="E90" s="612" t="s">
        <v>558</v>
      </c>
      <c r="F90" s="613" t="s">
        <v>1195</v>
      </c>
      <c r="G90" s="612" t="s">
        <v>559</v>
      </c>
      <c r="H90" s="612" t="s">
        <v>627</v>
      </c>
      <c r="I90" s="612" t="s">
        <v>579</v>
      </c>
      <c r="J90" s="612" t="s">
        <v>628</v>
      </c>
      <c r="K90" s="612"/>
      <c r="L90" s="614">
        <v>395.60393776995511</v>
      </c>
      <c r="M90" s="614">
        <v>4</v>
      </c>
      <c r="N90" s="615">
        <v>1582.4157510798204</v>
      </c>
    </row>
    <row r="91" spans="1:14" ht="14.4" customHeight="1" x14ac:dyDescent="0.3">
      <c r="A91" s="610" t="s">
        <v>538</v>
      </c>
      <c r="B91" s="611" t="s">
        <v>539</v>
      </c>
      <c r="C91" s="612" t="s">
        <v>549</v>
      </c>
      <c r="D91" s="613" t="s">
        <v>1193</v>
      </c>
      <c r="E91" s="612" t="s">
        <v>558</v>
      </c>
      <c r="F91" s="613" t="s">
        <v>1195</v>
      </c>
      <c r="G91" s="612" t="s">
        <v>559</v>
      </c>
      <c r="H91" s="612" t="s">
        <v>629</v>
      </c>
      <c r="I91" s="612" t="s">
        <v>189</v>
      </c>
      <c r="J91" s="612" t="s">
        <v>630</v>
      </c>
      <c r="K91" s="612"/>
      <c r="L91" s="614">
        <v>184.44940026340913</v>
      </c>
      <c r="M91" s="614">
        <v>1</v>
      </c>
      <c r="N91" s="615">
        <v>184.44940026340913</v>
      </c>
    </row>
    <row r="92" spans="1:14" ht="14.4" customHeight="1" x14ac:dyDescent="0.3">
      <c r="A92" s="610" t="s">
        <v>538</v>
      </c>
      <c r="B92" s="611" t="s">
        <v>539</v>
      </c>
      <c r="C92" s="612" t="s">
        <v>549</v>
      </c>
      <c r="D92" s="613" t="s">
        <v>1193</v>
      </c>
      <c r="E92" s="612" t="s">
        <v>558</v>
      </c>
      <c r="F92" s="613" t="s">
        <v>1195</v>
      </c>
      <c r="G92" s="612" t="s">
        <v>559</v>
      </c>
      <c r="H92" s="612" t="s">
        <v>781</v>
      </c>
      <c r="I92" s="612" t="s">
        <v>189</v>
      </c>
      <c r="J92" s="612" t="s">
        <v>782</v>
      </c>
      <c r="K92" s="612"/>
      <c r="L92" s="614">
        <v>52.175703837624887</v>
      </c>
      <c r="M92" s="614">
        <v>2</v>
      </c>
      <c r="N92" s="615">
        <v>104.35140767524977</v>
      </c>
    </row>
    <row r="93" spans="1:14" ht="14.4" customHeight="1" x14ac:dyDescent="0.3">
      <c r="A93" s="610" t="s">
        <v>538</v>
      </c>
      <c r="B93" s="611" t="s">
        <v>539</v>
      </c>
      <c r="C93" s="612" t="s">
        <v>549</v>
      </c>
      <c r="D93" s="613" t="s">
        <v>1193</v>
      </c>
      <c r="E93" s="612" t="s">
        <v>558</v>
      </c>
      <c r="F93" s="613" t="s">
        <v>1195</v>
      </c>
      <c r="G93" s="612" t="s">
        <v>559</v>
      </c>
      <c r="H93" s="612" t="s">
        <v>637</v>
      </c>
      <c r="I93" s="612" t="s">
        <v>638</v>
      </c>
      <c r="J93" s="612" t="s">
        <v>639</v>
      </c>
      <c r="K93" s="612" t="s">
        <v>640</v>
      </c>
      <c r="L93" s="614">
        <v>84.55</v>
      </c>
      <c r="M93" s="614">
        <v>1</v>
      </c>
      <c r="N93" s="615">
        <v>84.55</v>
      </c>
    </row>
    <row r="94" spans="1:14" ht="14.4" customHeight="1" x14ac:dyDescent="0.3">
      <c r="A94" s="610" t="s">
        <v>538</v>
      </c>
      <c r="B94" s="611" t="s">
        <v>539</v>
      </c>
      <c r="C94" s="612" t="s">
        <v>549</v>
      </c>
      <c r="D94" s="613" t="s">
        <v>1193</v>
      </c>
      <c r="E94" s="612" t="s">
        <v>558</v>
      </c>
      <c r="F94" s="613" t="s">
        <v>1195</v>
      </c>
      <c r="G94" s="612" t="s">
        <v>559</v>
      </c>
      <c r="H94" s="612" t="s">
        <v>654</v>
      </c>
      <c r="I94" s="612" t="s">
        <v>189</v>
      </c>
      <c r="J94" s="612" t="s">
        <v>655</v>
      </c>
      <c r="K94" s="612"/>
      <c r="L94" s="614">
        <v>55.152662259640223</v>
      </c>
      <c r="M94" s="614">
        <v>21</v>
      </c>
      <c r="N94" s="615">
        <v>1158.2059074524448</v>
      </c>
    </row>
    <row r="95" spans="1:14" ht="14.4" customHeight="1" x14ac:dyDescent="0.3">
      <c r="A95" s="610" t="s">
        <v>538</v>
      </c>
      <c r="B95" s="611" t="s">
        <v>539</v>
      </c>
      <c r="C95" s="612" t="s">
        <v>549</v>
      </c>
      <c r="D95" s="613" t="s">
        <v>1193</v>
      </c>
      <c r="E95" s="612" t="s">
        <v>558</v>
      </c>
      <c r="F95" s="613" t="s">
        <v>1195</v>
      </c>
      <c r="G95" s="612" t="s">
        <v>559</v>
      </c>
      <c r="H95" s="612" t="s">
        <v>664</v>
      </c>
      <c r="I95" s="612" t="s">
        <v>189</v>
      </c>
      <c r="J95" s="612" t="s">
        <v>665</v>
      </c>
      <c r="K95" s="612"/>
      <c r="L95" s="614">
        <v>49.060755445956417</v>
      </c>
      <c r="M95" s="614">
        <v>100</v>
      </c>
      <c r="N95" s="615">
        <v>4906.075544595642</v>
      </c>
    </row>
    <row r="96" spans="1:14" ht="14.4" customHeight="1" x14ac:dyDescent="0.3">
      <c r="A96" s="610" t="s">
        <v>538</v>
      </c>
      <c r="B96" s="611" t="s">
        <v>539</v>
      </c>
      <c r="C96" s="612" t="s">
        <v>549</v>
      </c>
      <c r="D96" s="613" t="s">
        <v>1193</v>
      </c>
      <c r="E96" s="612" t="s">
        <v>558</v>
      </c>
      <c r="F96" s="613" t="s">
        <v>1195</v>
      </c>
      <c r="G96" s="612" t="s">
        <v>559</v>
      </c>
      <c r="H96" s="612" t="s">
        <v>666</v>
      </c>
      <c r="I96" s="612" t="s">
        <v>189</v>
      </c>
      <c r="J96" s="612" t="s">
        <v>667</v>
      </c>
      <c r="K96" s="612"/>
      <c r="L96" s="614">
        <v>51.894041736475813</v>
      </c>
      <c r="M96" s="614">
        <v>4</v>
      </c>
      <c r="N96" s="615">
        <v>207.57616694590325</v>
      </c>
    </row>
    <row r="97" spans="1:14" ht="14.4" customHeight="1" x14ac:dyDescent="0.3">
      <c r="A97" s="610" t="s">
        <v>538</v>
      </c>
      <c r="B97" s="611" t="s">
        <v>539</v>
      </c>
      <c r="C97" s="612" t="s">
        <v>549</v>
      </c>
      <c r="D97" s="613" t="s">
        <v>1193</v>
      </c>
      <c r="E97" s="612" t="s">
        <v>558</v>
      </c>
      <c r="F97" s="613" t="s">
        <v>1195</v>
      </c>
      <c r="G97" s="612" t="s">
        <v>559</v>
      </c>
      <c r="H97" s="612" t="s">
        <v>668</v>
      </c>
      <c r="I97" s="612" t="s">
        <v>189</v>
      </c>
      <c r="J97" s="612" t="s">
        <v>669</v>
      </c>
      <c r="K97" s="612"/>
      <c r="L97" s="614">
        <v>111.99995402051151</v>
      </c>
      <c r="M97" s="614">
        <v>28</v>
      </c>
      <c r="N97" s="615">
        <v>3135.9987125743223</v>
      </c>
    </row>
    <row r="98" spans="1:14" ht="14.4" customHeight="1" x14ac:dyDescent="0.3">
      <c r="A98" s="610" t="s">
        <v>538</v>
      </c>
      <c r="B98" s="611" t="s">
        <v>539</v>
      </c>
      <c r="C98" s="612" t="s">
        <v>549</v>
      </c>
      <c r="D98" s="613" t="s">
        <v>1193</v>
      </c>
      <c r="E98" s="612" t="s">
        <v>558</v>
      </c>
      <c r="F98" s="613" t="s">
        <v>1195</v>
      </c>
      <c r="G98" s="612" t="s">
        <v>559</v>
      </c>
      <c r="H98" s="612" t="s">
        <v>783</v>
      </c>
      <c r="I98" s="612" t="s">
        <v>784</v>
      </c>
      <c r="J98" s="612" t="s">
        <v>785</v>
      </c>
      <c r="K98" s="612" t="s">
        <v>786</v>
      </c>
      <c r="L98" s="614">
        <v>78.069793403942541</v>
      </c>
      <c r="M98" s="614">
        <v>5</v>
      </c>
      <c r="N98" s="615">
        <v>390.34896701971269</v>
      </c>
    </row>
    <row r="99" spans="1:14" ht="14.4" customHeight="1" x14ac:dyDescent="0.3">
      <c r="A99" s="610" t="s">
        <v>538</v>
      </c>
      <c r="B99" s="611" t="s">
        <v>539</v>
      </c>
      <c r="C99" s="612" t="s">
        <v>549</v>
      </c>
      <c r="D99" s="613" t="s">
        <v>1193</v>
      </c>
      <c r="E99" s="612" t="s">
        <v>558</v>
      </c>
      <c r="F99" s="613" t="s">
        <v>1195</v>
      </c>
      <c r="G99" s="612" t="s">
        <v>559</v>
      </c>
      <c r="H99" s="612" t="s">
        <v>787</v>
      </c>
      <c r="I99" s="612" t="s">
        <v>579</v>
      </c>
      <c r="J99" s="612" t="s">
        <v>788</v>
      </c>
      <c r="K99" s="612" t="s">
        <v>789</v>
      </c>
      <c r="L99" s="614">
        <v>423.96210531124365</v>
      </c>
      <c r="M99" s="614">
        <v>6</v>
      </c>
      <c r="N99" s="615">
        <v>2543.7726318674618</v>
      </c>
    </row>
    <row r="100" spans="1:14" ht="14.4" customHeight="1" x14ac:dyDescent="0.3">
      <c r="A100" s="610" t="s">
        <v>538</v>
      </c>
      <c r="B100" s="611" t="s">
        <v>539</v>
      </c>
      <c r="C100" s="612" t="s">
        <v>549</v>
      </c>
      <c r="D100" s="613" t="s">
        <v>1193</v>
      </c>
      <c r="E100" s="612" t="s">
        <v>558</v>
      </c>
      <c r="F100" s="613" t="s">
        <v>1195</v>
      </c>
      <c r="G100" s="612" t="s">
        <v>559</v>
      </c>
      <c r="H100" s="612" t="s">
        <v>670</v>
      </c>
      <c r="I100" s="612" t="s">
        <v>189</v>
      </c>
      <c r="J100" s="612" t="s">
        <v>671</v>
      </c>
      <c r="K100" s="612"/>
      <c r="L100" s="614">
        <v>147.58293181852116</v>
      </c>
      <c r="M100" s="614">
        <v>3</v>
      </c>
      <c r="N100" s="615">
        <v>442.74879545556348</v>
      </c>
    </row>
    <row r="101" spans="1:14" ht="14.4" customHeight="1" x14ac:dyDescent="0.3">
      <c r="A101" s="610" t="s">
        <v>538</v>
      </c>
      <c r="B101" s="611" t="s">
        <v>539</v>
      </c>
      <c r="C101" s="612" t="s">
        <v>549</v>
      </c>
      <c r="D101" s="613" t="s">
        <v>1193</v>
      </c>
      <c r="E101" s="612" t="s">
        <v>558</v>
      </c>
      <c r="F101" s="613" t="s">
        <v>1195</v>
      </c>
      <c r="G101" s="612" t="s">
        <v>559</v>
      </c>
      <c r="H101" s="612" t="s">
        <v>672</v>
      </c>
      <c r="I101" s="612" t="s">
        <v>579</v>
      </c>
      <c r="J101" s="612" t="s">
        <v>673</v>
      </c>
      <c r="K101" s="612" t="s">
        <v>674</v>
      </c>
      <c r="L101" s="614">
        <v>212.01441111898987</v>
      </c>
      <c r="M101" s="614">
        <v>9</v>
      </c>
      <c r="N101" s="615">
        <v>1908.1297000709087</v>
      </c>
    </row>
    <row r="102" spans="1:14" ht="14.4" customHeight="1" x14ac:dyDescent="0.3">
      <c r="A102" s="610" t="s">
        <v>538</v>
      </c>
      <c r="B102" s="611" t="s">
        <v>539</v>
      </c>
      <c r="C102" s="612" t="s">
        <v>549</v>
      </c>
      <c r="D102" s="613" t="s">
        <v>1193</v>
      </c>
      <c r="E102" s="612" t="s">
        <v>558</v>
      </c>
      <c r="F102" s="613" t="s">
        <v>1195</v>
      </c>
      <c r="G102" s="612" t="s">
        <v>559</v>
      </c>
      <c r="H102" s="612" t="s">
        <v>790</v>
      </c>
      <c r="I102" s="612" t="s">
        <v>189</v>
      </c>
      <c r="J102" s="612" t="s">
        <v>791</v>
      </c>
      <c r="K102" s="612"/>
      <c r="L102" s="614">
        <v>109.66902079954166</v>
      </c>
      <c r="M102" s="614">
        <v>21</v>
      </c>
      <c r="N102" s="615">
        <v>2303.0494367903748</v>
      </c>
    </row>
    <row r="103" spans="1:14" ht="14.4" customHeight="1" x14ac:dyDescent="0.3">
      <c r="A103" s="610" t="s">
        <v>538</v>
      </c>
      <c r="B103" s="611" t="s">
        <v>539</v>
      </c>
      <c r="C103" s="612" t="s">
        <v>549</v>
      </c>
      <c r="D103" s="613" t="s">
        <v>1193</v>
      </c>
      <c r="E103" s="612" t="s">
        <v>558</v>
      </c>
      <c r="F103" s="613" t="s">
        <v>1195</v>
      </c>
      <c r="G103" s="612" t="s">
        <v>559</v>
      </c>
      <c r="H103" s="612" t="s">
        <v>792</v>
      </c>
      <c r="I103" s="612" t="s">
        <v>189</v>
      </c>
      <c r="J103" s="612" t="s">
        <v>793</v>
      </c>
      <c r="K103" s="612"/>
      <c r="L103" s="614">
        <v>99.545397166239312</v>
      </c>
      <c r="M103" s="614">
        <v>20</v>
      </c>
      <c r="N103" s="615">
        <v>1990.9079433247862</v>
      </c>
    </row>
    <row r="104" spans="1:14" ht="14.4" customHeight="1" x14ac:dyDescent="0.3">
      <c r="A104" s="610" t="s">
        <v>538</v>
      </c>
      <c r="B104" s="611" t="s">
        <v>539</v>
      </c>
      <c r="C104" s="612" t="s">
        <v>549</v>
      </c>
      <c r="D104" s="613" t="s">
        <v>1193</v>
      </c>
      <c r="E104" s="612" t="s">
        <v>558</v>
      </c>
      <c r="F104" s="613" t="s">
        <v>1195</v>
      </c>
      <c r="G104" s="612" t="s">
        <v>559</v>
      </c>
      <c r="H104" s="612" t="s">
        <v>794</v>
      </c>
      <c r="I104" s="612" t="s">
        <v>795</v>
      </c>
      <c r="J104" s="612" t="s">
        <v>796</v>
      </c>
      <c r="K104" s="612" t="s">
        <v>797</v>
      </c>
      <c r="L104" s="614">
        <v>410.88999999999993</v>
      </c>
      <c r="M104" s="614">
        <v>2</v>
      </c>
      <c r="N104" s="615">
        <v>821.77999999999986</v>
      </c>
    </row>
    <row r="105" spans="1:14" ht="14.4" customHeight="1" x14ac:dyDescent="0.3">
      <c r="A105" s="610" t="s">
        <v>538</v>
      </c>
      <c r="B105" s="611" t="s">
        <v>539</v>
      </c>
      <c r="C105" s="612" t="s">
        <v>549</v>
      </c>
      <c r="D105" s="613" t="s">
        <v>1193</v>
      </c>
      <c r="E105" s="612" t="s">
        <v>558</v>
      </c>
      <c r="F105" s="613" t="s">
        <v>1195</v>
      </c>
      <c r="G105" s="612" t="s">
        <v>559</v>
      </c>
      <c r="H105" s="612" t="s">
        <v>798</v>
      </c>
      <c r="I105" s="612" t="s">
        <v>189</v>
      </c>
      <c r="J105" s="612" t="s">
        <v>799</v>
      </c>
      <c r="K105" s="612"/>
      <c r="L105" s="614">
        <v>368.6529925346527</v>
      </c>
      <c r="M105" s="614">
        <v>1</v>
      </c>
      <c r="N105" s="615">
        <v>368.6529925346527</v>
      </c>
    </row>
    <row r="106" spans="1:14" ht="14.4" customHeight="1" x14ac:dyDescent="0.3">
      <c r="A106" s="610" t="s">
        <v>538</v>
      </c>
      <c r="B106" s="611" t="s">
        <v>539</v>
      </c>
      <c r="C106" s="612" t="s">
        <v>549</v>
      </c>
      <c r="D106" s="613" t="s">
        <v>1193</v>
      </c>
      <c r="E106" s="612" t="s">
        <v>558</v>
      </c>
      <c r="F106" s="613" t="s">
        <v>1195</v>
      </c>
      <c r="G106" s="612" t="s">
        <v>559</v>
      </c>
      <c r="H106" s="612" t="s">
        <v>800</v>
      </c>
      <c r="I106" s="612" t="s">
        <v>801</v>
      </c>
      <c r="J106" s="612" t="s">
        <v>802</v>
      </c>
      <c r="K106" s="612" t="s">
        <v>803</v>
      </c>
      <c r="L106" s="614">
        <v>93.449999999999918</v>
      </c>
      <c r="M106" s="614">
        <v>1</v>
      </c>
      <c r="N106" s="615">
        <v>93.449999999999918</v>
      </c>
    </row>
    <row r="107" spans="1:14" ht="14.4" customHeight="1" x14ac:dyDescent="0.3">
      <c r="A107" s="610" t="s">
        <v>538</v>
      </c>
      <c r="B107" s="611" t="s">
        <v>539</v>
      </c>
      <c r="C107" s="612" t="s">
        <v>549</v>
      </c>
      <c r="D107" s="613" t="s">
        <v>1193</v>
      </c>
      <c r="E107" s="612" t="s">
        <v>558</v>
      </c>
      <c r="F107" s="613" t="s">
        <v>1195</v>
      </c>
      <c r="G107" s="612" t="s">
        <v>559</v>
      </c>
      <c r="H107" s="612" t="s">
        <v>804</v>
      </c>
      <c r="I107" s="612" t="s">
        <v>189</v>
      </c>
      <c r="J107" s="612" t="s">
        <v>805</v>
      </c>
      <c r="K107" s="612"/>
      <c r="L107" s="614">
        <v>163.35000303331859</v>
      </c>
      <c r="M107" s="614">
        <v>1</v>
      </c>
      <c r="N107" s="615">
        <v>163.35000303331859</v>
      </c>
    </row>
    <row r="108" spans="1:14" ht="14.4" customHeight="1" x14ac:dyDescent="0.3">
      <c r="A108" s="610" t="s">
        <v>538</v>
      </c>
      <c r="B108" s="611" t="s">
        <v>539</v>
      </c>
      <c r="C108" s="612" t="s">
        <v>549</v>
      </c>
      <c r="D108" s="613" t="s">
        <v>1193</v>
      </c>
      <c r="E108" s="612" t="s">
        <v>558</v>
      </c>
      <c r="F108" s="613" t="s">
        <v>1195</v>
      </c>
      <c r="G108" s="612" t="s">
        <v>559</v>
      </c>
      <c r="H108" s="612" t="s">
        <v>682</v>
      </c>
      <c r="I108" s="612" t="s">
        <v>683</v>
      </c>
      <c r="J108" s="612" t="s">
        <v>684</v>
      </c>
      <c r="K108" s="612" t="s">
        <v>685</v>
      </c>
      <c r="L108" s="614">
        <v>76.709999999999994</v>
      </c>
      <c r="M108" s="614">
        <v>2</v>
      </c>
      <c r="N108" s="615">
        <v>153.41999999999999</v>
      </c>
    </row>
    <row r="109" spans="1:14" ht="14.4" customHeight="1" x14ac:dyDescent="0.3">
      <c r="A109" s="610" t="s">
        <v>538</v>
      </c>
      <c r="B109" s="611" t="s">
        <v>539</v>
      </c>
      <c r="C109" s="612" t="s">
        <v>549</v>
      </c>
      <c r="D109" s="613" t="s">
        <v>1193</v>
      </c>
      <c r="E109" s="612" t="s">
        <v>558</v>
      </c>
      <c r="F109" s="613" t="s">
        <v>1195</v>
      </c>
      <c r="G109" s="612" t="s">
        <v>559</v>
      </c>
      <c r="H109" s="612" t="s">
        <v>806</v>
      </c>
      <c r="I109" s="612" t="s">
        <v>189</v>
      </c>
      <c r="J109" s="612" t="s">
        <v>807</v>
      </c>
      <c r="K109" s="612"/>
      <c r="L109" s="614">
        <v>57.88000000000001</v>
      </c>
      <c r="M109" s="614">
        <v>2</v>
      </c>
      <c r="N109" s="615">
        <v>115.76000000000002</v>
      </c>
    </row>
    <row r="110" spans="1:14" ht="14.4" customHeight="1" x14ac:dyDescent="0.3">
      <c r="A110" s="610" t="s">
        <v>538</v>
      </c>
      <c r="B110" s="611" t="s">
        <v>539</v>
      </c>
      <c r="C110" s="612" t="s">
        <v>549</v>
      </c>
      <c r="D110" s="613" t="s">
        <v>1193</v>
      </c>
      <c r="E110" s="612" t="s">
        <v>558</v>
      </c>
      <c r="F110" s="613" t="s">
        <v>1195</v>
      </c>
      <c r="G110" s="612" t="s">
        <v>559</v>
      </c>
      <c r="H110" s="612" t="s">
        <v>688</v>
      </c>
      <c r="I110" s="612" t="s">
        <v>688</v>
      </c>
      <c r="J110" s="612" t="s">
        <v>689</v>
      </c>
      <c r="K110" s="612" t="s">
        <v>690</v>
      </c>
      <c r="L110" s="614">
        <v>58.36228384137921</v>
      </c>
      <c r="M110" s="614">
        <v>116</v>
      </c>
      <c r="N110" s="615">
        <v>6770.0249255999879</v>
      </c>
    </row>
    <row r="111" spans="1:14" ht="14.4" customHeight="1" x14ac:dyDescent="0.3">
      <c r="A111" s="610" t="s">
        <v>538</v>
      </c>
      <c r="B111" s="611" t="s">
        <v>539</v>
      </c>
      <c r="C111" s="612" t="s">
        <v>549</v>
      </c>
      <c r="D111" s="613" t="s">
        <v>1193</v>
      </c>
      <c r="E111" s="612" t="s">
        <v>558</v>
      </c>
      <c r="F111" s="613" t="s">
        <v>1195</v>
      </c>
      <c r="G111" s="612" t="s">
        <v>559</v>
      </c>
      <c r="H111" s="612" t="s">
        <v>808</v>
      </c>
      <c r="I111" s="612" t="s">
        <v>189</v>
      </c>
      <c r="J111" s="612" t="s">
        <v>809</v>
      </c>
      <c r="K111" s="612"/>
      <c r="L111" s="614">
        <v>129.4998723810964</v>
      </c>
      <c r="M111" s="614">
        <v>48</v>
      </c>
      <c r="N111" s="615">
        <v>6215.993874292627</v>
      </c>
    </row>
    <row r="112" spans="1:14" ht="14.4" customHeight="1" x14ac:dyDescent="0.3">
      <c r="A112" s="610" t="s">
        <v>538</v>
      </c>
      <c r="B112" s="611" t="s">
        <v>539</v>
      </c>
      <c r="C112" s="612" t="s">
        <v>549</v>
      </c>
      <c r="D112" s="613" t="s">
        <v>1193</v>
      </c>
      <c r="E112" s="612" t="s">
        <v>558</v>
      </c>
      <c r="F112" s="613" t="s">
        <v>1195</v>
      </c>
      <c r="G112" s="612" t="s">
        <v>559</v>
      </c>
      <c r="H112" s="612" t="s">
        <v>700</v>
      </c>
      <c r="I112" s="612" t="s">
        <v>700</v>
      </c>
      <c r="J112" s="612" t="s">
        <v>701</v>
      </c>
      <c r="K112" s="612" t="s">
        <v>702</v>
      </c>
      <c r="L112" s="614">
        <v>48.67848952084146</v>
      </c>
      <c r="M112" s="614">
        <v>7</v>
      </c>
      <c r="N112" s="615">
        <v>340.7494266458902</v>
      </c>
    </row>
    <row r="113" spans="1:14" ht="14.4" customHeight="1" x14ac:dyDescent="0.3">
      <c r="A113" s="610" t="s">
        <v>538</v>
      </c>
      <c r="B113" s="611" t="s">
        <v>539</v>
      </c>
      <c r="C113" s="612" t="s">
        <v>549</v>
      </c>
      <c r="D113" s="613" t="s">
        <v>1193</v>
      </c>
      <c r="E113" s="612" t="s">
        <v>558</v>
      </c>
      <c r="F113" s="613" t="s">
        <v>1195</v>
      </c>
      <c r="G113" s="612" t="s">
        <v>559</v>
      </c>
      <c r="H113" s="612" t="s">
        <v>810</v>
      </c>
      <c r="I113" s="612" t="s">
        <v>810</v>
      </c>
      <c r="J113" s="612" t="s">
        <v>811</v>
      </c>
      <c r="K113" s="612" t="s">
        <v>812</v>
      </c>
      <c r="L113" s="614">
        <v>64.150000000000006</v>
      </c>
      <c r="M113" s="614">
        <v>1</v>
      </c>
      <c r="N113" s="615">
        <v>64.150000000000006</v>
      </c>
    </row>
    <row r="114" spans="1:14" ht="14.4" customHeight="1" x14ac:dyDescent="0.3">
      <c r="A114" s="610" t="s">
        <v>538</v>
      </c>
      <c r="B114" s="611" t="s">
        <v>539</v>
      </c>
      <c r="C114" s="612" t="s">
        <v>549</v>
      </c>
      <c r="D114" s="613" t="s">
        <v>1193</v>
      </c>
      <c r="E114" s="612" t="s">
        <v>558</v>
      </c>
      <c r="F114" s="613" t="s">
        <v>1195</v>
      </c>
      <c r="G114" s="612" t="s">
        <v>727</v>
      </c>
      <c r="H114" s="612" t="s">
        <v>813</v>
      </c>
      <c r="I114" s="612" t="s">
        <v>814</v>
      </c>
      <c r="J114" s="612" t="s">
        <v>815</v>
      </c>
      <c r="K114" s="612" t="s">
        <v>816</v>
      </c>
      <c r="L114" s="614">
        <v>102.21</v>
      </c>
      <c r="M114" s="614">
        <v>1</v>
      </c>
      <c r="N114" s="615">
        <v>102.21</v>
      </c>
    </row>
    <row r="115" spans="1:14" ht="14.4" customHeight="1" x14ac:dyDescent="0.3">
      <c r="A115" s="610" t="s">
        <v>538</v>
      </c>
      <c r="B115" s="611" t="s">
        <v>539</v>
      </c>
      <c r="C115" s="612" t="s">
        <v>549</v>
      </c>
      <c r="D115" s="613" t="s">
        <v>1193</v>
      </c>
      <c r="E115" s="612" t="s">
        <v>558</v>
      </c>
      <c r="F115" s="613" t="s">
        <v>1195</v>
      </c>
      <c r="G115" s="612" t="s">
        <v>727</v>
      </c>
      <c r="H115" s="612" t="s">
        <v>817</v>
      </c>
      <c r="I115" s="612" t="s">
        <v>818</v>
      </c>
      <c r="J115" s="612" t="s">
        <v>819</v>
      </c>
      <c r="K115" s="612" t="s">
        <v>820</v>
      </c>
      <c r="L115" s="614">
        <v>176.14000000000001</v>
      </c>
      <c r="M115" s="614">
        <v>2</v>
      </c>
      <c r="N115" s="615">
        <v>352.28000000000003</v>
      </c>
    </row>
    <row r="116" spans="1:14" ht="14.4" customHeight="1" x14ac:dyDescent="0.3">
      <c r="A116" s="610" t="s">
        <v>538</v>
      </c>
      <c r="B116" s="611" t="s">
        <v>539</v>
      </c>
      <c r="C116" s="612" t="s">
        <v>549</v>
      </c>
      <c r="D116" s="613" t="s">
        <v>1193</v>
      </c>
      <c r="E116" s="612" t="s">
        <v>821</v>
      </c>
      <c r="F116" s="613" t="s">
        <v>1199</v>
      </c>
      <c r="G116" s="612"/>
      <c r="H116" s="612" t="s">
        <v>822</v>
      </c>
      <c r="I116" s="612" t="s">
        <v>823</v>
      </c>
      <c r="J116" s="612" t="s">
        <v>824</v>
      </c>
      <c r="K116" s="612"/>
      <c r="L116" s="614">
        <v>188.55012278563757</v>
      </c>
      <c r="M116" s="614">
        <v>2</v>
      </c>
      <c r="N116" s="615">
        <v>377.10024557127514</v>
      </c>
    </row>
    <row r="117" spans="1:14" ht="14.4" customHeight="1" x14ac:dyDescent="0.3">
      <c r="A117" s="610" t="s">
        <v>538</v>
      </c>
      <c r="B117" s="611" t="s">
        <v>539</v>
      </c>
      <c r="C117" s="612" t="s">
        <v>549</v>
      </c>
      <c r="D117" s="613" t="s">
        <v>1193</v>
      </c>
      <c r="E117" s="612" t="s">
        <v>703</v>
      </c>
      <c r="F117" s="613" t="s">
        <v>1196</v>
      </c>
      <c r="G117" s="612" t="s">
        <v>559</v>
      </c>
      <c r="H117" s="612" t="s">
        <v>704</v>
      </c>
      <c r="I117" s="612" t="s">
        <v>705</v>
      </c>
      <c r="J117" s="612" t="s">
        <v>706</v>
      </c>
      <c r="K117" s="612" t="s">
        <v>707</v>
      </c>
      <c r="L117" s="614">
        <v>40.249937343520529</v>
      </c>
      <c r="M117" s="614">
        <v>1</v>
      </c>
      <c r="N117" s="615">
        <v>40.249937343520529</v>
      </c>
    </row>
    <row r="118" spans="1:14" ht="14.4" customHeight="1" x14ac:dyDescent="0.3">
      <c r="A118" s="610" t="s">
        <v>538</v>
      </c>
      <c r="B118" s="611" t="s">
        <v>539</v>
      </c>
      <c r="C118" s="612" t="s">
        <v>549</v>
      </c>
      <c r="D118" s="613" t="s">
        <v>1193</v>
      </c>
      <c r="E118" s="612" t="s">
        <v>703</v>
      </c>
      <c r="F118" s="613" t="s">
        <v>1196</v>
      </c>
      <c r="G118" s="612" t="s">
        <v>559</v>
      </c>
      <c r="H118" s="612" t="s">
        <v>712</v>
      </c>
      <c r="I118" s="612" t="s">
        <v>713</v>
      </c>
      <c r="J118" s="612" t="s">
        <v>714</v>
      </c>
      <c r="K118" s="612" t="s">
        <v>715</v>
      </c>
      <c r="L118" s="614">
        <v>23.559670231466757</v>
      </c>
      <c r="M118" s="614">
        <v>1</v>
      </c>
      <c r="N118" s="615">
        <v>23.559670231466757</v>
      </c>
    </row>
    <row r="119" spans="1:14" ht="14.4" customHeight="1" x14ac:dyDescent="0.3">
      <c r="A119" s="610" t="s">
        <v>538</v>
      </c>
      <c r="B119" s="611" t="s">
        <v>539</v>
      </c>
      <c r="C119" s="612" t="s">
        <v>549</v>
      </c>
      <c r="D119" s="613" t="s">
        <v>1193</v>
      </c>
      <c r="E119" s="612" t="s">
        <v>703</v>
      </c>
      <c r="F119" s="613" t="s">
        <v>1196</v>
      </c>
      <c r="G119" s="612" t="s">
        <v>559</v>
      </c>
      <c r="H119" s="612" t="s">
        <v>716</v>
      </c>
      <c r="I119" s="612" t="s">
        <v>717</v>
      </c>
      <c r="J119" s="612" t="s">
        <v>718</v>
      </c>
      <c r="K119" s="612" t="s">
        <v>719</v>
      </c>
      <c r="L119" s="614">
        <v>49.19994381740058</v>
      </c>
      <c r="M119" s="614">
        <v>15</v>
      </c>
      <c r="N119" s="615">
        <v>737.99915726100869</v>
      </c>
    </row>
    <row r="120" spans="1:14" ht="14.4" customHeight="1" x14ac:dyDescent="0.3">
      <c r="A120" s="610" t="s">
        <v>538</v>
      </c>
      <c r="B120" s="611" t="s">
        <v>539</v>
      </c>
      <c r="C120" s="612" t="s">
        <v>549</v>
      </c>
      <c r="D120" s="613" t="s">
        <v>1193</v>
      </c>
      <c r="E120" s="612" t="s">
        <v>703</v>
      </c>
      <c r="F120" s="613" t="s">
        <v>1196</v>
      </c>
      <c r="G120" s="612" t="s">
        <v>559</v>
      </c>
      <c r="H120" s="612" t="s">
        <v>825</v>
      </c>
      <c r="I120" s="612" t="s">
        <v>826</v>
      </c>
      <c r="J120" s="612" t="s">
        <v>827</v>
      </c>
      <c r="K120" s="612" t="s">
        <v>828</v>
      </c>
      <c r="L120" s="614">
        <v>429.57000000000005</v>
      </c>
      <c r="M120" s="614">
        <v>17</v>
      </c>
      <c r="N120" s="615">
        <v>7302.6900000000005</v>
      </c>
    </row>
    <row r="121" spans="1:14" ht="14.4" customHeight="1" x14ac:dyDescent="0.3">
      <c r="A121" s="610" t="s">
        <v>538</v>
      </c>
      <c r="B121" s="611" t="s">
        <v>539</v>
      </c>
      <c r="C121" s="612" t="s">
        <v>549</v>
      </c>
      <c r="D121" s="613" t="s">
        <v>1193</v>
      </c>
      <c r="E121" s="612" t="s">
        <v>703</v>
      </c>
      <c r="F121" s="613" t="s">
        <v>1196</v>
      </c>
      <c r="G121" s="612" t="s">
        <v>559</v>
      </c>
      <c r="H121" s="612" t="s">
        <v>724</v>
      </c>
      <c r="I121" s="612" t="s">
        <v>724</v>
      </c>
      <c r="J121" s="612" t="s">
        <v>725</v>
      </c>
      <c r="K121" s="612" t="s">
        <v>726</v>
      </c>
      <c r="L121" s="614">
        <v>72.64</v>
      </c>
      <c r="M121" s="614">
        <v>1</v>
      </c>
      <c r="N121" s="615">
        <v>72.64</v>
      </c>
    </row>
    <row r="122" spans="1:14" ht="14.4" customHeight="1" x14ac:dyDescent="0.3">
      <c r="A122" s="610" t="s">
        <v>538</v>
      </c>
      <c r="B122" s="611" t="s">
        <v>539</v>
      </c>
      <c r="C122" s="612" t="s">
        <v>549</v>
      </c>
      <c r="D122" s="613" t="s">
        <v>1193</v>
      </c>
      <c r="E122" s="612" t="s">
        <v>703</v>
      </c>
      <c r="F122" s="613" t="s">
        <v>1196</v>
      </c>
      <c r="G122" s="612" t="s">
        <v>727</v>
      </c>
      <c r="H122" s="612" t="s">
        <v>829</v>
      </c>
      <c r="I122" s="612" t="s">
        <v>830</v>
      </c>
      <c r="J122" s="612" t="s">
        <v>831</v>
      </c>
      <c r="K122" s="612" t="s">
        <v>832</v>
      </c>
      <c r="L122" s="614">
        <v>49.629868755295426</v>
      </c>
      <c r="M122" s="614">
        <v>1</v>
      </c>
      <c r="N122" s="615">
        <v>49.629868755295426</v>
      </c>
    </row>
    <row r="123" spans="1:14" ht="14.4" customHeight="1" x14ac:dyDescent="0.3">
      <c r="A123" s="610" t="s">
        <v>538</v>
      </c>
      <c r="B123" s="611" t="s">
        <v>539</v>
      </c>
      <c r="C123" s="612" t="s">
        <v>549</v>
      </c>
      <c r="D123" s="613" t="s">
        <v>1193</v>
      </c>
      <c r="E123" s="612" t="s">
        <v>703</v>
      </c>
      <c r="F123" s="613" t="s">
        <v>1196</v>
      </c>
      <c r="G123" s="612" t="s">
        <v>727</v>
      </c>
      <c r="H123" s="612" t="s">
        <v>833</v>
      </c>
      <c r="I123" s="612" t="s">
        <v>833</v>
      </c>
      <c r="J123" s="612" t="s">
        <v>834</v>
      </c>
      <c r="K123" s="612" t="s">
        <v>835</v>
      </c>
      <c r="L123" s="614">
        <v>84.27000000000001</v>
      </c>
      <c r="M123" s="614">
        <v>1.2</v>
      </c>
      <c r="N123" s="615">
        <v>101.12400000000001</v>
      </c>
    </row>
    <row r="124" spans="1:14" ht="14.4" customHeight="1" x14ac:dyDescent="0.3">
      <c r="A124" s="610" t="s">
        <v>538</v>
      </c>
      <c r="B124" s="611" t="s">
        <v>539</v>
      </c>
      <c r="C124" s="612" t="s">
        <v>549</v>
      </c>
      <c r="D124" s="613" t="s">
        <v>1193</v>
      </c>
      <c r="E124" s="612" t="s">
        <v>703</v>
      </c>
      <c r="F124" s="613" t="s">
        <v>1196</v>
      </c>
      <c r="G124" s="612" t="s">
        <v>727</v>
      </c>
      <c r="H124" s="612" t="s">
        <v>728</v>
      </c>
      <c r="I124" s="612" t="s">
        <v>729</v>
      </c>
      <c r="J124" s="612" t="s">
        <v>730</v>
      </c>
      <c r="K124" s="612" t="s">
        <v>731</v>
      </c>
      <c r="L124" s="614">
        <v>135.95002745822043</v>
      </c>
      <c r="M124" s="614">
        <v>17</v>
      </c>
      <c r="N124" s="615">
        <v>2311.1504667897475</v>
      </c>
    </row>
    <row r="125" spans="1:14" ht="14.4" customHeight="1" x14ac:dyDescent="0.3">
      <c r="A125" s="610" t="s">
        <v>538</v>
      </c>
      <c r="B125" s="611" t="s">
        <v>539</v>
      </c>
      <c r="C125" s="612" t="s">
        <v>549</v>
      </c>
      <c r="D125" s="613" t="s">
        <v>1193</v>
      </c>
      <c r="E125" s="612" t="s">
        <v>703</v>
      </c>
      <c r="F125" s="613" t="s">
        <v>1196</v>
      </c>
      <c r="G125" s="612" t="s">
        <v>727</v>
      </c>
      <c r="H125" s="612" t="s">
        <v>732</v>
      </c>
      <c r="I125" s="612" t="s">
        <v>733</v>
      </c>
      <c r="J125" s="612" t="s">
        <v>734</v>
      </c>
      <c r="K125" s="612" t="s">
        <v>735</v>
      </c>
      <c r="L125" s="614">
        <v>59.839243898650672</v>
      </c>
      <c r="M125" s="614">
        <v>4</v>
      </c>
      <c r="N125" s="615">
        <v>239.35697559460269</v>
      </c>
    </row>
    <row r="126" spans="1:14" ht="14.4" customHeight="1" x14ac:dyDescent="0.3">
      <c r="A126" s="610" t="s">
        <v>538</v>
      </c>
      <c r="B126" s="611" t="s">
        <v>539</v>
      </c>
      <c r="C126" s="612" t="s">
        <v>549</v>
      </c>
      <c r="D126" s="613" t="s">
        <v>1193</v>
      </c>
      <c r="E126" s="612" t="s">
        <v>703</v>
      </c>
      <c r="F126" s="613" t="s">
        <v>1196</v>
      </c>
      <c r="G126" s="612" t="s">
        <v>727</v>
      </c>
      <c r="H126" s="612" t="s">
        <v>836</v>
      </c>
      <c r="I126" s="612" t="s">
        <v>837</v>
      </c>
      <c r="J126" s="612" t="s">
        <v>838</v>
      </c>
      <c r="K126" s="612" t="s">
        <v>839</v>
      </c>
      <c r="L126" s="614">
        <v>772.08</v>
      </c>
      <c r="M126" s="614">
        <v>1</v>
      </c>
      <c r="N126" s="615">
        <v>772.08</v>
      </c>
    </row>
    <row r="127" spans="1:14" ht="14.4" customHeight="1" x14ac:dyDescent="0.3">
      <c r="A127" s="610" t="s">
        <v>538</v>
      </c>
      <c r="B127" s="611" t="s">
        <v>539</v>
      </c>
      <c r="C127" s="612" t="s">
        <v>549</v>
      </c>
      <c r="D127" s="613" t="s">
        <v>1193</v>
      </c>
      <c r="E127" s="612" t="s">
        <v>703</v>
      </c>
      <c r="F127" s="613" t="s">
        <v>1196</v>
      </c>
      <c r="G127" s="612" t="s">
        <v>727</v>
      </c>
      <c r="H127" s="612" t="s">
        <v>840</v>
      </c>
      <c r="I127" s="612" t="s">
        <v>840</v>
      </c>
      <c r="J127" s="612" t="s">
        <v>841</v>
      </c>
      <c r="K127" s="612" t="s">
        <v>842</v>
      </c>
      <c r="L127" s="614">
        <v>29.940222728498505</v>
      </c>
      <c r="M127" s="614">
        <v>10</v>
      </c>
      <c r="N127" s="615">
        <v>299.40222728498503</v>
      </c>
    </row>
    <row r="128" spans="1:14" ht="14.4" customHeight="1" x14ac:dyDescent="0.3">
      <c r="A128" s="610" t="s">
        <v>538</v>
      </c>
      <c r="B128" s="611" t="s">
        <v>539</v>
      </c>
      <c r="C128" s="612" t="s">
        <v>549</v>
      </c>
      <c r="D128" s="613" t="s">
        <v>1193</v>
      </c>
      <c r="E128" s="612" t="s">
        <v>703</v>
      </c>
      <c r="F128" s="613" t="s">
        <v>1196</v>
      </c>
      <c r="G128" s="612" t="s">
        <v>727</v>
      </c>
      <c r="H128" s="612" t="s">
        <v>843</v>
      </c>
      <c r="I128" s="612" t="s">
        <v>843</v>
      </c>
      <c r="J128" s="612" t="s">
        <v>844</v>
      </c>
      <c r="K128" s="612" t="s">
        <v>845</v>
      </c>
      <c r="L128" s="614">
        <v>142.33000000000001</v>
      </c>
      <c r="M128" s="614">
        <v>17</v>
      </c>
      <c r="N128" s="615">
        <v>2419.61</v>
      </c>
    </row>
    <row r="129" spans="1:14" ht="14.4" customHeight="1" x14ac:dyDescent="0.3">
      <c r="A129" s="610" t="s">
        <v>538</v>
      </c>
      <c r="B129" s="611" t="s">
        <v>539</v>
      </c>
      <c r="C129" s="612" t="s">
        <v>549</v>
      </c>
      <c r="D129" s="613" t="s">
        <v>1193</v>
      </c>
      <c r="E129" s="612" t="s">
        <v>703</v>
      </c>
      <c r="F129" s="613" t="s">
        <v>1196</v>
      </c>
      <c r="G129" s="612" t="s">
        <v>727</v>
      </c>
      <c r="H129" s="612" t="s">
        <v>846</v>
      </c>
      <c r="I129" s="612" t="s">
        <v>846</v>
      </c>
      <c r="J129" s="612" t="s">
        <v>847</v>
      </c>
      <c r="K129" s="612" t="s">
        <v>845</v>
      </c>
      <c r="L129" s="614">
        <v>34.660999999999994</v>
      </c>
      <c r="M129" s="614">
        <v>7</v>
      </c>
      <c r="N129" s="615">
        <v>242.62699999999995</v>
      </c>
    </row>
    <row r="130" spans="1:14" ht="14.4" customHeight="1" x14ac:dyDescent="0.3">
      <c r="A130" s="610" t="s">
        <v>538</v>
      </c>
      <c r="B130" s="611" t="s">
        <v>539</v>
      </c>
      <c r="C130" s="612" t="s">
        <v>549</v>
      </c>
      <c r="D130" s="613" t="s">
        <v>1193</v>
      </c>
      <c r="E130" s="612" t="s">
        <v>736</v>
      </c>
      <c r="F130" s="613" t="s">
        <v>1197</v>
      </c>
      <c r="G130" s="612" t="s">
        <v>559</v>
      </c>
      <c r="H130" s="612" t="s">
        <v>741</v>
      </c>
      <c r="I130" s="612" t="s">
        <v>742</v>
      </c>
      <c r="J130" s="612" t="s">
        <v>743</v>
      </c>
      <c r="K130" s="612" t="s">
        <v>744</v>
      </c>
      <c r="L130" s="614">
        <v>96.012614259853962</v>
      </c>
      <c r="M130" s="614">
        <v>7</v>
      </c>
      <c r="N130" s="615">
        <v>672.0882998189777</v>
      </c>
    </row>
    <row r="131" spans="1:14" ht="14.4" customHeight="1" x14ac:dyDescent="0.3">
      <c r="A131" s="610" t="s">
        <v>538</v>
      </c>
      <c r="B131" s="611" t="s">
        <v>539</v>
      </c>
      <c r="C131" s="612" t="s">
        <v>552</v>
      </c>
      <c r="D131" s="613" t="s">
        <v>1194</v>
      </c>
      <c r="E131" s="612" t="s">
        <v>558</v>
      </c>
      <c r="F131" s="613" t="s">
        <v>1195</v>
      </c>
      <c r="G131" s="612"/>
      <c r="H131" s="612" t="s">
        <v>848</v>
      </c>
      <c r="I131" s="612" t="s">
        <v>849</v>
      </c>
      <c r="J131" s="612" t="s">
        <v>850</v>
      </c>
      <c r="K131" s="612"/>
      <c r="L131" s="614">
        <v>72.536391304347845</v>
      </c>
      <c r="M131" s="614">
        <v>23</v>
      </c>
      <c r="N131" s="615">
        <v>1668.3370000000004</v>
      </c>
    </row>
    <row r="132" spans="1:14" ht="14.4" customHeight="1" x14ac:dyDescent="0.3">
      <c r="A132" s="610" t="s">
        <v>538</v>
      </c>
      <c r="B132" s="611" t="s">
        <v>539</v>
      </c>
      <c r="C132" s="612" t="s">
        <v>552</v>
      </c>
      <c r="D132" s="613" t="s">
        <v>1194</v>
      </c>
      <c r="E132" s="612" t="s">
        <v>558</v>
      </c>
      <c r="F132" s="613" t="s">
        <v>1195</v>
      </c>
      <c r="G132" s="612"/>
      <c r="H132" s="612" t="s">
        <v>851</v>
      </c>
      <c r="I132" s="612" t="s">
        <v>852</v>
      </c>
      <c r="J132" s="612" t="s">
        <v>853</v>
      </c>
      <c r="K132" s="612" t="s">
        <v>854</v>
      </c>
      <c r="L132" s="614">
        <v>108.27</v>
      </c>
      <c r="M132" s="614">
        <v>2</v>
      </c>
      <c r="N132" s="615">
        <v>216.54</v>
      </c>
    </row>
    <row r="133" spans="1:14" ht="14.4" customHeight="1" x14ac:dyDescent="0.3">
      <c r="A133" s="610" t="s">
        <v>538</v>
      </c>
      <c r="B133" s="611" t="s">
        <v>539</v>
      </c>
      <c r="C133" s="612" t="s">
        <v>552</v>
      </c>
      <c r="D133" s="613" t="s">
        <v>1194</v>
      </c>
      <c r="E133" s="612" t="s">
        <v>558</v>
      </c>
      <c r="F133" s="613" t="s">
        <v>1195</v>
      </c>
      <c r="G133" s="612" t="s">
        <v>559</v>
      </c>
      <c r="H133" s="612" t="s">
        <v>560</v>
      </c>
      <c r="I133" s="612" t="s">
        <v>560</v>
      </c>
      <c r="J133" s="612" t="s">
        <v>561</v>
      </c>
      <c r="K133" s="612" t="s">
        <v>562</v>
      </c>
      <c r="L133" s="614">
        <v>171.60000000000002</v>
      </c>
      <c r="M133" s="614">
        <v>35</v>
      </c>
      <c r="N133" s="615">
        <v>6006.0000000000009</v>
      </c>
    </row>
    <row r="134" spans="1:14" ht="14.4" customHeight="1" x14ac:dyDescent="0.3">
      <c r="A134" s="610" t="s">
        <v>538</v>
      </c>
      <c r="B134" s="611" t="s">
        <v>539</v>
      </c>
      <c r="C134" s="612" t="s">
        <v>552</v>
      </c>
      <c r="D134" s="613" t="s">
        <v>1194</v>
      </c>
      <c r="E134" s="612" t="s">
        <v>558</v>
      </c>
      <c r="F134" s="613" t="s">
        <v>1195</v>
      </c>
      <c r="G134" s="612" t="s">
        <v>559</v>
      </c>
      <c r="H134" s="612" t="s">
        <v>855</v>
      </c>
      <c r="I134" s="612" t="s">
        <v>855</v>
      </c>
      <c r="J134" s="612" t="s">
        <v>856</v>
      </c>
      <c r="K134" s="612" t="s">
        <v>857</v>
      </c>
      <c r="L134" s="614">
        <v>173.69</v>
      </c>
      <c r="M134" s="614">
        <v>5</v>
      </c>
      <c r="N134" s="615">
        <v>868.44999999999993</v>
      </c>
    </row>
    <row r="135" spans="1:14" ht="14.4" customHeight="1" x14ac:dyDescent="0.3">
      <c r="A135" s="610" t="s">
        <v>538</v>
      </c>
      <c r="B135" s="611" t="s">
        <v>539</v>
      </c>
      <c r="C135" s="612" t="s">
        <v>552</v>
      </c>
      <c r="D135" s="613" t="s">
        <v>1194</v>
      </c>
      <c r="E135" s="612" t="s">
        <v>558</v>
      </c>
      <c r="F135" s="613" t="s">
        <v>1195</v>
      </c>
      <c r="G135" s="612" t="s">
        <v>559</v>
      </c>
      <c r="H135" s="612" t="s">
        <v>858</v>
      </c>
      <c r="I135" s="612" t="s">
        <v>858</v>
      </c>
      <c r="J135" s="612" t="s">
        <v>561</v>
      </c>
      <c r="K135" s="612" t="s">
        <v>859</v>
      </c>
      <c r="L135" s="614">
        <v>92.950000000000017</v>
      </c>
      <c r="M135" s="614">
        <v>23</v>
      </c>
      <c r="N135" s="615">
        <v>2137.8500000000004</v>
      </c>
    </row>
    <row r="136" spans="1:14" ht="14.4" customHeight="1" x14ac:dyDescent="0.3">
      <c r="A136" s="610" t="s">
        <v>538</v>
      </c>
      <c r="B136" s="611" t="s">
        <v>539</v>
      </c>
      <c r="C136" s="612" t="s">
        <v>552</v>
      </c>
      <c r="D136" s="613" t="s">
        <v>1194</v>
      </c>
      <c r="E136" s="612" t="s">
        <v>558</v>
      </c>
      <c r="F136" s="613" t="s">
        <v>1195</v>
      </c>
      <c r="G136" s="612" t="s">
        <v>559</v>
      </c>
      <c r="H136" s="612" t="s">
        <v>566</v>
      </c>
      <c r="I136" s="612" t="s">
        <v>567</v>
      </c>
      <c r="J136" s="612" t="s">
        <v>568</v>
      </c>
      <c r="K136" s="612" t="s">
        <v>569</v>
      </c>
      <c r="L136" s="614">
        <v>87.058260732711872</v>
      </c>
      <c r="M136" s="614">
        <v>6</v>
      </c>
      <c r="N136" s="615">
        <v>522.34956439627126</v>
      </c>
    </row>
    <row r="137" spans="1:14" ht="14.4" customHeight="1" x14ac:dyDescent="0.3">
      <c r="A137" s="610" t="s">
        <v>538</v>
      </c>
      <c r="B137" s="611" t="s">
        <v>539</v>
      </c>
      <c r="C137" s="612" t="s">
        <v>552</v>
      </c>
      <c r="D137" s="613" t="s">
        <v>1194</v>
      </c>
      <c r="E137" s="612" t="s">
        <v>558</v>
      </c>
      <c r="F137" s="613" t="s">
        <v>1195</v>
      </c>
      <c r="G137" s="612" t="s">
        <v>559</v>
      </c>
      <c r="H137" s="612" t="s">
        <v>570</v>
      </c>
      <c r="I137" s="612" t="s">
        <v>571</v>
      </c>
      <c r="J137" s="612" t="s">
        <v>572</v>
      </c>
      <c r="K137" s="612" t="s">
        <v>573</v>
      </c>
      <c r="L137" s="614">
        <v>97.05248954054602</v>
      </c>
      <c r="M137" s="614">
        <v>78</v>
      </c>
      <c r="N137" s="615">
        <v>7570.09418416259</v>
      </c>
    </row>
    <row r="138" spans="1:14" ht="14.4" customHeight="1" x14ac:dyDescent="0.3">
      <c r="A138" s="610" t="s">
        <v>538</v>
      </c>
      <c r="B138" s="611" t="s">
        <v>539</v>
      </c>
      <c r="C138" s="612" t="s">
        <v>552</v>
      </c>
      <c r="D138" s="613" t="s">
        <v>1194</v>
      </c>
      <c r="E138" s="612" t="s">
        <v>558</v>
      </c>
      <c r="F138" s="613" t="s">
        <v>1195</v>
      </c>
      <c r="G138" s="612" t="s">
        <v>559</v>
      </c>
      <c r="H138" s="612" t="s">
        <v>574</v>
      </c>
      <c r="I138" s="612" t="s">
        <v>575</v>
      </c>
      <c r="J138" s="612" t="s">
        <v>576</v>
      </c>
      <c r="K138" s="612" t="s">
        <v>577</v>
      </c>
      <c r="L138" s="614">
        <v>79.451060215095112</v>
      </c>
      <c r="M138" s="614">
        <v>7</v>
      </c>
      <c r="N138" s="615">
        <v>556.15742150566575</v>
      </c>
    </row>
    <row r="139" spans="1:14" ht="14.4" customHeight="1" x14ac:dyDescent="0.3">
      <c r="A139" s="610" t="s">
        <v>538</v>
      </c>
      <c r="B139" s="611" t="s">
        <v>539</v>
      </c>
      <c r="C139" s="612" t="s">
        <v>552</v>
      </c>
      <c r="D139" s="613" t="s">
        <v>1194</v>
      </c>
      <c r="E139" s="612" t="s">
        <v>558</v>
      </c>
      <c r="F139" s="613" t="s">
        <v>1195</v>
      </c>
      <c r="G139" s="612" t="s">
        <v>559</v>
      </c>
      <c r="H139" s="612" t="s">
        <v>578</v>
      </c>
      <c r="I139" s="612" t="s">
        <v>579</v>
      </c>
      <c r="J139" s="612" t="s">
        <v>580</v>
      </c>
      <c r="K139" s="612" t="s">
        <v>581</v>
      </c>
      <c r="L139" s="614">
        <v>48.541460044397056</v>
      </c>
      <c r="M139" s="614">
        <v>46</v>
      </c>
      <c r="N139" s="615">
        <v>2232.9071620422646</v>
      </c>
    </row>
    <row r="140" spans="1:14" ht="14.4" customHeight="1" x14ac:dyDescent="0.3">
      <c r="A140" s="610" t="s">
        <v>538</v>
      </c>
      <c r="B140" s="611" t="s">
        <v>539</v>
      </c>
      <c r="C140" s="612" t="s">
        <v>552</v>
      </c>
      <c r="D140" s="613" t="s">
        <v>1194</v>
      </c>
      <c r="E140" s="612" t="s">
        <v>558</v>
      </c>
      <c r="F140" s="613" t="s">
        <v>1195</v>
      </c>
      <c r="G140" s="612" t="s">
        <v>559</v>
      </c>
      <c r="H140" s="612" t="s">
        <v>860</v>
      </c>
      <c r="I140" s="612" t="s">
        <v>861</v>
      </c>
      <c r="J140" s="612" t="s">
        <v>862</v>
      </c>
      <c r="K140" s="612" t="s">
        <v>755</v>
      </c>
      <c r="L140" s="614">
        <v>86.138712024748585</v>
      </c>
      <c r="M140" s="614">
        <v>2</v>
      </c>
      <c r="N140" s="615">
        <v>172.27742404949717</v>
      </c>
    </row>
    <row r="141" spans="1:14" ht="14.4" customHeight="1" x14ac:dyDescent="0.3">
      <c r="A141" s="610" t="s">
        <v>538</v>
      </c>
      <c r="B141" s="611" t="s">
        <v>539</v>
      </c>
      <c r="C141" s="612" t="s">
        <v>552</v>
      </c>
      <c r="D141" s="613" t="s">
        <v>1194</v>
      </c>
      <c r="E141" s="612" t="s">
        <v>558</v>
      </c>
      <c r="F141" s="613" t="s">
        <v>1195</v>
      </c>
      <c r="G141" s="612" t="s">
        <v>559</v>
      </c>
      <c r="H141" s="612" t="s">
        <v>863</v>
      </c>
      <c r="I141" s="612" t="s">
        <v>864</v>
      </c>
      <c r="J141" s="612" t="s">
        <v>689</v>
      </c>
      <c r="K141" s="612" t="s">
        <v>865</v>
      </c>
      <c r="L141" s="614">
        <v>64.888863179471002</v>
      </c>
      <c r="M141" s="614">
        <v>3</v>
      </c>
      <c r="N141" s="615">
        <v>194.66658953841301</v>
      </c>
    </row>
    <row r="142" spans="1:14" ht="14.4" customHeight="1" x14ac:dyDescent="0.3">
      <c r="A142" s="610" t="s">
        <v>538</v>
      </c>
      <c r="B142" s="611" t="s">
        <v>539</v>
      </c>
      <c r="C142" s="612" t="s">
        <v>552</v>
      </c>
      <c r="D142" s="613" t="s">
        <v>1194</v>
      </c>
      <c r="E142" s="612" t="s">
        <v>558</v>
      </c>
      <c r="F142" s="613" t="s">
        <v>1195</v>
      </c>
      <c r="G142" s="612" t="s">
        <v>559</v>
      </c>
      <c r="H142" s="612" t="s">
        <v>866</v>
      </c>
      <c r="I142" s="612" t="s">
        <v>867</v>
      </c>
      <c r="J142" s="612" t="s">
        <v>868</v>
      </c>
      <c r="K142" s="612" t="s">
        <v>755</v>
      </c>
      <c r="L142" s="614">
        <v>30.601996292081999</v>
      </c>
      <c r="M142" s="614">
        <v>5</v>
      </c>
      <c r="N142" s="615">
        <v>153.00998146040999</v>
      </c>
    </row>
    <row r="143" spans="1:14" ht="14.4" customHeight="1" x14ac:dyDescent="0.3">
      <c r="A143" s="610" t="s">
        <v>538</v>
      </c>
      <c r="B143" s="611" t="s">
        <v>539</v>
      </c>
      <c r="C143" s="612" t="s">
        <v>552</v>
      </c>
      <c r="D143" s="613" t="s">
        <v>1194</v>
      </c>
      <c r="E143" s="612" t="s">
        <v>558</v>
      </c>
      <c r="F143" s="613" t="s">
        <v>1195</v>
      </c>
      <c r="G143" s="612" t="s">
        <v>559</v>
      </c>
      <c r="H143" s="612" t="s">
        <v>869</v>
      </c>
      <c r="I143" s="612" t="s">
        <v>870</v>
      </c>
      <c r="J143" s="612" t="s">
        <v>871</v>
      </c>
      <c r="K143" s="612" t="s">
        <v>872</v>
      </c>
      <c r="L143" s="614">
        <v>27.749997783239234</v>
      </c>
      <c r="M143" s="614">
        <v>21</v>
      </c>
      <c r="N143" s="615">
        <v>582.74995344802392</v>
      </c>
    </row>
    <row r="144" spans="1:14" ht="14.4" customHeight="1" x14ac:dyDescent="0.3">
      <c r="A144" s="610" t="s">
        <v>538</v>
      </c>
      <c r="B144" s="611" t="s">
        <v>539</v>
      </c>
      <c r="C144" s="612" t="s">
        <v>552</v>
      </c>
      <c r="D144" s="613" t="s">
        <v>1194</v>
      </c>
      <c r="E144" s="612" t="s">
        <v>558</v>
      </c>
      <c r="F144" s="613" t="s">
        <v>1195</v>
      </c>
      <c r="G144" s="612" t="s">
        <v>559</v>
      </c>
      <c r="H144" s="612" t="s">
        <v>873</v>
      </c>
      <c r="I144" s="612" t="s">
        <v>874</v>
      </c>
      <c r="J144" s="612" t="s">
        <v>875</v>
      </c>
      <c r="K144" s="612" t="s">
        <v>876</v>
      </c>
      <c r="L144" s="614">
        <v>115.9653534397255</v>
      </c>
      <c r="M144" s="614">
        <v>45</v>
      </c>
      <c r="N144" s="615">
        <v>5218.4409047876479</v>
      </c>
    </row>
    <row r="145" spans="1:14" ht="14.4" customHeight="1" x14ac:dyDescent="0.3">
      <c r="A145" s="610" t="s">
        <v>538</v>
      </c>
      <c r="B145" s="611" t="s">
        <v>539</v>
      </c>
      <c r="C145" s="612" t="s">
        <v>552</v>
      </c>
      <c r="D145" s="613" t="s">
        <v>1194</v>
      </c>
      <c r="E145" s="612" t="s">
        <v>558</v>
      </c>
      <c r="F145" s="613" t="s">
        <v>1195</v>
      </c>
      <c r="G145" s="612" t="s">
        <v>559</v>
      </c>
      <c r="H145" s="612" t="s">
        <v>877</v>
      </c>
      <c r="I145" s="612" t="s">
        <v>878</v>
      </c>
      <c r="J145" s="612" t="s">
        <v>879</v>
      </c>
      <c r="K145" s="612" t="s">
        <v>880</v>
      </c>
      <c r="L145" s="614">
        <v>168.64000000000001</v>
      </c>
      <c r="M145" s="614">
        <v>1</v>
      </c>
      <c r="N145" s="615">
        <v>168.64000000000001</v>
      </c>
    </row>
    <row r="146" spans="1:14" ht="14.4" customHeight="1" x14ac:dyDescent="0.3">
      <c r="A146" s="610" t="s">
        <v>538</v>
      </c>
      <c r="B146" s="611" t="s">
        <v>539</v>
      </c>
      <c r="C146" s="612" t="s">
        <v>552</v>
      </c>
      <c r="D146" s="613" t="s">
        <v>1194</v>
      </c>
      <c r="E146" s="612" t="s">
        <v>558</v>
      </c>
      <c r="F146" s="613" t="s">
        <v>1195</v>
      </c>
      <c r="G146" s="612" t="s">
        <v>559</v>
      </c>
      <c r="H146" s="612" t="s">
        <v>752</v>
      </c>
      <c r="I146" s="612" t="s">
        <v>753</v>
      </c>
      <c r="J146" s="612" t="s">
        <v>754</v>
      </c>
      <c r="K146" s="612" t="s">
        <v>755</v>
      </c>
      <c r="L146" s="614">
        <v>66.212039159142194</v>
      </c>
      <c r="M146" s="614">
        <v>9</v>
      </c>
      <c r="N146" s="615">
        <v>595.90835243227968</v>
      </c>
    </row>
    <row r="147" spans="1:14" ht="14.4" customHeight="1" x14ac:dyDescent="0.3">
      <c r="A147" s="610" t="s">
        <v>538</v>
      </c>
      <c r="B147" s="611" t="s">
        <v>539</v>
      </c>
      <c r="C147" s="612" t="s">
        <v>552</v>
      </c>
      <c r="D147" s="613" t="s">
        <v>1194</v>
      </c>
      <c r="E147" s="612" t="s">
        <v>558</v>
      </c>
      <c r="F147" s="613" t="s">
        <v>1195</v>
      </c>
      <c r="G147" s="612" t="s">
        <v>559</v>
      </c>
      <c r="H147" s="612" t="s">
        <v>881</v>
      </c>
      <c r="I147" s="612" t="s">
        <v>881</v>
      </c>
      <c r="J147" s="612" t="s">
        <v>882</v>
      </c>
      <c r="K147" s="612" t="s">
        <v>883</v>
      </c>
      <c r="L147" s="614">
        <v>36.543717147982946</v>
      </c>
      <c r="M147" s="614">
        <v>52</v>
      </c>
      <c r="N147" s="615">
        <v>1900.2732916951134</v>
      </c>
    </row>
    <row r="148" spans="1:14" ht="14.4" customHeight="1" x14ac:dyDescent="0.3">
      <c r="A148" s="610" t="s">
        <v>538</v>
      </c>
      <c r="B148" s="611" t="s">
        <v>539</v>
      </c>
      <c r="C148" s="612" t="s">
        <v>552</v>
      </c>
      <c r="D148" s="613" t="s">
        <v>1194</v>
      </c>
      <c r="E148" s="612" t="s">
        <v>558</v>
      </c>
      <c r="F148" s="613" t="s">
        <v>1195</v>
      </c>
      <c r="G148" s="612" t="s">
        <v>559</v>
      </c>
      <c r="H148" s="612" t="s">
        <v>884</v>
      </c>
      <c r="I148" s="612" t="s">
        <v>885</v>
      </c>
      <c r="J148" s="612" t="s">
        <v>886</v>
      </c>
      <c r="K148" s="612" t="s">
        <v>887</v>
      </c>
      <c r="L148" s="614">
        <v>113.55999999999999</v>
      </c>
      <c r="M148" s="614">
        <v>2</v>
      </c>
      <c r="N148" s="615">
        <v>227.11999999999998</v>
      </c>
    </row>
    <row r="149" spans="1:14" ht="14.4" customHeight="1" x14ac:dyDescent="0.3">
      <c r="A149" s="610" t="s">
        <v>538</v>
      </c>
      <c r="B149" s="611" t="s">
        <v>539</v>
      </c>
      <c r="C149" s="612" t="s">
        <v>552</v>
      </c>
      <c r="D149" s="613" t="s">
        <v>1194</v>
      </c>
      <c r="E149" s="612" t="s">
        <v>558</v>
      </c>
      <c r="F149" s="613" t="s">
        <v>1195</v>
      </c>
      <c r="G149" s="612" t="s">
        <v>559</v>
      </c>
      <c r="H149" s="612" t="s">
        <v>888</v>
      </c>
      <c r="I149" s="612" t="s">
        <v>889</v>
      </c>
      <c r="J149" s="612" t="s">
        <v>890</v>
      </c>
      <c r="K149" s="612" t="s">
        <v>891</v>
      </c>
      <c r="L149" s="614">
        <v>325.17</v>
      </c>
      <c r="M149" s="614">
        <v>2</v>
      </c>
      <c r="N149" s="615">
        <v>650.34</v>
      </c>
    </row>
    <row r="150" spans="1:14" ht="14.4" customHeight="1" x14ac:dyDescent="0.3">
      <c r="A150" s="610" t="s">
        <v>538</v>
      </c>
      <c r="B150" s="611" t="s">
        <v>539</v>
      </c>
      <c r="C150" s="612" t="s">
        <v>552</v>
      </c>
      <c r="D150" s="613" t="s">
        <v>1194</v>
      </c>
      <c r="E150" s="612" t="s">
        <v>558</v>
      </c>
      <c r="F150" s="613" t="s">
        <v>1195</v>
      </c>
      <c r="G150" s="612" t="s">
        <v>559</v>
      </c>
      <c r="H150" s="612" t="s">
        <v>892</v>
      </c>
      <c r="I150" s="612" t="s">
        <v>893</v>
      </c>
      <c r="J150" s="612" t="s">
        <v>894</v>
      </c>
      <c r="K150" s="612" t="s">
        <v>895</v>
      </c>
      <c r="L150" s="614">
        <v>309.6883910107199</v>
      </c>
      <c r="M150" s="614">
        <v>33</v>
      </c>
      <c r="N150" s="615">
        <v>10219.716903353756</v>
      </c>
    </row>
    <row r="151" spans="1:14" ht="14.4" customHeight="1" x14ac:dyDescent="0.3">
      <c r="A151" s="610" t="s">
        <v>538</v>
      </c>
      <c r="B151" s="611" t="s">
        <v>539</v>
      </c>
      <c r="C151" s="612" t="s">
        <v>552</v>
      </c>
      <c r="D151" s="613" t="s">
        <v>1194</v>
      </c>
      <c r="E151" s="612" t="s">
        <v>558</v>
      </c>
      <c r="F151" s="613" t="s">
        <v>1195</v>
      </c>
      <c r="G151" s="612" t="s">
        <v>559</v>
      </c>
      <c r="H151" s="612" t="s">
        <v>582</v>
      </c>
      <c r="I151" s="612" t="s">
        <v>583</v>
      </c>
      <c r="J151" s="612" t="s">
        <v>584</v>
      </c>
      <c r="K151" s="612" t="s">
        <v>585</v>
      </c>
      <c r="L151" s="614">
        <v>38.86995513788807</v>
      </c>
      <c r="M151" s="614">
        <v>10</v>
      </c>
      <c r="N151" s="615">
        <v>388.6995513788807</v>
      </c>
    </row>
    <row r="152" spans="1:14" ht="14.4" customHeight="1" x14ac:dyDescent="0.3">
      <c r="A152" s="610" t="s">
        <v>538</v>
      </c>
      <c r="B152" s="611" t="s">
        <v>539</v>
      </c>
      <c r="C152" s="612" t="s">
        <v>552</v>
      </c>
      <c r="D152" s="613" t="s">
        <v>1194</v>
      </c>
      <c r="E152" s="612" t="s">
        <v>558</v>
      </c>
      <c r="F152" s="613" t="s">
        <v>1195</v>
      </c>
      <c r="G152" s="612" t="s">
        <v>559</v>
      </c>
      <c r="H152" s="612" t="s">
        <v>896</v>
      </c>
      <c r="I152" s="612" t="s">
        <v>897</v>
      </c>
      <c r="J152" s="612" t="s">
        <v>898</v>
      </c>
      <c r="K152" s="612" t="s">
        <v>899</v>
      </c>
      <c r="L152" s="614">
        <v>146.79130047189784</v>
      </c>
      <c r="M152" s="614">
        <v>5</v>
      </c>
      <c r="N152" s="615">
        <v>733.95650235948915</v>
      </c>
    </row>
    <row r="153" spans="1:14" ht="14.4" customHeight="1" x14ac:dyDescent="0.3">
      <c r="A153" s="610" t="s">
        <v>538</v>
      </c>
      <c r="B153" s="611" t="s">
        <v>539</v>
      </c>
      <c r="C153" s="612" t="s">
        <v>552</v>
      </c>
      <c r="D153" s="613" t="s">
        <v>1194</v>
      </c>
      <c r="E153" s="612" t="s">
        <v>558</v>
      </c>
      <c r="F153" s="613" t="s">
        <v>1195</v>
      </c>
      <c r="G153" s="612" t="s">
        <v>559</v>
      </c>
      <c r="H153" s="612" t="s">
        <v>900</v>
      </c>
      <c r="I153" s="612" t="s">
        <v>901</v>
      </c>
      <c r="J153" s="612" t="s">
        <v>902</v>
      </c>
      <c r="K153" s="612" t="s">
        <v>903</v>
      </c>
      <c r="L153" s="614">
        <v>74.870000000000019</v>
      </c>
      <c r="M153" s="614">
        <v>1</v>
      </c>
      <c r="N153" s="615">
        <v>74.870000000000019</v>
      </c>
    </row>
    <row r="154" spans="1:14" ht="14.4" customHeight="1" x14ac:dyDescent="0.3">
      <c r="A154" s="610" t="s">
        <v>538</v>
      </c>
      <c r="B154" s="611" t="s">
        <v>539</v>
      </c>
      <c r="C154" s="612" t="s">
        <v>552</v>
      </c>
      <c r="D154" s="613" t="s">
        <v>1194</v>
      </c>
      <c r="E154" s="612" t="s">
        <v>558</v>
      </c>
      <c r="F154" s="613" t="s">
        <v>1195</v>
      </c>
      <c r="G154" s="612" t="s">
        <v>559</v>
      </c>
      <c r="H154" s="612" t="s">
        <v>904</v>
      </c>
      <c r="I154" s="612" t="s">
        <v>905</v>
      </c>
      <c r="J154" s="612" t="s">
        <v>906</v>
      </c>
      <c r="K154" s="612" t="s">
        <v>907</v>
      </c>
      <c r="L154" s="614">
        <v>93.61962124859339</v>
      </c>
      <c r="M154" s="614">
        <v>2</v>
      </c>
      <c r="N154" s="615">
        <v>187.23924249718678</v>
      </c>
    </row>
    <row r="155" spans="1:14" ht="14.4" customHeight="1" x14ac:dyDescent="0.3">
      <c r="A155" s="610" t="s">
        <v>538</v>
      </c>
      <c r="B155" s="611" t="s">
        <v>539</v>
      </c>
      <c r="C155" s="612" t="s">
        <v>552</v>
      </c>
      <c r="D155" s="613" t="s">
        <v>1194</v>
      </c>
      <c r="E155" s="612" t="s">
        <v>558</v>
      </c>
      <c r="F155" s="613" t="s">
        <v>1195</v>
      </c>
      <c r="G155" s="612" t="s">
        <v>559</v>
      </c>
      <c r="H155" s="612" t="s">
        <v>908</v>
      </c>
      <c r="I155" s="612" t="s">
        <v>909</v>
      </c>
      <c r="J155" s="612" t="s">
        <v>910</v>
      </c>
      <c r="K155" s="612" t="s">
        <v>911</v>
      </c>
      <c r="L155" s="614">
        <v>65.33</v>
      </c>
      <c r="M155" s="614">
        <v>1</v>
      </c>
      <c r="N155" s="615">
        <v>65.33</v>
      </c>
    </row>
    <row r="156" spans="1:14" ht="14.4" customHeight="1" x14ac:dyDescent="0.3">
      <c r="A156" s="610" t="s">
        <v>538</v>
      </c>
      <c r="B156" s="611" t="s">
        <v>539</v>
      </c>
      <c r="C156" s="612" t="s">
        <v>552</v>
      </c>
      <c r="D156" s="613" t="s">
        <v>1194</v>
      </c>
      <c r="E156" s="612" t="s">
        <v>558</v>
      </c>
      <c r="F156" s="613" t="s">
        <v>1195</v>
      </c>
      <c r="G156" s="612" t="s">
        <v>559</v>
      </c>
      <c r="H156" s="612" t="s">
        <v>912</v>
      </c>
      <c r="I156" s="612" t="s">
        <v>913</v>
      </c>
      <c r="J156" s="612" t="s">
        <v>914</v>
      </c>
      <c r="K156" s="612" t="s">
        <v>915</v>
      </c>
      <c r="L156" s="614">
        <v>88.462000000000003</v>
      </c>
      <c r="M156" s="614">
        <v>1</v>
      </c>
      <c r="N156" s="615">
        <v>88.462000000000003</v>
      </c>
    </row>
    <row r="157" spans="1:14" ht="14.4" customHeight="1" x14ac:dyDescent="0.3">
      <c r="A157" s="610" t="s">
        <v>538</v>
      </c>
      <c r="B157" s="611" t="s">
        <v>539</v>
      </c>
      <c r="C157" s="612" t="s">
        <v>552</v>
      </c>
      <c r="D157" s="613" t="s">
        <v>1194</v>
      </c>
      <c r="E157" s="612" t="s">
        <v>558</v>
      </c>
      <c r="F157" s="613" t="s">
        <v>1195</v>
      </c>
      <c r="G157" s="612" t="s">
        <v>559</v>
      </c>
      <c r="H157" s="612" t="s">
        <v>916</v>
      </c>
      <c r="I157" s="612" t="s">
        <v>917</v>
      </c>
      <c r="J157" s="612" t="s">
        <v>918</v>
      </c>
      <c r="K157" s="612" t="s">
        <v>919</v>
      </c>
      <c r="L157" s="614">
        <v>377.86667634141224</v>
      </c>
      <c r="M157" s="614">
        <v>9</v>
      </c>
      <c r="N157" s="615">
        <v>3400.8000870727101</v>
      </c>
    </row>
    <row r="158" spans="1:14" ht="14.4" customHeight="1" x14ac:dyDescent="0.3">
      <c r="A158" s="610" t="s">
        <v>538</v>
      </c>
      <c r="B158" s="611" t="s">
        <v>539</v>
      </c>
      <c r="C158" s="612" t="s">
        <v>552</v>
      </c>
      <c r="D158" s="613" t="s">
        <v>1194</v>
      </c>
      <c r="E158" s="612" t="s">
        <v>558</v>
      </c>
      <c r="F158" s="613" t="s">
        <v>1195</v>
      </c>
      <c r="G158" s="612" t="s">
        <v>559</v>
      </c>
      <c r="H158" s="612" t="s">
        <v>586</v>
      </c>
      <c r="I158" s="612" t="s">
        <v>189</v>
      </c>
      <c r="J158" s="612" t="s">
        <v>587</v>
      </c>
      <c r="K158" s="612"/>
      <c r="L158" s="614">
        <v>97.320171264112687</v>
      </c>
      <c r="M158" s="614">
        <v>47</v>
      </c>
      <c r="N158" s="615">
        <v>4574.0480494132962</v>
      </c>
    </row>
    <row r="159" spans="1:14" ht="14.4" customHeight="1" x14ac:dyDescent="0.3">
      <c r="A159" s="610" t="s">
        <v>538</v>
      </c>
      <c r="B159" s="611" t="s">
        <v>539</v>
      </c>
      <c r="C159" s="612" t="s">
        <v>552</v>
      </c>
      <c r="D159" s="613" t="s">
        <v>1194</v>
      </c>
      <c r="E159" s="612" t="s">
        <v>558</v>
      </c>
      <c r="F159" s="613" t="s">
        <v>1195</v>
      </c>
      <c r="G159" s="612" t="s">
        <v>559</v>
      </c>
      <c r="H159" s="612" t="s">
        <v>760</v>
      </c>
      <c r="I159" s="612" t="s">
        <v>761</v>
      </c>
      <c r="J159" s="612" t="s">
        <v>762</v>
      </c>
      <c r="K159" s="612"/>
      <c r="L159" s="614">
        <v>134.09967710674036</v>
      </c>
      <c r="M159" s="614">
        <v>31</v>
      </c>
      <c r="N159" s="615">
        <v>4157.0899903089512</v>
      </c>
    </row>
    <row r="160" spans="1:14" ht="14.4" customHeight="1" x14ac:dyDescent="0.3">
      <c r="A160" s="610" t="s">
        <v>538</v>
      </c>
      <c r="B160" s="611" t="s">
        <v>539</v>
      </c>
      <c r="C160" s="612" t="s">
        <v>552</v>
      </c>
      <c r="D160" s="613" t="s">
        <v>1194</v>
      </c>
      <c r="E160" s="612" t="s">
        <v>558</v>
      </c>
      <c r="F160" s="613" t="s">
        <v>1195</v>
      </c>
      <c r="G160" s="612" t="s">
        <v>559</v>
      </c>
      <c r="H160" s="612" t="s">
        <v>920</v>
      </c>
      <c r="I160" s="612" t="s">
        <v>921</v>
      </c>
      <c r="J160" s="612" t="s">
        <v>592</v>
      </c>
      <c r="K160" s="612" t="s">
        <v>922</v>
      </c>
      <c r="L160" s="614">
        <v>88.898220580766136</v>
      </c>
      <c r="M160" s="614">
        <v>6</v>
      </c>
      <c r="N160" s="615">
        <v>533.38932348459684</v>
      </c>
    </row>
    <row r="161" spans="1:14" ht="14.4" customHeight="1" x14ac:dyDescent="0.3">
      <c r="A161" s="610" t="s">
        <v>538</v>
      </c>
      <c r="B161" s="611" t="s">
        <v>539</v>
      </c>
      <c r="C161" s="612" t="s">
        <v>552</v>
      </c>
      <c r="D161" s="613" t="s">
        <v>1194</v>
      </c>
      <c r="E161" s="612" t="s">
        <v>558</v>
      </c>
      <c r="F161" s="613" t="s">
        <v>1195</v>
      </c>
      <c r="G161" s="612" t="s">
        <v>559</v>
      </c>
      <c r="H161" s="612" t="s">
        <v>763</v>
      </c>
      <c r="I161" s="612" t="s">
        <v>189</v>
      </c>
      <c r="J161" s="612" t="s">
        <v>764</v>
      </c>
      <c r="K161" s="612"/>
      <c r="L161" s="614">
        <v>37.4345</v>
      </c>
      <c r="M161" s="614">
        <v>90</v>
      </c>
      <c r="N161" s="615">
        <v>3369.105</v>
      </c>
    </row>
    <row r="162" spans="1:14" ht="14.4" customHeight="1" x14ac:dyDescent="0.3">
      <c r="A162" s="610" t="s">
        <v>538</v>
      </c>
      <c r="B162" s="611" t="s">
        <v>539</v>
      </c>
      <c r="C162" s="612" t="s">
        <v>552</v>
      </c>
      <c r="D162" s="613" t="s">
        <v>1194</v>
      </c>
      <c r="E162" s="612" t="s">
        <v>558</v>
      </c>
      <c r="F162" s="613" t="s">
        <v>1195</v>
      </c>
      <c r="G162" s="612" t="s">
        <v>559</v>
      </c>
      <c r="H162" s="612" t="s">
        <v>594</v>
      </c>
      <c r="I162" s="612" t="s">
        <v>595</v>
      </c>
      <c r="J162" s="612" t="s">
        <v>596</v>
      </c>
      <c r="K162" s="612" t="s">
        <v>597</v>
      </c>
      <c r="L162" s="614">
        <v>197.75129122349833</v>
      </c>
      <c r="M162" s="614">
        <v>21</v>
      </c>
      <c r="N162" s="615">
        <v>4152.777115693465</v>
      </c>
    </row>
    <row r="163" spans="1:14" ht="14.4" customHeight="1" x14ac:dyDescent="0.3">
      <c r="A163" s="610" t="s">
        <v>538</v>
      </c>
      <c r="B163" s="611" t="s">
        <v>539</v>
      </c>
      <c r="C163" s="612" t="s">
        <v>552</v>
      </c>
      <c r="D163" s="613" t="s">
        <v>1194</v>
      </c>
      <c r="E163" s="612" t="s">
        <v>558</v>
      </c>
      <c r="F163" s="613" t="s">
        <v>1195</v>
      </c>
      <c r="G163" s="612" t="s">
        <v>559</v>
      </c>
      <c r="H163" s="612" t="s">
        <v>598</v>
      </c>
      <c r="I163" s="612" t="s">
        <v>189</v>
      </c>
      <c r="J163" s="612" t="s">
        <v>599</v>
      </c>
      <c r="K163" s="612"/>
      <c r="L163" s="614">
        <v>37.193727927392402</v>
      </c>
      <c r="M163" s="614">
        <v>2008</v>
      </c>
      <c r="N163" s="615">
        <v>74685.005678203946</v>
      </c>
    </row>
    <row r="164" spans="1:14" ht="14.4" customHeight="1" x14ac:dyDescent="0.3">
      <c r="A164" s="610" t="s">
        <v>538</v>
      </c>
      <c r="B164" s="611" t="s">
        <v>539</v>
      </c>
      <c r="C164" s="612" t="s">
        <v>552</v>
      </c>
      <c r="D164" s="613" t="s">
        <v>1194</v>
      </c>
      <c r="E164" s="612" t="s">
        <v>558</v>
      </c>
      <c r="F164" s="613" t="s">
        <v>1195</v>
      </c>
      <c r="G164" s="612" t="s">
        <v>559</v>
      </c>
      <c r="H164" s="612" t="s">
        <v>923</v>
      </c>
      <c r="I164" s="612" t="s">
        <v>924</v>
      </c>
      <c r="J164" s="612" t="s">
        <v>576</v>
      </c>
      <c r="K164" s="612" t="s">
        <v>925</v>
      </c>
      <c r="L164" s="614">
        <v>42.408202055979608</v>
      </c>
      <c r="M164" s="614">
        <v>17</v>
      </c>
      <c r="N164" s="615">
        <v>720.93943495165331</v>
      </c>
    </row>
    <row r="165" spans="1:14" ht="14.4" customHeight="1" x14ac:dyDescent="0.3">
      <c r="A165" s="610" t="s">
        <v>538</v>
      </c>
      <c r="B165" s="611" t="s">
        <v>539</v>
      </c>
      <c r="C165" s="612" t="s">
        <v>552</v>
      </c>
      <c r="D165" s="613" t="s">
        <v>1194</v>
      </c>
      <c r="E165" s="612" t="s">
        <v>558</v>
      </c>
      <c r="F165" s="613" t="s">
        <v>1195</v>
      </c>
      <c r="G165" s="612" t="s">
        <v>559</v>
      </c>
      <c r="H165" s="612" t="s">
        <v>926</v>
      </c>
      <c r="I165" s="612" t="s">
        <v>927</v>
      </c>
      <c r="J165" s="612" t="s">
        <v>928</v>
      </c>
      <c r="K165" s="612" t="s">
        <v>569</v>
      </c>
      <c r="L165" s="614">
        <v>124.41056479882882</v>
      </c>
      <c r="M165" s="614">
        <v>19</v>
      </c>
      <c r="N165" s="615">
        <v>2363.8007311777474</v>
      </c>
    </row>
    <row r="166" spans="1:14" ht="14.4" customHeight="1" x14ac:dyDescent="0.3">
      <c r="A166" s="610" t="s">
        <v>538</v>
      </c>
      <c r="B166" s="611" t="s">
        <v>539</v>
      </c>
      <c r="C166" s="612" t="s">
        <v>552</v>
      </c>
      <c r="D166" s="613" t="s">
        <v>1194</v>
      </c>
      <c r="E166" s="612" t="s">
        <v>558</v>
      </c>
      <c r="F166" s="613" t="s">
        <v>1195</v>
      </c>
      <c r="G166" s="612" t="s">
        <v>559</v>
      </c>
      <c r="H166" s="612" t="s">
        <v>929</v>
      </c>
      <c r="I166" s="612" t="s">
        <v>930</v>
      </c>
      <c r="J166" s="612" t="s">
        <v>931</v>
      </c>
      <c r="K166" s="612" t="s">
        <v>932</v>
      </c>
      <c r="L166" s="614">
        <v>358.99763659966152</v>
      </c>
      <c r="M166" s="614">
        <v>11</v>
      </c>
      <c r="N166" s="615">
        <v>3948.9740025962769</v>
      </c>
    </row>
    <row r="167" spans="1:14" ht="14.4" customHeight="1" x14ac:dyDescent="0.3">
      <c r="A167" s="610" t="s">
        <v>538</v>
      </c>
      <c r="B167" s="611" t="s">
        <v>539</v>
      </c>
      <c r="C167" s="612" t="s">
        <v>552</v>
      </c>
      <c r="D167" s="613" t="s">
        <v>1194</v>
      </c>
      <c r="E167" s="612" t="s">
        <v>558</v>
      </c>
      <c r="F167" s="613" t="s">
        <v>1195</v>
      </c>
      <c r="G167" s="612" t="s">
        <v>559</v>
      </c>
      <c r="H167" s="612" t="s">
        <v>933</v>
      </c>
      <c r="I167" s="612" t="s">
        <v>934</v>
      </c>
      <c r="J167" s="612" t="s">
        <v>898</v>
      </c>
      <c r="K167" s="612" t="s">
        <v>935</v>
      </c>
      <c r="L167" s="614">
        <v>74.950065728279597</v>
      </c>
      <c r="M167" s="614">
        <v>7</v>
      </c>
      <c r="N167" s="615">
        <v>524.65046009795719</v>
      </c>
    </row>
    <row r="168" spans="1:14" ht="14.4" customHeight="1" x14ac:dyDescent="0.3">
      <c r="A168" s="610" t="s">
        <v>538</v>
      </c>
      <c r="B168" s="611" t="s">
        <v>539</v>
      </c>
      <c r="C168" s="612" t="s">
        <v>552</v>
      </c>
      <c r="D168" s="613" t="s">
        <v>1194</v>
      </c>
      <c r="E168" s="612" t="s">
        <v>558</v>
      </c>
      <c r="F168" s="613" t="s">
        <v>1195</v>
      </c>
      <c r="G168" s="612" t="s">
        <v>559</v>
      </c>
      <c r="H168" s="612" t="s">
        <v>936</v>
      </c>
      <c r="I168" s="612" t="s">
        <v>937</v>
      </c>
      <c r="J168" s="612" t="s">
        <v>938</v>
      </c>
      <c r="K168" s="612" t="s">
        <v>939</v>
      </c>
      <c r="L168" s="614">
        <v>52.22</v>
      </c>
      <c r="M168" s="614">
        <v>2</v>
      </c>
      <c r="N168" s="615">
        <v>104.44</v>
      </c>
    </row>
    <row r="169" spans="1:14" ht="14.4" customHeight="1" x14ac:dyDescent="0.3">
      <c r="A169" s="610" t="s">
        <v>538</v>
      </c>
      <c r="B169" s="611" t="s">
        <v>539</v>
      </c>
      <c r="C169" s="612" t="s">
        <v>552</v>
      </c>
      <c r="D169" s="613" t="s">
        <v>1194</v>
      </c>
      <c r="E169" s="612" t="s">
        <v>558</v>
      </c>
      <c r="F169" s="613" t="s">
        <v>1195</v>
      </c>
      <c r="G169" s="612" t="s">
        <v>559</v>
      </c>
      <c r="H169" s="612" t="s">
        <v>600</v>
      </c>
      <c r="I169" s="612" t="s">
        <v>601</v>
      </c>
      <c r="J169" s="612" t="s">
        <v>602</v>
      </c>
      <c r="K169" s="612" t="s">
        <v>603</v>
      </c>
      <c r="L169" s="614">
        <v>59.599831312030453</v>
      </c>
      <c r="M169" s="614">
        <v>8</v>
      </c>
      <c r="N169" s="615">
        <v>476.79865049624362</v>
      </c>
    </row>
    <row r="170" spans="1:14" ht="14.4" customHeight="1" x14ac:dyDescent="0.3">
      <c r="A170" s="610" t="s">
        <v>538</v>
      </c>
      <c r="B170" s="611" t="s">
        <v>539</v>
      </c>
      <c r="C170" s="612" t="s">
        <v>552</v>
      </c>
      <c r="D170" s="613" t="s">
        <v>1194</v>
      </c>
      <c r="E170" s="612" t="s">
        <v>558</v>
      </c>
      <c r="F170" s="613" t="s">
        <v>1195</v>
      </c>
      <c r="G170" s="612" t="s">
        <v>559</v>
      </c>
      <c r="H170" s="612" t="s">
        <v>940</v>
      </c>
      <c r="I170" s="612" t="s">
        <v>940</v>
      </c>
      <c r="J170" s="612" t="s">
        <v>941</v>
      </c>
      <c r="K170" s="612" t="s">
        <v>857</v>
      </c>
      <c r="L170" s="614">
        <v>288.52999999999997</v>
      </c>
      <c r="M170" s="614">
        <v>3</v>
      </c>
      <c r="N170" s="615">
        <v>865.58999999999992</v>
      </c>
    </row>
    <row r="171" spans="1:14" ht="14.4" customHeight="1" x14ac:dyDescent="0.3">
      <c r="A171" s="610" t="s">
        <v>538</v>
      </c>
      <c r="B171" s="611" t="s">
        <v>539</v>
      </c>
      <c r="C171" s="612" t="s">
        <v>552</v>
      </c>
      <c r="D171" s="613" t="s">
        <v>1194</v>
      </c>
      <c r="E171" s="612" t="s">
        <v>558</v>
      </c>
      <c r="F171" s="613" t="s">
        <v>1195</v>
      </c>
      <c r="G171" s="612" t="s">
        <v>559</v>
      </c>
      <c r="H171" s="612" t="s">
        <v>942</v>
      </c>
      <c r="I171" s="612" t="s">
        <v>943</v>
      </c>
      <c r="J171" s="612" t="s">
        <v>944</v>
      </c>
      <c r="K171" s="612" t="s">
        <v>865</v>
      </c>
      <c r="L171" s="614">
        <v>40.920831247574391</v>
      </c>
      <c r="M171" s="614">
        <v>21</v>
      </c>
      <c r="N171" s="615">
        <v>859.33745619906222</v>
      </c>
    </row>
    <row r="172" spans="1:14" ht="14.4" customHeight="1" x14ac:dyDescent="0.3">
      <c r="A172" s="610" t="s">
        <v>538</v>
      </c>
      <c r="B172" s="611" t="s">
        <v>539</v>
      </c>
      <c r="C172" s="612" t="s">
        <v>552</v>
      </c>
      <c r="D172" s="613" t="s">
        <v>1194</v>
      </c>
      <c r="E172" s="612" t="s">
        <v>558</v>
      </c>
      <c r="F172" s="613" t="s">
        <v>1195</v>
      </c>
      <c r="G172" s="612" t="s">
        <v>559</v>
      </c>
      <c r="H172" s="612" t="s">
        <v>945</v>
      </c>
      <c r="I172" s="612" t="s">
        <v>946</v>
      </c>
      <c r="J172" s="612" t="s">
        <v>947</v>
      </c>
      <c r="K172" s="612" t="s">
        <v>948</v>
      </c>
      <c r="L172" s="614">
        <v>259.91000000000003</v>
      </c>
      <c r="M172" s="614">
        <v>2</v>
      </c>
      <c r="N172" s="615">
        <v>519.82000000000005</v>
      </c>
    </row>
    <row r="173" spans="1:14" ht="14.4" customHeight="1" x14ac:dyDescent="0.3">
      <c r="A173" s="610" t="s">
        <v>538</v>
      </c>
      <c r="B173" s="611" t="s">
        <v>539</v>
      </c>
      <c r="C173" s="612" t="s">
        <v>552</v>
      </c>
      <c r="D173" s="613" t="s">
        <v>1194</v>
      </c>
      <c r="E173" s="612" t="s">
        <v>558</v>
      </c>
      <c r="F173" s="613" t="s">
        <v>1195</v>
      </c>
      <c r="G173" s="612" t="s">
        <v>559</v>
      </c>
      <c r="H173" s="612" t="s">
        <v>949</v>
      </c>
      <c r="I173" s="612" t="s">
        <v>950</v>
      </c>
      <c r="J173" s="612" t="s">
        <v>951</v>
      </c>
      <c r="K173" s="612" t="s">
        <v>952</v>
      </c>
      <c r="L173" s="614">
        <v>1337.7398019312691</v>
      </c>
      <c r="M173" s="614">
        <v>1</v>
      </c>
      <c r="N173" s="615">
        <v>1337.7398019312691</v>
      </c>
    </row>
    <row r="174" spans="1:14" ht="14.4" customHeight="1" x14ac:dyDescent="0.3">
      <c r="A174" s="610" t="s">
        <v>538</v>
      </c>
      <c r="B174" s="611" t="s">
        <v>539</v>
      </c>
      <c r="C174" s="612" t="s">
        <v>552</v>
      </c>
      <c r="D174" s="613" t="s">
        <v>1194</v>
      </c>
      <c r="E174" s="612" t="s">
        <v>558</v>
      </c>
      <c r="F174" s="613" t="s">
        <v>1195</v>
      </c>
      <c r="G174" s="612" t="s">
        <v>559</v>
      </c>
      <c r="H174" s="612" t="s">
        <v>953</v>
      </c>
      <c r="I174" s="612" t="s">
        <v>954</v>
      </c>
      <c r="J174" s="612" t="s">
        <v>955</v>
      </c>
      <c r="K174" s="612" t="s">
        <v>956</v>
      </c>
      <c r="L174" s="614">
        <v>1048.0280603281706</v>
      </c>
      <c r="M174" s="614">
        <v>25</v>
      </c>
      <c r="N174" s="615">
        <v>26200.701508204264</v>
      </c>
    </row>
    <row r="175" spans="1:14" ht="14.4" customHeight="1" x14ac:dyDescent="0.3">
      <c r="A175" s="610" t="s">
        <v>538</v>
      </c>
      <c r="B175" s="611" t="s">
        <v>539</v>
      </c>
      <c r="C175" s="612" t="s">
        <v>552</v>
      </c>
      <c r="D175" s="613" t="s">
        <v>1194</v>
      </c>
      <c r="E175" s="612" t="s">
        <v>558</v>
      </c>
      <c r="F175" s="613" t="s">
        <v>1195</v>
      </c>
      <c r="G175" s="612" t="s">
        <v>559</v>
      </c>
      <c r="H175" s="612" t="s">
        <v>604</v>
      </c>
      <c r="I175" s="612" t="s">
        <v>605</v>
      </c>
      <c r="J175" s="612" t="s">
        <v>606</v>
      </c>
      <c r="K175" s="612" t="s">
        <v>607</v>
      </c>
      <c r="L175" s="614">
        <v>50.129463006875795</v>
      </c>
      <c r="M175" s="614">
        <v>2</v>
      </c>
      <c r="N175" s="615">
        <v>100.25892601375159</v>
      </c>
    </row>
    <row r="176" spans="1:14" ht="14.4" customHeight="1" x14ac:dyDescent="0.3">
      <c r="A176" s="610" t="s">
        <v>538</v>
      </c>
      <c r="B176" s="611" t="s">
        <v>539</v>
      </c>
      <c r="C176" s="612" t="s">
        <v>552</v>
      </c>
      <c r="D176" s="613" t="s">
        <v>1194</v>
      </c>
      <c r="E176" s="612" t="s">
        <v>558</v>
      </c>
      <c r="F176" s="613" t="s">
        <v>1195</v>
      </c>
      <c r="G176" s="612" t="s">
        <v>559</v>
      </c>
      <c r="H176" s="612" t="s">
        <v>608</v>
      </c>
      <c r="I176" s="612" t="s">
        <v>189</v>
      </c>
      <c r="J176" s="612" t="s">
        <v>609</v>
      </c>
      <c r="K176" s="612"/>
      <c r="L176" s="614">
        <v>41.365900669098792</v>
      </c>
      <c r="M176" s="614">
        <v>48</v>
      </c>
      <c r="N176" s="615">
        <v>1985.563232116742</v>
      </c>
    </row>
    <row r="177" spans="1:14" ht="14.4" customHeight="1" x14ac:dyDescent="0.3">
      <c r="A177" s="610" t="s">
        <v>538</v>
      </c>
      <c r="B177" s="611" t="s">
        <v>539</v>
      </c>
      <c r="C177" s="612" t="s">
        <v>552</v>
      </c>
      <c r="D177" s="613" t="s">
        <v>1194</v>
      </c>
      <c r="E177" s="612" t="s">
        <v>558</v>
      </c>
      <c r="F177" s="613" t="s">
        <v>1195</v>
      </c>
      <c r="G177" s="612" t="s">
        <v>559</v>
      </c>
      <c r="H177" s="612" t="s">
        <v>957</v>
      </c>
      <c r="I177" s="612" t="s">
        <v>958</v>
      </c>
      <c r="J177" s="612" t="s">
        <v>959</v>
      </c>
      <c r="K177" s="612" t="s">
        <v>960</v>
      </c>
      <c r="L177" s="614">
        <v>56.759648054379454</v>
      </c>
      <c r="M177" s="614">
        <v>10</v>
      </c>
      <c r="N177" s="615">
        <v>567.59648054379454</v>
      </c>
    </row>
    <row r="178" spans="1:14" ht="14.4" customHeight="1" x14ac:dyDescent="0.3">
      <c r="A178" s="610" t="s">
        <v>538</v>
      </c>
      <c r="B178" s="611" t="s">
        <v>539</v>
      </c>
      <c r="C178" s="612" t="s">
        <v>552</v>
      </c>
      <c r="D178" s="613" t="s">
        <v>1194</v>
      </c>
      <c r="E178" s="612" t="s">
        <v>558</v>
      </c>
      <c r="F178" s="613" t="s">
        <v>1195</v>
      </c>
      <c r="G178" s="612" t="s">
        <v>559</v>
      </c>
      <c r="H178" s="612" t="s">
        <v>961</v>
      </c>
      <c r="I178" s="612" t="s">
        <v>962</v>
      </c>
      <c r="J178" s="612" t="s">
        <v>963</v>
      </c>
      <c r="K178" s="612" t="s">
        <v>964</v>
      </c>
      <c r="L178" s="614">
        <v>104.06999999999996</v>
      </c>
      <c r="M178" s="614">
        <v>1</v>
      </c>
      <c r="N178" s="615">
        <v>104.06999999999996</v>
      </c>
    </row>
    <row r="179" spans="1:14" ht="14.4" customHeight="1" x14ac:dyDescent="0.3">
      <c r="A179" s="610" t="s">
        <v>538</v>
      </c>
      <c r="B179" s="611" t="s">
        <v>539</v>
      </c>
      <c r="C179" s="612" t="s">
        <v>552</v>
      </c>
      <c r="D179" s="613" t="s">
        <v>1194</v>
      </c>
      <c r="E179" s="612" t="s">
        <v>558</v>
      </c>
      <c r="F179" s="613" t="s">
        <v>1195</v>
      </c>
      <c r="G179" s="612" t="s">
        <v>559</v>
      </c>
      <c r="H179" s="612" t="s">
        <v>610</v>
      </c>
      <c r="I179" s="612" t="s">
        <v>610</v>
      </c>
      <c r="J179" s="612" t="s">
        <v>611</v>
      </c>
      <c r="K179" s="612" t="s">
        <v>612</v>
      </c>
      <c r="L179" s="614">
        <v>75.746495344743479</v>
      </c>
      <c r="M179" s="614">
        <v>23</v>
      </c>
      <c r="N179" s="615">
        <v>1742.1693929291</v>
      </c>
    </row>
    <row r="180" spans="1:14" ht="14.4" customHeight="1" x14ac:dyDescent="0.3">
      <c r="A180" s="610" t="s">
        <v>538</v>
      </c>
      <c r="B180" s="611" t="s">
        <v>539</v>
      </c>
      <c r="C180" s="612" t="s">
        <v>552</v>
      </c>
      <c r="D180" s="613" t="s">
        <v>1194</v>
      </c>
      <c r="E180" s="612" t="s">
        <v>558</v>
      </c>
      <c r="F180" s="613" t="s">
        <v>1195</v>
      </c>
      <c r="G180" s="612" t="s">
        <v>559</v>
      </c>
      <c r="H180" s="612" t="s">
        <v>613</v>
      </c>
      <c r="I180" s="612" t="s">
        <v>614</v>
      </c>
      <c r="J180" s="612" t="s">
        <v>615</v>
      </c>
      <c r="K180" s="612" t="s">
        <v>616</v>
      </c>
      <c r="L180" s="614">
        <v>58.70435462851124</v>
      </c>
      <c r="M180" s="614">
        <v>119</v>
      </c>
      <c r="N180" s="615">
        <v>6985.8182007928372</v>
      </c>
    </row>
    <row r="181" spans="1:14" ht="14.4" customHeight="1" x14ac:dyDescent="0.3">
      <c r="A181" s="610" t="s">
        <v>538</v>
      </c>
      <c r="B181" s="611" t="s">
        <v>539</v>
      </c>
      <c r="C181" s="612" t="s">
        <v>552</v>
      </c>
      <c r="D181" s="613" t="s">
        <v>1194</v>
      </c>
      <c r="E181" s="612" t="s">
        <v>558</v>
      </c>
      <c r="F181" s="613" t="s">
        <v>1195</v>
      </c>
      <c r="G181" s="612" t="s">
        <v>559</v>
      </c>
      <c r="H181" s="612" t="s">
        <v>965</v>
      </c>
      <c r="I181" s="612" t="s">
        <v>966</v>
      </c>
      <c r="J181" s="612" t="s">
        <v>967</v>
      </c>
      <c r="K181" s="612" t="s">
        <v>968</v>
      </c>
      <c r="L181" s="614">
        <v>0</v>
      </c>
      <c r="M181" s="614">
        <v>0</v>
      </c>
      <c r="N181" s="615">
        <v>0</v>
      </c>
    </row>
    <row r="182" spans="1:14" ht="14.4" customHeight="1" x14ac:dyDescent="0.3">
      <c r="A182" s="610" t="s">
        <v>538</v>
      </c>
      <c r="B182" s="611" t="s">
        <v>539</v>
      </c>
      <c r="C182" s="612" t="s">
        <v>552</v>
      </c>
      <c r="D182" s="613" t="s">
        <v>1194</v>
      </c>
      <c r="E182" s="612" t="s">
        <v>558</v>
      </c>
      <c r="F182" s="613" t="s">
        <v>1195</v>
      </c>
      <c r="G182" s="612" t="s">
        <v>559</v>
      </c>
      <c r="H182" s="612" t="s">
        <v>617</v>
      </c>
      <c r="I182" s="612" t="s">
        <v>189</v>
      </c>
      <c r="J182" s="612" t="s">
        <v>618</v>
      </c>
      <c r="K182" s="612" t="s">
        <v>619</v>
      </c>
      <c r="L182" s="614">
        <v>23.700145153912292</v>
      </c>
      <c r="M182" s="614">
        <v>534</v>
      </c>
      <c r="N182" s="615">
        <v>12655.877512189163</v>
      </c>
    </row>
    <row r="183" spans="1:14" ht="14.4" customHeight="1" x14ac:dyDescent="0.3">
      <c r="A183" s="610" t="s">
        <v>538</v>
      </c>
      <c r="B183" s="611" t="s">
        <v>539</v>
      </c>
      <c r="C183" s="612" t="s">
        <v>552</v>
      </c>
      <c r="D183" s="613" t="s">
        <v>1194</v>
      </c>
      <c r="E183" s="612" t="s">
        <v>558</v>
      </c>
      <c r="F183" s="613" t="s">
        <v>1195</v>
      </c>
      <c r="G183" s="612" t="s">
        <v>559</v>
      </c>
      <c r="H183" s="612" t="s">
        <v>969</v>
      </c>
      <c r="I183" s="612" t="s">
        <v>970</v>
      </c>
      <c r="J183" s="612" t="s">
        <v>971</v>
      </c>
      <c r="K183" s="612" t="s">
        <v>972</v>
      </c>
      <c r="L183" s="614">
        <v>34.023333333333333</v>
      </c>
      <c r="M183" s="614">
        <v>3</v>
      </c>
      <c r="N183" s="615">
        <v>102.07</v>
      </c>
    </row>
    <row r="184" spans="1:14" ht="14.4" customHeight="1" x14ac:dyDescent="0.3">
      <c r="A184" s="610" t="s">
        <v>538</v>
      </c>
      <c r="B184" s="611" t="s">
        <v>539</v>
      </c>
      <c r="C184" s="612" t="s">
        <v>552</v>
      </c>
      <c r="D184" s="613" t="s">
        <v>1194</v>
      </c>
      <c r="E184" s="612" t="s">
        <v>558</v>
      </c>
      <c r="F184" s="613" t="s">
        <v>1195</v>
      </c>
      <c r="G184" s="612" t="s">
        <v>559</v>
      </c>
      <c r="H184" s="612" t="s">
        <v>765</v>
      </c>
      <c r="I184" s="612" t="s">
        <v>766</v>
      </c>
      <c r="J184" s="612" t="s">
        <v>767</v>
      </c>
      <c r="K184" s="612" t="s">
        <v>768</v>
      </c>
      <c r="L184" s="614">
        <v>21.652227272727266</v>
      </c>
      <c r="M184" s="614">
        <v>44</v>
      </c>
      <c r="N184" s="615">
        <v>952.69799999999975</v>
      </c>
    </row>
    <row r="185" spans="1:14" ht="14.4" customHeight="1" x14ac:dyDescent="0.3">
      <c r="A185" s="610" t="s">
        <v>538</v>
      </c>
      <c r="B185" s="611" t="s">
        <v>539</v>
      </c>
      <c r="C185" s="612" t="s">
        <v>552</v>
      </c>
      <c r="D185" s="613" t="s">
        <v>1194</v>
      </c>
      <c r="E185" s="612" t="s">
        <v>558</v>
      </c>
      <c r="F185" s="613" t="s">
        <v>1195</v>
      </c>
      <c r="G185" s="612" t="s">
        <v>559</v>
      </c>
      <c r="H185" s="612" t="s">
        <v>973</v>
      </c>
      <c r="I185" s="612" t="s">
        <v>974</v>
      </c>
      <c r="J185" s="612" t="s">
        <v>975</v>
      </c>
      <c r="K185" s="612" t="s">
        <v>768</v>
      </c>
      <c r="L185" s="614">
        <v>37.036288307855152</v>
      </c>
      <c r="M185" s="614">
        <v>60</v>
      </c>
      <c r="N185" s="615">
        <v>2222.1772984713093</v>
      </c>
    </row>
    <row r="186" spans="1:14" ht="14.4" customHeight="1" x14ac:dyDescent="0.3">
      <c r="A186" s="610" t="s">
        <v>538</v>
      </c>
      <c r="B186" s="611" t="s">
        <v>539</v>
      </c>
      <c r="C186" s="612" t="s">
        <v>552</v>
      </c>
      <c r="D186" s="613" t="s">
        <v>1194</v>
      </c>
      <c r="E186" s="612" t="s">
        <v>558</v>
      </c>
      <c r="F186" s="613" t="s">
        <v>1195</v>
      </c>
      <c r="G186" s="612" t="s">
        <v>559</v>
      </c>
      <c r="H186" s="612" t="s">
        <v>769</v>
      </c>
      <c r="I186" s="612" t="s">
        <v>770</v>
      </c>
      <c r="J186" s="612" t="s">
        <v>771</v>
      </c>
      <c r="K186" s="612" t="s">
        <v>772</v>
      </c>
      <c r="L186" s="614">
        <v>34.146562973112772</v>
      </c>
      <c r="M186" s="614">
        <v>6</v>
      </c>
      <c r="N186" s="615">
        <v>204.87937783867665</v>
      </c>
    </row>
    <row r="187" spans="1:14" ht="14.4" customHeight="1" x14ac:dyDescent="0.3">
      <c r="A187" s="610" t="s">
        <v>538</v>
      </c>
      <c r="B187" s="611" t="s">
        <v>539</v>
      </c>
      <c r="C187" s="612" t="s">
        <v>552</v>
      </c>
      <c r="D187" s="613" t="s">
        <v>1194</v>
      </c>
      <c r="E187" s="612" t="s">
        <v>558</v>
      </c>
      <c r="F187" s="613" t="s">
        <v>1195</v>
      </c>
      <c r="G187" s="612" t="s">
        <v>559</v>
      </c>
      <c r="H187" s="612" t="s">
        <v>620</v>
      </c>
      <c r="I187" s="612" t="s">
        <v>189</v>
      </c>
      <c r="J187" s="612" t="s">
        <v>621</v>
      </c>
      <c r="K187" s="612" t="s">
        <v>622</v>
      </c>
      <c r="L187" s="614">
        <v>199.67000000000004</v>
      </c>
      <c r="M187" s="614">
        <v>3</v>
      </c>
      <c r="N187" s="615">
        <v>599.0100000000001</v>
      </c>
    </row>
    <row r="188" spans="1:14" ht="14.4" customHeight="1" x14ac:dyDescent="0.3">
      <c r="A188" s="610" t="s">
        <v>538</v>
      </c>
      <c r="B188" s="611" t="s">
        <v>539</v>
      </c>
      <c r="C188" s="612" t="s">
        <v>552</v>
      </c>
      <c r="D188" s="613" t="s">
        <v>1194</v>
      </c>
      <c r="E188" s="612" t="s">
        <v>558</v>
      </c>
      <c r="F188" s="613" t="s">
        <v>1195</v>
      </c>
      <c r="G188" s="612" t="s">
        <v>559</v>
      </c>
      <c r="H188" s="612" t="s">
        <v>773</v>
      </c>
      <c r="I188" s="612" t="s">
        <v>774</v>
      </c>
      <c r="J188" s="612" t="s">
        <v>775</v>
      </c>
      <c r="K188" s="612" t="s">
        <v>776</v>
      </c>
      <c r="L188" s="614">
        <v>71.017946804132833</v>
      </c>
      <c r="M188" s="614">
        <v>10</v>
      </c>
      <c r="N188" s="615">
        <v>710.17946804132839</v>
      </c>
    </row>
    <row r="189" spans="1:14" ht="14.4" customHeight="1" x14ac:dyDescent="0.3">
      <c r="A189" s="610" t="s">
        <v>538</v>
      </c>
      <c r="B189" s="611" t="s">
        <v>539</v>
      </c>
      <c r="C189" s="612" t="s">
        <v>552</v>
      </c>
      <c r="D189" s="613" t="s">
        <v>1194</v>
      </c>
      <c r="E189" s="612" t="s">
        <v>558</v>
      </c>
      <c r="F189" s="613" t="s">
        <v>1195</v>
      </c>
      <c r="G189" s="612" t="s">
        <v>559</v>
      </c>
      <c r="H189" s="612" t="s">
        <v>976</v>
      </c>
      <c r="I189" s="612" t="s">
        <v>977</v>
      </c>
      <c r="J189" s="612" t="s">
        <v>978</v>
      </c>
      <c r="K189" s="612" t="s">
        <v>979</v>
      </c>
      <c r="L189" s="614">
        <v>51.74999999999995</v>
      </c>
      <c r="M189" s="614">
        <v>1</v>
      </c>
      <c r="N189" s="615">
        <v>51.74999999999995</v>
      </c>
    </row>
    <row r="190" spans="1:14" ht="14.4" customHeight="1" x14ac:dyDescent="0.3">
      <c r="A190" s="610" t="s">
        <v>538</v>
      </c>
      <c r="B190" s="611" t="s">
        <v>539</v>
      </c>
      <c r="C190" s="612" t="s">
        <v>552</v>
      </c>
      <c r="D190" s="613" t="s">
        <v>1194</v>
      </c>
      <c r="E190" s="612" t="s">
        <v>558</v>
      </c>
      <c r="F190" s="613" t="s">
        <v>1195</v>
      </c>
      <c r="G190" s="612" t="s">
        <v>559</v>
      </c>
      <c r="H190" s="612" t="s">
        <v>980</v>
      </c>
      <c r="I190" s="612" t="s">
        <v>981</v>
      </c>
      <c r="J190" s="612" t="s">
        <v>982</v>
      </c>
      <c r="K190" s="612" t="s">
        <v>983</v>
      </c>
      <c r="L190" s="614">
        <v>112.16832282117539</v>
      </c>
      <c r="M190" s="614">
        <v>1</v>
      </c>
      <c r="N190" s="615">
        <v>112.16832282117539</v>
      </c>
    </row>
    <row r="191" spans="1:14" ht="14.4" customHeight="1" x14ac:dyDescent="0.3">
      <c r="A191" s="610" t="s">
        <v>538</v>
      </c>
      <c r="B191" s="611" t="s">
        <v>539</v>
      </c>
      <c r="C191" s="612" t="s">
        <v>552</v>
      </c>
      <c r="D191" s="613" t="s">
        <v>1194</v>
      </c>
      <c r="E191" s="612" t="s">
        <v>558</v>
      </c>
      <c r="F191" s="613" t="s">
        <v>1195</v>
      </c>
      <c r="G191" s="612" t="s">
        <v>559</v>
      </c>
      <c r="H191" s="612" t="s">
        <v>627</v>
      </c>
      <c r="I191" s="612" t="s">
        <v>579</v>
      </c>
      <c r="J191" s="612" t="s">
        <v>628</v>
      </c>
      <c r="K191" s="612"/>
      <c r="L191" s="614">
        <v>368.50517673503293</v>
      </c>
      <c r="M191" s="614">
        <v>7</v>
      </c>
      <c r="N191" s="615">
        <v>2579.5362371452306</v>
      </c>
    </row>
    <row r="192" spans="1:14" ht="14.4" customHeight="1" x14ac:dyDescent="0.3">
      <c r="A192" s="610" t="s">
        <v>538</v>
      </c>
      <c r="B192" s="611" t="s">
        <v>539</v>
      </c>
      <c r="C192" s="612" t="s">
        <v>552</v>
      </c>
      <c r="D192" s="613" t="s">
        <v>1194</v>
      </c>
      <c r="E192" s="612" t="s">
        <v>558</v>
      </c>
      <c r="F192" s="613" t="s">
        <v>1195</v>
      </c>
      <c r="G192" s="612" t="s">
        <v>559</v>
      </c>
      <c r="H192" s="612" t="s">
        <v>984</v>
      </c>
      <c r="I192" s="612" t="s">
        <v>189</v>
      </c>
      <c r="J192" s="612" t="s">
        <v>985</v>
      </c>
      <c r="K192" s="612"/>
      <c r="L192" s="614">
        <v>61.63</v>
      </c>
      <c r="M192" s="614">
        <v>1</v>
      </c>
      <c r="N192" s="615">
        <v>61.63</v>
      </c>
    </row>
    <row r="193" spans="1:14" ht="14.4" customHeight="1" x14ac:dyDescent="0.3">
      <c r="A193" s="610" t="s">
        <v>538</v>
      </c>
      <c r="B193" s="611" t="s">
        <v>539</v>
      </c>
      <c r="C193" s="612" t="s">
        <v>552</v>
      </c>
      <c r="D193" s="613" t="s">
        <v>1194</v>
      </c>
      <c r="E193" s="612" t="s">
        <v>558</v>
      </c>
      <c r="F193" s="613" t="s">
        <v>1195</v>
      </c>
      <c r="G193" s="612" t="s">
        <v>559</v>
      </c>
      <c r="H193" s="612" t="s">
        <v>629</v>
      </c>
      <c r="I193" s="612" t="s">
        <v>189</v>
      </c>
      <c r="J193" s="612" t="s">
        <v>630</v>
      </c>
      <c r="K193" s="612"/>
      <c r="L193" s="614">
        <v>181.12169855759618</v>
      </c>
      <c r="M193" s="614">
        <v>5</v>
      </c>
      <c r="N193" s="615">
        <v>905.60849278798082</v>
      </c>
    </row>
    <row r="194" spans="1:14" ht="14.4" customHeight="1" x14ac:dyDescent="0.3">
      <c r="A194" s="610" t="s">
        <v>538</v>
      </c>
      <c r="B194" s="611" t="s">
        <v>539</v>
      </c>
      <c r="C194" s="612" t="s">
        <v>552</v>
      </c>
      <c r="D194" s="613" t="s">
        <v>1194</v>
      </c>
      <c r="E194" s="612" t="s">
        <v>558</v>
      </c>
      <c r="F194" s="613" t="s">
        <v>1195</v>
      </c>
      <c r="G194" s="612" t="s">
        <v>559</v>
      </c>
      <c r="H194" s="612" t="s">
        <v>986</v>
      </c>
      <c r="I194" s="612" t="s">
        <v>987</v>
      </c>
      <c r="J194" s="612" t="s">
        <v>988</v>
      </c>
      <c r="K194" s="612" t="s">
        <v>989</v>
      </c>
      <c r="L194" s="614">
        <v>53.063333333333333</v>
      </c>
      <c r="M194" s="614">
        <v>3</v>
      </c>
      <c r="N194" s="615">
        <v>159.19</v>
      </c>
    </row>
    <row r="195" spans="1:14" ht="14.4" customHeight="1" x14ac:dyDescent="0.3">
      <c r="A195" s="610" t="s">
        <v>538</v>
      </c>
      <c r="B195" s="611" t="s">
        <v>539</v>
      </c>
      <c r="C195" s="612" t="s">
        <v>552</v>
      </c>
      <c r="D195" s="613" t="s">
        <v>1194</v>
      </c>
      <c r="E195" s="612" t="s">
        <v>558</v>
      </c>
      <c r="F195" s="613" t="s">
        <v>1195</v>
      </c>
      <c r="G195" s="612" t="s">
        <v>559</v>
      </c>
      <c r="H195" s="612" t="s">
        <v>990</v>
      </c>
      <c r="I195" s="612" t="s">
        <v>991</v>
      </c>
      <c r="J195" s="612" t="s">
        <v>992</v>
      </c>
      <c r="K195" s="612" t="s">
        <v>993</v>
      </c>
      <c r="L195" s="614">
        <v>584.47999749310395</v>
      </c>
      <c r="M195" s="614">
        <v>3</v>
      </c>
      <c r="N195" s="615">
        <v>1753.439992479312</v>
      </c>
    </row>
    <row r="196" spans="1:14" ht="14.4" customHeight="1" x14ac:dyDescent="0.3">
      <c r="A196" s="610" t="s">
        <v>538</v>
      </c>
      <c r="B196" s="611" t="s">
        <v>539</v>
      </c>
      <c r="C196" s="612" t="s">
        <v>552</v>
      </c>
      <c r="D196" s="613" t="s">
        <v>1194</v>
      </c>
      <c r="E196" s="612" t="s">
        <v>558</v>
      </c>
      <c r="F196" s="613" t="s">
        <v>1195</v>
      </c>
      <c r="G196" s="612" t="s">
        <v>559</v>
      </c>
      <c r="H196" s="612" t="s">
        <v>994</v>
      </c>
      <c r="I196" s="612" t="s">
        <v>995</v>
      </c>
      <c r="J196" s="612" t="s">
        <v>996</v>
      </c>
      <c r="K196" s="612" t="s">
        <v>997</v>
      </c>
      <c r="L196" s="614">
        <v>35.540000000000006</v>
      </c>
      <c r="M196" s="614">
        <v>200</v>
      </c>
      <c r="N196" s="615">
        <v>7108.0000000000018</v>
      </c>
    </row>
    <row r="197" spans="1:14" ht="14.4" customHeight="1" x14ac:dyDescent="0.3">
      <c r="A197" s="610" t="s">
        <v>538</v>
      </c>
      <c r="B197" s="611" t="s">
        <v>539</v>
      </c>
      <c r="C197" s="612" t="s">
        <v>552</v>
      </c>
      <c r="D197" s="613" t="s">
        <v>1194</v>
      </c>
      <c r="E197" s="612" t="s">
        <v>558</v>
      </c>
      <c r="F197" s="613" t="s">
        <v>1195</v>
      </c>
      <c r="G197" s="612" t="s">
        <v>559</v>
      </c>
      <c r="H197" s="612" t="s">
        <v>633</v>
      </c>
      <c r="I197" s="612" t="s">
        <v>634</v>
      </c>
      <c r="J197" s="612" t="s">
        <v>635</v>
      </c>
      <c r="K197" s="612" t="s">
        <v>636</v>
      </c>
      <c r="L197" s="614">
        <v>32.28997092767969</v>
      </c>
      <c r="M197" s="614">
        <v>3</v>
      </c>
      <c r="N197" s="615">
        <v>96.869912783039069</v>
      </c>
    </row>
    <row r="198" spans="1:14" ht="14.4" customHeight="1" x14ac:dyDescent="0.3">
      <c r="A198" s="610" t="s">
        <v>538</v>
      </c>
      <c r="B198" s="611" t="s">
        <v>539</v>
      </c>
      <c r="C198" s="612" t="s">
        <v>552</v>
      </c>
      <c r="D198" s="613" t="s">
        <v>1194</v>
      </c>
      <c r="E198" s="612" t="s">
        <v>558</v>
      </c>
      <c r="F198" s="613" t="s">
        <v>1195</v>
      </c>
      <c r="G198" s="612" t="s">
        <v>559</v>
      </c>
      <c r="H198" s="612" t="s">
        <v>998</v>
      </c>
      <c r="I198" s="612" t="s">
        <v>999</v>
      </c>
      <c r="J198" s="612" t="s">
        <v>1000</v>
      </c>
      <c r="K198" s="612" t="s">
        <v>776</v>
      </c>
      <c r="L198" s="614">
        <v>29.914968469613132</v>
      </c>
      <c r="M198" s="614">
        <v>6</v>
      </c>
      <c r="N198" s="615">
        <v>179.4898108176788</v>
      </c>
    </row>
    <row r="199" spans="1:14" ht="14.4" customHeight="1" x14ac:dyDescent="0.3">
      <c r="A199" s="610" t="s">
        <v>538</v>
      </c>
      <c r="B199" s="611" t="s">
        <v>539</v>
      </c>
      <c r="C199" s="612" t="s">
        <v>552</v>
      </c>
      <c r="D199" s="613" t="s">
        <v>1194</v>
      </c>
      <c r="E199" s="612" t="s">
        <v>558</v>
      </c>
      <c r="F199" s="613" t="s">
        <v>1195</v>
      </c>
      <c r="G199" s="612" t="s">
        <v>559</v>
      </c>
      <c r="H199" s="612" t="s">
        <v>1001</v>
      </c>
      <c r="I199" s="612" t="s">
        <v>1002</v>
      </c>
      <c r="J199" s="612" t="s">
        <v>1003</v>
      </c>
      <c r="K199" s="612" t="s">
        <v>1004</v>
      </c>
      <c r="L199" s="614">
        <v>19.906062643068267</v>
      </c>
      <c r="M199" s="614">
        <v>320</v>
      </c>
      <c r="N199" s="615">
        <v>6369.9400457818456</v>
      </c>
    </row>
    <row r="200" spans="1:14" ht="14.4" customHeight="1" x14ac:dyDescent="0.3">
      <c r="A200" s="610" t="s">
        <v>538</v>
      </c>
      <c r="B200" s="611" t="s">
        <v>539</v>
      </c>
      <c r="C200" s="612" t="s">
        <v>552</v>
      </c>
      <c r="D200" s="613" t="s">
        <v>1194</v>
      </c>
      <c r="E200" s="612" t="s">
        <v>558</v>
      </c>
      <c r="F200" s="613" t="s">
        <v>1195</v>
      </c>
      <c r="G200" s="612" t="s">
        <v>559</v>
      </c>
      <c r="H200" s="612" t="s">
        <v>1005</v>
      </c>
      <c r="I200" s="612" t="s">
        <v>1005</v>
      </c>
      <c r="J200" s="612" t="s">
        <v>1006</v>
      </c>
      <c r="K200" s="612" t="s">
        <v>1007</v>
      </c>
      <c r="L200" s="614">
        <v>698.2899999999994</v>
      </c>
      <c r="M200" s="614">
        <v>1</v>
      </c>
      <c r="N200" s="615">
        <v>698.2899999999994</v>
      </c>
    </row>
    <row r="201" spans="1:14" ht="14.4" customHeight="1" x14ac:dyDescent="0.3">
      <c r="A201" s="610" t="s">
        <v>538</v>
      </c>
      <c r="B201" s="611" t="s">
        <v>539</v>
      </c>
      <c r="C201" s="612" t="s">
        <v>552</v>
      </c>
      <c r="D201" s="613" t="s">
        <v>1194</v>
      </c>
      <c r="E201" s="612" t="s">
        <v>558</v>
      </c>
      <c r="F201" s="613" t="s">
        <v>1195</v>
      </c>
      <c r="G201" s="612" t="s">
        <v>559</v>
      </c>
      <c r="H201" s="612" t="s">
        <v>1008</v>
      </c>
      <c r="I201" s="612" t="s">
        <v>1009</v>
      </c>
      <c r="J201" s="612" t="s">
        <v>1010</v>
      </c>
      <c r="K201" s="612" t="s">
        <v>1011</v>
      </c>
      <c r="L201" s="614">
        <v>212.51644784975693</v>
      </c>
      <c r="M201" s="614">
        <v>3</v>
      </c>
      <c r="N201" s="615">
        <v>637.54934354927082</v>
      </c>
    </row>
    <row r="202" spans="1:14" ht="14.4" customHeight="1" x14ac:dyDescent="0.3">
      <c r="A202" s="610" t="s">
        <v>538</v>
      </c>
      <c r="B202" s="611" t="s">
        <v>539</v>
      </c>
      <c r="C202" s="612" t="s">
        <v>552</v>
      </c>
      <c r="D202" s="613" t="s">
        <v>1194</v>
      </c>
      <c r="E202" s="612" t="s">
        <v>558</v>
      </c>
      <c r="F202" s="613" t="s">
        <v>1195</v>
      </c>
      <c r="G202" s="612" t="s">
        <v>559</v>
      </c>
      <c r="H202" s="612" t="s">
        <v>1012</v>
      </c>
      <c r="I202" s="612" t="s">
        <v>1012</v>
      </c>
      <c r="J202" s="612" t="s">
        <v>1013</v>
      </c>
      <c r="K202" s="612" t="s">
        <v>1014</v>
      </c>
      <c r="L202" s="614">
        <v>742.45982943163767</v>
      </c>
      <c r="M202" s="614">
        <v>2</v>
      </c>
      <c r="N202" s="615">
        <v>1484.9196588632753</v>
      </c>
    </row>
    <row r="203" spans="1:14" ht="14.4" customHeight="1" x14ac:dyDescent="0.3">
      <c r="A203" s="610" t="s">
        <v>538</v>
      </c>
      <c r="B203" s="611" t="s">
        <v>539</v>
      </c>
      <c r="C203" s="612" t="s">
        <v>552</v>
      </c>
      <c r="D203" s="613" t="s">
        <v>1194</v>
      </c>
      <c r="E203" s="612" t="s">
        <v>558</v>
      </c>
      <c r="F203" s="613" t="s">
        <v>1195</v>
      </c>
      <c r="G203" s="612" t="s">
        <v>559</v>
      </c>
      <c r="H203" s="612" t="s">
        <v>637</v>
      </c>
      <c r="I203" s="612" t="s">
        <v>638</v>
      </c>
      <c r="J203" s="612" t="s">
        <v>639</v>
      </c>
      <c r="K203" s="612" t="s">
        <v>640</v>
      </c>
      <c r="L203" s="614">
        <v>84.380000000000052</v>
      </c>
      <c r="M203" s="614">
        <v>1</v>
      </c>
      <c r="N203" s="615">
        <v>84.380000000000052</v>
      </c>
    </row>
    <row r="204" spans="1:14" ht="14.4" customHeight="1" x14ac:dyDescent="0.3">
      <c r="A204" s="610" t="s">
        <v>538</v>
      </c>
      <c r="B204" s="611" t="s">
        <v>539</v>
      </c>
      <c r="C204" s="612" t="s">
        <v>552</v>
      </c>
      <c r="D204" s="613" t="s">
        <v>1194</v>
      </c>
      <c r="E204" s="612" t="s">
        <v>558</v>
      </c>
      <c r="F204" s="613" t="s">
        <v>1195</v>
      </c>
      <c r="G204" s="612" t="s">
        <v>559</v>
      </c>
      <c r="H204" s="612" t="s">
        <v>645</v>
      </c>
      <c r="I204" s="612" t="s">
        <v>646</v>
      </c>
      <c r="J204" s="612" t="s">
        <v>647</v>
      </c>
      <c r="K204" s="612" t="s">
        <v>648</v>
      </c>
      <c r="L204" s="614">
        <v>664.75</v>
      </c>
      <c r="M204" s="614">
        <v>1</v>
      </c>
      <c r="N204" s="615">
        <v>664.75</v>
      </c>
    </row>
    <row r="205" spans="1:14" ht="14.4" customHeight="1" x14ac:dyDescent="0.3">
      <c r="A205" s="610" t="s">
        <v>538</v>
      </c>
      <c r="B205" s="611" t="s">
        <v>539</v>
      </c>
      <c r="C205" s="612" t="s">
        <v>552</v>
      </c>
      <c r="D205" s="613" t="s">
        <v>1194</v>
      </c>
      <c r="E205" s="612" t="s">
        <v>558</v>
      </c>
      <c r="F205" s="613" t="s">
        <v>1195</v>
      </c>
      <c r="G205" s="612" t="s">
        <v>559</v>
      </c>
      <c r="H205" s="612" t="s">
        <v>654</v>
      </c>
      <c r="I205" s="612" t="s">
        <v>189</v>
      </c>
      <c r="J205" s="612" t="s">
        <v>655</v>
      </c>
      <c r="K205" s="612"/>
      <c r="L205" s="614">
        <v>56.072039573314619</v>
      </c>
      <c r="M205" s="614">
        <v>210</v>
      </c>
      <c r="N205" s="615">
        <v>11775.12831039607</v>
      </c>
    </row>
    <row r="206" spans="1:14" ht="14.4" customHeight="1" x14ac:dyDescent="0.3">
      <c r="A206" s="610" t="s">
        <v>538</v>
      </c>
      <c r="B206" s="611" t="s">
        <v>539</v>
      </c>
      <c r="C206" s="612" t="s">
        <v>552</v>
      </c>
      <c r="D206" s="613" t="s">
        <v>1194</v>
      </c>
      <c r="E206" s="612" t="s">
        <v>558</v>
      </c>
      <c r="F206" s="613" t="s">
        <v>1195</v>
      </c>
      <c r="G206" s="612" t="s">
        <v>559</v>
      </c>
      <c r="H206" s="612" t="s">
        <v>656</v>
      </c>
      <c r="I206" s="612" t="s">
        <v>657</v>
      </c>
      <c r="J206" s="612" t="s">
        <v>658</v>
      </c>
      <c r="K206" s="612" t="s">
        <v>659</v>
      </c>
      <c r="L206" s="614">
        <v>1901.91</v>
      </c>
      <c r="M206" s="614">
        <v>1</v>
      </c>
      <c r="N206" s="615">
        <v>1901.91</v>
      </c>
    </row>
    <row r="207" spans="1:14" ht="14.4" customHeight="1" x14ac:dyDescent="0.3">
      <c r="A207" s="610" t="s">
        <v>538</v>
      </c>
      <c r="B207" s="611" t="s">
        <v>539</v>
      </c>
      <c r="C207" s="612" t="s">
        <v>552</v>
      </c>
      <c r="D207" s="613" t="s">
        <v>1194</v>
      </c>
      <c r="E207" s="612" t="s">
        <v>558</v>
      </c>
      <c r="F207" s="613" t="s">
        <v>1195</v>
      </c>
      <c r="G207" s="612" t="s">
        <v>559</v>
      </c>
      <c r="H207" s="612" t="s">
        <v>664</v>
      </c>
      <c r="I207" s="612" t="s">
        <v>189</v>
      </c>
      <c r="J207" s="612" t="s">
        <v>665</v>
      </c>
      <c r="K207" s="612"/>
      <c r="L207" s="614">
        <v>48.872460512425747</v>
      </c>
      <c r="M207" s="614">
        <v>53</v>
      </c>
      <c r="N207" s="615">
        <v>2590.2404071585647</v>
      </c>
    </row>
    <row r="208" spans="1:14" ht="14.4" customHeight="1" x14ac:dyDescent="0.3">
      <c r="A208" s="610" t="s">
        <v>538</v>
      </c>
      <c r="B208" s="611" t="s">
        <v>539</v>
      </c>
      <c r="C208" s="612" t="s">
        <v>552</v>
      </c>
      <c r="D208" s="613" t="s">
        <v>1194</v>
      </c>
      <c r="E208" s="612" t="s">
        <v>558</v>
      </c>
      <c r="F208" s="613" t="s">
        <v>1195</v>
      </c>
      <c r="G208" s="612" t="s">
        <v>559</v>
      </c>
      <c r="H208" s="612" t="s">
        <v>668</v>
      </c>
      <c r="I208" s="612" t="s">
        <v>189</v>
      </c>
      <c r="J208" s="612" t="s">
        <v>669</v>
      </c>
      <c r="K208" s="612"/>
      <c r="L208" s="614">
        <v>104.46512014407351</v>
      </c>
      <c r="M208" s="614">
        <v>60</v>
      </c>
      <c r="N208" s="615">
        <v>6267.9072086444103</v>
      </c>
    </row>
    <row r="209" spans="1:14" ht="14.4" customHeight="1" x14ac:dyDescent="0.3">
      <c r="A209" s="610" t="s">
        <v>538</v>
      </c>
      <c r="B209" s="611" t="s">
        <v>539</v>
      </c>
      <c r="C209" s="612" t="s">
        <v>552</v>
      </c>
      <c r="D209" s="613" t="s">
        <v>1194</v>
      </c>
      <c r="E209" s="612" t="s">
        <v>558</v>
      </c>
      <c r="F209" s="613" t="s">
        <v>1195</v>
      </c>
      <c r="G209" s="612" t="s">
        <v>559</v>
      </c>
      <c r="H209" s="612" t="s">
        <v>783</v>
      </c>
      <c r="I209" s="612" t="s">
        <v>784</v>
      </c>
      <c r="J209" s="612" t="s">
        <v>785</v>
      </c>
      <c r="K209" s="612" t="s">
        <v>786</v>
      </c>
      <c r="L209" s="614">
        <v>77.994849361614143</v>
      </c>
      <c r="M209" s="614">
        <v>10</v>
      </c>
      <c r="N209" s="615">
        <v>779.94849361614138</v>
      </c>
    </row>
    <row r="210" spans="1:14" ht="14.4" customHeight="1" x14ac:dyDescent="0.3">
      <c r="A210" s="610" t="s">
        <v>538</v>
      </c>
      <c r="B210" s="611" t="s">
        <v>539</v>
      </c>
      <c r="C210" s="612" t="s">
        <v>552</v>
      </c>
      <c r="D210" s="613" t="s">
        <v>1194</v>
      </c>
      <c r="E210" s="612" t="s">
        <v>558</v>
      </c>
      <c r="F210" s="613" t="s">
        <v>1195</v>
      </c>
      <c r="G210" s="612" t="s">
        <v>559</v>
      </c>
      <c r="H210" s="612" t="s">
        <v>1015</v>
      </c>
      <c r="I210" s="612" t="s">
        <v>1016</v>
      </c>
      <c r="J210" s="612" t="s">
        <v>1017</v>
      </c>
      <c r="K210" s="612" t="s">
        <v>685</v>
      </c>
      <c r="L210" s="614">
        <v>77.229690477421443</v>
      </c>
      <c r="M210" s="614">
        <v>1</v>
      </c>
      <c r="N210" s="615">
        <v>77.229690477421443</v>
      </c>
    </row>
    <row r="211" spans="1:14" ht="14.4" customHeight="1" x14ac:dyDescent="0.3">
      <c r="A211" s="610" t="s">
        <v>538</v>
      </c>
      <c r="B211" s="611" t="s">
        <v>539</v>
      </c>
      <c r="C211" s="612" t="s">
        <v>552</v>
      </c>
      <c r="D211" s="613" t="s">
        <v>1194</v>
      </c>
      <c r="E211" s="612" t="s">
        <v>558</v>
      </c>
      <c r="F211" s="613" t="s">
        <v>1195</v>
      </c>
      <c r="G211" s="612" t="s">
        <v>559</v>
      </c>
      <c r="H211" s="612" t="s">
        <v>787</v>
      </c>
      <c r="I211" s="612" t="s">
        <v>579</v>
      </c>
      <c r="J211" s="612" t="s">
        <v>788</v>
      </c>
      <c r="K211" s="612" t="s">
        <v>789</v>
      </c>
      <c r="L211" s="614">
        <v>325.19659828942389</v>
      </c>
      <c r="M211" s="614">
        <v>31</v>
      </c>
      <c r="N211" s="615">
        <v>10081.094546972141</v>
      </c>
    </row>
    <row r="212" spans="1:14" ht="14.4" customHeight="1" x14ac:dyDescent="0.3">
      <c r="A212" s="610" t="s">
        <v>538</v>
      </c>
      <c r="B212" s="611" t="s">
        <v>539</v>
      </c>
      <c r="C212" s="612" t="s">
        <v>552</v>
      </c>
      <c r="D212" s="613" t="s">
        <v>1194</v>
      </c>
      <c r="E212" s="612" t="s">
        <v>558</v>
      </c>
      <c r="F212" s="613" t="s">
        <v>1195</v>
      </c>
      <c r="G212" s="612" t="s">
        <v>559</v>
      </c>
      <c r="H212" s="612" t="s">
        <v>670</v>
      </c>
      <c r="I212" s="612" t="s">
        <v>189</v>
      </c>
      <c r="J212" s="612" t="s">
        <v>671</v>
      </c>
      <c r="K212" s="612"/>
      <c r="L212" s="614">
        <v>143.10465782038702</v>
      </c>
      <c r="M212" s="614">
        <v>47</v>
      </c>
      <c r="N212" s="615">
        <v>6725.9189175581905</v>
      </c>
    </row>
    <row r="213" spans="1:14" ht="14.4" customHeight="1" x14ac:dyDescent="0.3">
      <c r="A213" s="610" t="s">
        <v>538</v>
      </c>
      <c r="B213" s="611" t="s">
        <v>539</v>
      </c>
      <c r="C213" s="612" t="s">
        <v>552</v>
      </c>
      <c r="D213" s="613" t="s">
        <v>1194</v>
      </c>
      <c r="E213" s="612" t="s">
        <v>558</v>
      </c>
      <c r="F213" s="613" t="s">
        <v>1195</v>
      </c>
      <c r="G213" s="612" t="s">
        <v>559</v>
      </c>
      <c r="H213" s="612" t="s">
        <v>672</v>
      </c>
      <c r="I213" s="612" t="s">
        <v>579</v>
      </c>
      <c r="J213" s="612" t="s">
        <v>673</v>
      </c>
      <c r="K213" s="612" t="s">
        <v>674</v>
      </c>
      <c r="L213" s="614">
        <v>209.57768030337411</v>
      </c>
      <c r="M213" s="614">
        <v>23</v>
      </c>
      <c r="N213" s="615">
        <v>4820.2866469776045</v>
      </c>
    </row>
    <row r="214" spans="1:14" ht="14.4" customHeight="1" x14ac:dyDescent="0.3">
      <c r="A214" s="610" t="s">
        <v>538</v>
      </c>
      <c r="B214" s="611" t="s">
        <v>539</v>
      </c>
      <c r="C214" s="612" t="s">
        <v>552</v>
      </c>
      <c r="D214" s="613" t="s">
        <v>1194</v>
      </c>
      <c r="E214" s="612" t="s">
        <v>558</v>
      </c>
      <c r="F214" s="613" t="s">
        <v>1195</v>
      </c>
      <c r="G214" s="612" t="s">
        <v>559</v>
      </c>
      <c r="H214" s="612" t="s">
        <v>790</v>
      </c>
      <c r="I214" s="612" t="s">
        <v>189</v>
      </c>
      <c r="J214" s="612" t="s">
        <v>791</v>
      </c>
      <c r="K214" s="612"/>
      <c r="L214" s="614">
        <v>105.86732156671843</v>
      </c>
      <c r="M214" s="614">
        <v>3</v>
      </c>
      <c r="N214" s="615">
        <v>317.60196470015529</v>
      </c>
    </row>
    <row r="215" spans="1:14" ht="14.4" customHeight="1" x14ac:dyDescent="0.3">
      <c r="A215" s="610" t="s">
        <v>538</v>
      </c>
      <c r="B215" s="611" t="s">
        <v>539</v>
      </c>
      <c r="C215" s="612" t="s">
        <v>552</v>
      </c>
      <c r="D215" s="613" t="s">
        <v>1194</v>
      </c>
      <c r="E215" s="612" t="s">
        <v>558</v>
      </c>
      <c r="F215" s="613" t="s">
        <v>1195</v>
      </c>
      <c r="G215" s="612" t="s">
        <v>559</v>
      </c>
      <c r="H215" s="612" t="s">
        <v>792</v>
      </c>
      <c r="I215" s="612" t="s">
        <v>189</v>
      </c>
      <c r="J215" s="612" t="s">
        <v>793</v>
      </c>
      <c r="K215" s="612"/>
      <c r="L215" s="614">
        <v>94.046794927558025</v>
      </c>
      <c r="M215" s="614">
        <v>49</v>
      </c>
      <c r="N215" s="615">
        <v>4608.292951450343</v>
      </c>
    </row>
    <row r="216" spans="1:14" ht="14.4" customHeight="1" x14ac:dyDescent="0.3">
      <c r="A216" s="610" t="s">
        <v>538</v>
      </c>
      <c r="B216" s="611" t="s">
        <v>539</v>
      </c>
      <c r="C216" s="612" t="s">
        <v>552</v>
      </c>
      <c r="D216" s="613" t="s">
        <v>1194</v>
      </c>
      <c r="E216" s="612" t="s">
        <v>558</v>
      </c>
      <c r="F216" s="613" t="s">
        <v>1195</v>
      </c>
      <c r="G216" s="612" t="s">
        <v>559</v>
      </c>
      <c r="H216" s="612" t="s">
        <v>1018</v>
      </c>
      <c r="I216" s="612" t="s">
        <v>189</v>
      </c>
      <c r="J216" s="612" t="s">
        <v>1019</v>
      </c>
      <c r="K216" s="612"/>
      <c r="L216" s="614">
        <v>514.34178229157408</v>
      </c>
      <c r="M216" s="614">
        <v>3</v>
      </c>
      <c r="N216" s="615">
        <v>1543.0253468747223</v>
      </c>
    </row>
    <row r="217" spans="1:14" ht="14.4" customHeight="1" x14ac:dyDescent="0.3">
      <c r="A217" s="610" t="s">
        <v>538</v>
      </c>
      <c r="B217" s="611" t="s">
        <v>539</v>
      </c>
      <c r="C217" s="612" t="s">
        <v>552</v>
      </c>
      <c r="D217" s="613" t="s">
        <v>1194</v>
      </c>
      <c r="E217" s="612" t="s">
        <v>558</v>
      </c>
      <c r="F217" s="613" t="s">
        <v>1195</v>
      </c>
      <c r="G217" s="612" t="s">
        <v>559</v>
      </c>
      <c r="H217" s="612" t="s">
        <v>675</v>
      </c>
      <c r="I217" s="612" t="s">
        <v>189</v>
      </c>
      <c r="J217" s="612" t="s">
        <v>676</v>
      </c>
      <c r="K217" s="612" t="s">
        <v>677</v>
      </c>
      <c r="L217" s="614">
        <v>75.020309032110205</v>
      </c>
      <c r="M217" s="614">
        <v>1</v>
      </c>
      <c r="N217" s="615">
        <v>75.020309032110205</v>
      </c>
    </row>
    <row r="218" spans="1:14" ht="14.4" customHeight="1" x14ac:dyDescent="0.3">
      <c r="A218" s="610" t="s">
        <v>538</v>
      </c>
      <c r="B218" s="611" t="s">
        <v>539</v>
      </c>
      <c r="C218" s="612" t="s">
        <v>552</v>
      </c>
      <c r="D218" s="613" t="s">
        <v>1194</v>
      </c>
      <c r="E218" s="612" t="s">
        <v>558</v>
      </c>
      <c r="F218" s="613" t="s">
        <v>1195</v>
      </c>
      <c r="G218" s="612" t="s">
        <v>559</v>
      </c>
      <c r="H218" s="612" t="s">
        <v>794</v>
      </c>
      <c r="I218" s="612" t="s">
        <v>795</v>
      </c>
      <c r="J218" s="612" t="s">
        <v>796</v>
      </c>
      <c r="K218" s="612" t="s">
        <v>797</v>
      </c>
      <c r="L218" s="614">
        <v>410.89</v>
      </c>
      <c r="M218" s="614">
        <v>11</v>
      </c>
      <c r="N218" s="615">
        <v>4519.79</v>
      </c>
    </row>
    <row r="219" spans="1:14" ht="14.4" customHeight="1" x14ac:dyDescent="0.3">
      <c r="A219" s="610" t="s">
        <v>538</v>
      </c>
      <c r="B219" s="611" t="s">
        <v>539</v>
      </c>
      <c r="C219" s="612" t="s">
        <v>552</v>
      </c>
      <c r="D219" s="613" t="s">
        <v>1194</v>
      </c>
      <c r="E219" s="612" t="s">
        <v>558</v>
      </c>
      <c r="F219" s="613" t="s">
        <v>1195</v>
      </c>
      <c r="G219" s="612" t="s">
        <v>559</v>
      </c>
      <c r="H219" s="612" t="s">
        <v>1020</v>
      </c>
      <c r="I219" s="612" t="s">
        <v>1021</v>
      </c>
      <c r="J219" s="612" t="s">
        <v>1022</v>
      </c>
      <c r="K219" s="612" t="s">
        <v>1023</v>
      </c>
      <c r="L219" s="614">
        <v>901.20749712184318</v>
      </c>
      <c r="M219" s="614">
        <v>26</v>
      </c>
      <c r="N219" s="615">
        <v>23431.394925167922</v>
      </c>
    </row>
    <row r="220" spans="1:14" ht="14.4" customHeight="1" x14ac:dyDescent="0.3">
      <c r="A220" s="610" t="s">
        <v>538</v>
      </c>
      <c r="B220" s="611" t="s">
        <v>539</v>
      </c>
      <c r="C220" s="612" t="s">
        <v>552</v>
      </c>
      <c r="D220" s="613" t="s">
        <v>1194</v>
      </c>
      <c r="E220" s="612" t="s">
        <v>558</v>
      </c>
      <c r="F220" s="613" t="s">
        <v>1195</v>
      </c>
      <c r="G220" s="612" t="s">
        <v>559</v>
      </c>
      <c r="H220" s="612" t="s">
        <v>1024</v>
      </c>
      <c r="I220" s="612" t="s">
        <v>1024</v>
      </c>
      <c r="J220" s="612" t="s">
        <v>1025</v>
      </c>
      <c r="K220" s="612" t="s">
        <v>1026</v>
      </c>
      <c r="L220" s="614">
        <v>7252.213967042595</v>
      </c>
      <c r="M220" s="614">
        <v>19</v>
      </c>
      <c r="N220" s="615">
        <v>137792.06537380931</v>
      </c>
    </row>
    <row r="221" spans="1:14" ht="14.4" customHeight="1" x14ac:dyDescent="0.3">
      <c r="A221" s="610" t="s">
        <v>538</v>
      </c>
      <c r="B221" s="611" t="s">
        <v>539</v>
      </c>
      <c r="C221" s="612" t="s">
        <v>552</v>
      </c>
      <c r="D221" s="613" t="s">
        <v>1194</v>
      </c>
      <c r="E221" s="612" t="s">
        <v>558</v>
      </c>
      <c r="F221" s="613" t="s">
        <v>1195</v>
      </c>
      <c r="G221" s="612" t="s">
        <v>559</v>
      </c>
      <c r="H221" s="612" t="s">
        <v>1027</v>
      </c>
      <c r="I221" s="612" t="s">
        <v>1028</v>
      </c>
      <c r="J221" s="612" t="s">
        <v>1003</v>
      </c>
      <c r="K221" s="612" t="s">
        <v>768</v>
      </c>
      <c r="L221" s="614">
        <v>18.153703703703709</v>
      </c>
      <c r="M221" s="614">
        <v>540</v>
      </c>
      <c r="N221" s="615">
        <v>9803.0000000000018</v>
      </c>
    </row>
    <row r="222" spans="1:14" ht="14.4" customHeight="1" x14ac:dyDescent="0.3">
      <c r="A222" s="610" t="s">
        <v>538</v>
      </c>
      <c r="B222" s="611" t="s">
        <v>539</v>
      </c>
      <c r="C222" s="612" t="s">
        <v>552</v>
      </c>
      <c r="D222" s="613" t="s">
        <v>1194</v>
      </c>
      <c r="E222" s="612" t="s">
        <v>558</v>
      </c>
      <c r="F222" s="613" t="s">
        <v>1195</v>
      </c>
      <c r="G222" s="612" t="s">
        <v>559</v>
      </c>
      <c r="H222" s="612" t="s">
        <v>1029</v>
      </c>
      <c r="I222" s="612" t="s">
        <v>1030</v>
      </c>
      <c r="J222" s="612" t="s">
        <v>996</v>
      </c>
      <c r="K222" s="612" t="s">
        <v>1031</v>
      </c>
      <c r="L222" s="614">
        <v>31.832810457516342</v>
      </c>
      <c r="M222" s="614">
        <v>459</v>
      </c>
      <c r="N222" s="615">
        <v>14611.26</v>
      </c>
    </row>
    <row r="223" spans="1:14" ht="14.4" customHeight="1" x14ac:dyDescent="0.3">
      <c r="A223" s="610" t="s">
        <v>538</v>
      </c>
      <c r="B223" s="611" t="s">
        <v>539</v>
      </c>
      <c r="C223" s="612" t="s">
        <v>552</v>
      </c>
      <c r="D223" s="613" t="s">
        <v>1194</v>
      </c>
      <c r="E223" s="612" t="s">
        <v>558</v>
      </c>
      <c r="F223" s="613" t="s">
        <v>1195</v>
      </c>
      <c r="G223" s="612" t="s">
        <v>559</v>
      </c>
      <c r="H223" s="612" t="s">
        <v>1032</v>
      </c>
      <c r="I223" s="612" t="s">
        <v>1033</v>
      </c>
      <c r="J223" s="612" t="s">
        <v>1034</v>
      </c>
      <c r="K223" s="612" t="s">
        <v>1035</v>
      </c>
      <c r="L223" s="614">
        <v>87.849516385204865</v>
      </c>
      <c r="M223" s="614">
        <v>7</v>
      </c>
      <c r="N223" s="615">
        <v>614.94661469643404</v>
      </c>
    </row>
    <row r="224" spans="1:14" ht="14.4" customHeight="1" x14ac:dyDescent="0.3">
      <c r="A224" s="610" t="s">
        <v>538</v>
      </c>
      <c r="B224" s="611" t="s">
        <v>539</v>
      </c>
      <c r="C224" s="612" t="s">
        <v>552</v>
      </c>
      <c r="D224" s="613" t="s">
        <v>1194</v>
      </c>
      <c r="E224" s="612" t="s">
        <v>558</v>
      </c>
      <c r="F224" s="613" t="s">
        <v>1195</v>
      </c>
      <c r="G224" s="612" t="s">
        <v>559</v>
      </c>
      <c r="H224" s="612" t="s">
        <v>1036</v>
      </c>
      <c r="I224" s="612" t="s">
        <v>1037</v>
      </c>
      <c r="J224" s="612" t="s">
        <v>1038</v>
      </c>
      <c r="K224" s="612" t="s">
        <v>1039</v>
      </c>
      <c r="L224" s="614">
        <v>17395.54093116735</v>
      </c>
      <c r="M224" s="614">
        <v>23</v>
      </c>
      <c r="N224" s="615">
        <v>400097.44141684903</v>
      </c>
    </row>
    <row r="225" spans="1:14" ht="14.4" customHeight="1" x14ac:dyDescent="0.3">
      <c r="A225" s="610" t="s">
        <v>538</v>
      </c>
      <c r="B225" s="611" t="s">
        <v>539</v>
      </c>
      <c r="C225" s="612" t="s">
        <v>552</v>
      </c>
      <c r="D225" s="613" t="s">
        <v>1194</v>
      </c>
      <c r="E225" s="612" t="s">
        <v>558</v>
      </c>
      <c r="F225" s="613" t="s">
        <v>1195</v>
      </c>
      <c r="G225" s="612" t="s">
        <v>559</v>
      </c>
      <c r="H225" s="612" t="s">
        <v>1040</v>
      </c>
      <c r="I225" s="612" t="s">
        <v>1041</v>
      </c>
      <c r="J225" s="612" t="s">
        <v>1042</v>
      </c>
      <c r="K225" s="612" t="s">
        <v>1043</v>
      </c>
      <c r="L225" s="614">
        <v>18.61</v>
      </c>
      <c r="M225" s="614">
        <v>1</v>
      </c>
      <c r="N225" s="615">
        <v>18.61</v>
      </c>
    </row>
    <row r="226" spans="1:14" ht="14.4" customHeight="1" x14ac:dyDescent="0.3">
      <c r="A226" s="610" t="s">
        <v>538</v>
      </c>
      <c r="B226" s="611" t="s">
        <v>539</v>
      </c>
      <c r="C226" s="612" t="s">
        <v>552</v>
      </c>
      <c r="D226" s="613" t="s">
        <v>1194</v>
      </c>
      <c r="E226" s="612" t="s">
        <v>558</v>
      </c>
      <c r="F226" s="613" t="s">
        <v>1195</v>
      </c>
      <c r="G226" s="612" t="s">
        <v>559</v>
      </c>
      <c r="H226" s="612" t="s">
        <v>1044</v>
      </c>
      <c r="I226" s="612" t="s">
        <v>1045</v>
      </c>
      <c r="J226" s="612" t="s">
        <v>1046</v>
      </c>
      <c r="K226" s="612" t="s">
        <v>1047</v>
      </c>
      <c r="L226" s="614">
        <v>1584.2166666666665</v>
      </c>
      <c r="M226" s="614">
        <v>3</v>
      </c>
      <c r="N226" s="615">
        <v>4752.6499999999996</v>
      </c>
    </row>
    <row r="227" spans="1:14" ht="14.4" customHeight="1" x14ac:dyDescent="0.3">
      <c r="A227" s="610" t="s">
        <v>538</v>
      </c>
      <c r="B227" s="611" t="s">
        <v>539</v>
      </c>
      <c r="C227" s="612" t="s">
        <v>552</v>
      </c>
      <c r="D227" s="613" t="s">
        <v>1194</v>
      </c>
      <c r="E227" s="612" t="s">
        <v>558</v>
      </c>
      <c r="F227" s="613" t="s">
        <v>1195</v>
      </c>
      <c r="G227" s="612" t="s">
        <v>559</v>
      </c>
      <c r="H227" s="612" t="s">
        <v>1048</v>
      </c>
      <c r="I227" s="612" t="s">
        <v>1049</v>
      </c>
      <c r="J227" s="612" t="s">
        <v>1050</v>
      </c>
      <c r="K227" s="612" t="s">
        <v>1051</v>
      </c>
      <c r="L227" s="614">
        <v>275.39903565745124</v>
      </c>
      <c r="M227" s="614">
        <v>39</v>
      </c>
      <c r="N227" s="615">
        <v>10740.562390640598</v>
      </c>
    </row>
    <row r="228" spans="1:14" ht="14.4" customHeight="1" x14ac:dyDescent="0.3">
      <c r="A228" s="610" t="s">
        <v>538</v>
      </c>
      <c r="B228" s="611" t="s">
        <v>539</v>
      </c>
      <c r="C228" s="612" t="s">
        <v>552</v>
      </c>
      <c r="D228" s="613" t="s">
        <v>1194</v>
      </c>
      <c r="E228" s="612" t="s">
        <v>558</v>
      </c>
      <c r="F228" s="613" t="s">
        <v>1195</v>
      </c>
      <c r="G228" s="612" t="s">
        <v>559</v>
      </c>
      <c r="H228" s="612" t="s">
        <v>1052</v>
      </c>
      <c r="I228" s="612" t="s">
        <v>189</v>
      </c>
      <c r="J228" s="612" t="s">
        <v>1053</v>
      </c>
      <c r="K228" s="612" t="s">
        <v>1054</v>
      </c>
      <c r="L228" s="614">
        <v>131.95045362201532</v>
      </c>
      <c r="M228" s="614">
        <v>5</v>
      </c>
      <c r="N228" s="615">
        <v>659.75226811007656</v>
      </c>
    </row>
    <row r="229" spans="1:14" ht="14.4" customHeight="1" x14ac:dyDescent="0.3">
      <c r="A229" s="610" t="s">
        <v>538</v>
      </c>
      <c r="B229" s="611" t="s">
        <v>539</v>
      </c>
      <c r="C229" s="612" t="s">
        <v>552</v>
      </c>
      <c r="D229" s="613" t="s">
        <v>1194</v>
      </c>
      <c r="E229" s="612" t="s">
        <v>558</v>
      </c>
      <c r="F229" s="613" t="s">
        <v>1195</v>
      </c>
      <c r="G229" s="612" t="s">
        <v>559</v>
      </c>
      <c r="H229" s="612" t="s">
        <v>1055</v>
      </c>
      <c r="I229" s="612" t="s">
        <v>1056</v>
      </c>
      <c r="J229" s="612" t="s">
        <v>1057</v>
      </c>
      <c r="K229" s="612" t="s">
        <v>1058</v>
      </c>
      <c r="L229" s="614">
        <v>2781.9100000000003</v>
      </c>
      <c r="M229" s="614">
        <v>14</v>
      </c>
      <c r="N229" s="615">
        <v>38946.740000000005</v>
      </c>
    </row>
    <row r="230" spans="1:14" ht="14.4" customHeight="1" x14ac:dyDescent="0.3">
      <c r="A230" s="610" t="s">
        <v>538</v>
      </c>
      <c r="B230" s="611" t="s">
        <v>539</v>
      </c>
      <c r="C230" s="612" t="s">
        <v>552</v>
      </c>
      <c r="D230" s="613" t="s">
        <v>1194</v>
      </c>
      <c r="E230" s="612" t="s">
        <v>558</v>
      </c>
      <c r="F230" s="613" t="s">
        <v>1195</v>
      </c>
      <c r="G230" s="612" t="s">
        <v>559</v>
      </c>
      <c r="H230" s="612" t="s">
        <v>1059</v>
      </c>
      <c r="I230" s="612" t="s">
        <v>189</v>
      </c>
      <c r="J230" s="612" t="s">
        <v>1060</v>
      </c>
      <c r="K230" s="612"/>
      <c r="L230" s="614">
        <v>191.00644160936804</v>
      </c>
      <c r="M230" s="614">
        <v>2</v>
      </c>
      <c r="N230" s="615">
        <v>382.01288321873608</v>
      </c>
    </row>
    <row r="231" spans="1:14" ht="14.4" customHeight="1" x14ac:dyDescent="0.3">
      <c r="A231" s="610" t="s">
        <v>538</v>
      </c>
      <c r="B231" s="611" t="s">
        <v>539</v>
      </c>
      <c r="C231" s="612" t="s">
        <v>552</v>
      </c>
      <c r="D231" s="613" t="s">
        <v>1194</v>
      </c>
      <c r="E231" s="612" t="s">
        <v>558</v>
      </c>
      <c r="F231" s="613" t="s">
        <v>1195</v>
      </c>
      <c r="G231" s="612" t="s">
        <v>559</v>
      </c>
      <c r="H231" s="612" t="s">
        <v>1061</v>
      </c>
      <c r="I231" s="612" t="s">
        <v>189</v>
      </c>
      <c r="J231" s="612" t="s">
        <v>1062</v>
      </c>
      <c r="K231" s="612"/>
      <c r="L231" s="614">
        <v>133.10817622519482</v>
      </c>
      <c r="M231" s="614">
        <v>18</v>
      </c>
      <c r="N231" s="615">
        <v>2395.9471720535066</v>
      </c>
    </row>
    <row r="232" spans="1:14" ht="14.4" customHeight="1" x14ac:dyDescent="0.3">
      <c r="A232" s="610" t="s">
        <v>538</v>
      </c>
      <c r="B232" s="611" t="s">
        <v>539</v>
      </c>
      <c r="C232" s="612" t="s">
        <v>552</v>
      </c>
      <c r="D232" s="613" t="s">
        <v>1194</v>
      </c>
      <c r="E232" s="612" t="s">
        <v>558</v>
      </c>
      <c r="F232" s="613" t="s">
        <v>1195</v>
      </c>
      <c r="G232" s="612" t="s">
        <v>559</v>
      </c>
      <c r="H232" s="612" t="s">
        <v>798</v>
      </c>
      <c r="I232" s="612" t="s">
        <v>189</v>
      </c>
      <c r="J232" s="612" t="s">
        <v>799</v>
      </c>
      <c r="K232" s="612"/>
      <c r="L232" s="614">
        <v>325.14160568605075</v>
      </c>
      <c r="M232" s="614">
        <v>7</v>
      </c>
      <c r="N232" s="615">
        <v>2275.9912398023553</v>
      </c>
    </row>
    <row r="233" spans="1:14" ht="14.4" customHeight="1" x14ac:dyDescent="0.3">
      <c r="A233" s="610" t="s">
        <v>538</v>
      </c>
      <c r="B233" s="611" t="s">
        <v>539</v>
      </c>
      <c r="C233" s="612" t="s">
        <v>552</v>
      </c>
      <c r="D233" s="613" t="s">
        <v>1194</v>
      </c>
      <c r="E233" s="612" t="s">
        <v>558</v>
      </c>
      <c r="F233" s="613" t="s">
        <v>1195</v>
      </c>
      <c r="G233" s="612" t="s">
        <v>559</v>
      </c>
      <c r="H233" s="612" t="s">
        <v>1063</v>
      </c>
      <c r="I233" s="612" t="s">
        <v>189</v>
      </c>
      <c r="J233" s="612" t="s">
        <v>1064</v>
      </c>
      <c r="K233" s="612"/>
      <c r="L233" s="614">
        <v>249.00457427707573</v>
      </c>
      <c r="M233" s="614">
        <v>4</v>
      </c>
      <c r="N233" s="615">
        <v>996.01829710830293</v>
      </c>
    </row>
    <row r="234" spans="1:14" ht="14.4" customHeight="1" x14ac:dyDescent="0.3">
      <c r="A234" s="610" t="s">
        <v>538</v>
      </c>
      <c r="B234" s="611" t="s">
        <v>539</v>
      </c>
      <c r="C234" s="612" t="s">
        <v>552</v>
      </c>
      <c r="D234" s="613" t="s">
        <v>1194</v>
      </c>
      <c r="E234" s="612" t="s">
        <v>558</v>
      </c>
      <c r="F234" s="613" t="s">
        <v>1195</v>
      </c>
      <c r="G234" s="612" t="s">
        <v>559</v>
      </c>
      <c r="H234" s="612" t="s">
        <v>1065</v>
      </c>
      <c r="I234" s="612" t="s">
        <v>189</v>
      </c>
      <c r="J234" s="612" t="s">
        <v>1066</v>
      </c>
      <c r="K234" s="612"/>
      <c r="L234" s="614">
        <v>275.39534368455463</v>
      </c>
      <c r="M234" s="614">
        <v>3</v>
      </c>
      <c r="N234" s="615">
        <v>826.1860310536639</v>
      </c>
    </row>
    <row r="235" spans="1:14" ht="14.4" customHeight="1" x14ac:dyDescent="0.3">
      <c r="A235" s="610" t="s">
        <v>538</v>
      </c>
      <c r="B235" s="611" t="s">
        <v>539</v>
      </c>
      <c r="C235" s="612" t="s">
        <v>552</v>
      </c>
      <c r="D235" s="613" t="s">
        <v>1194</v>
      </c>
      <c r="E235" s="612" t="s">
        <v>558</v>
      </c>
      <c r="F235" s="613" t="s">
        <v>1195</v>
      </c>
      <c r="G235" s="612" t="s">
        <v>559</v>
      </c>
      <c r="H235" s="612" t="s">
        <v>1067</v>
      </c>
      <c r="I235" s="612" t="s">
        <v>189</v>
      </c>
      <c r="J235" s="612" t="s">
        <v>1068</v>
      </c>
      <c r="K235" s="612"/>
      <c r="L235" s="614">
        <v>149.62123884782324</v>
      </c>
      <c r="M235" s="614">
        <v>30</v>
      </c>
      <c r="N235" s="615">
        <v>4488.6371654346967</v>
      </c>
    </row>
    <row r="236" spans="1:14" ht="14.4" customHeight="1" x14ac:dyDescent="0.3">
      <c r="A236" s="610" t="s">
        <v>538</v>
      </c>
      <c r="B236" s="611" t="s">
        <v>539</v>
      </c>
      <c r="C236" s="612" t="s">
        <v>552</v>
      </c>
      <c r="D236" s="613" t="s">
        <v>1194</v>
      </c>
      <c r="E236" s="612" t="s">
        <v>558</v>
      </c>
      <c r="F236" s="613" t="s">
        <v>1195</v>
      </c>
      <c r="G236" s="612" t="s">
        <v>559</v>
      </c>
      <c r="H236" s="612" t="s">
        <v>800</v>
      </c>
      <c r="I236" s="612" t="s">
        <v>801</v>
      </c>
      <c r="J236" s="612" t="s">
        <v>802</v>
      </c>
      <c r="K236" s="612" t="s">
        <v>803</v>
      </c>
      <c r="L236" s="614">
        <v>89.39</v>
      </c>
      <c r="M236" s="614">
        <v>1</v>
      </c>
      <c r="N236" s="615">
        <v>89.39</v>
      </c>
    </row>
    <row r="237" spans="1:14" ht="14.4" customHeight="1" x14ac:dyDescent="0.3">
      <c r="A237" s="610" t="s">
        <v>538</v>
      </c>
      <c r="B237" s="611" t="s">
        <v>539</v>
      </c>
      <c r="C237" s="612" t="s">
        <v>552</v>
      </c>
      <c r="D237" s="613" t="s">
        <v>1194</v>
      </c>
      <c r="E237" s="612" t="s">
        <v>558</v>
      </c>
      <c r="F237" s="613" t="s">
        <v>1195</v>
      </c>
      <c r="G237" s="612" t="s">
        <v>559</v>
      </c>
      <c r="H237" s="612" t="s">
        <v>804</v>
      </c>
      <c r="I237" s="612" t="s">
        <v>189</v>
      </c>
      <c r="J237" s="612" t="s">
        <v>805</v>
      </c>
      <c r="K237" s="612"/>
      <c r="L237" s="614">
        <v>163.35000303331859</v>
      </c>
      <c r="M237" s="614">
        <v>1</v>
      </c>
      <c r="N237" s="615">
        <v>163.35000303331859</v>
      </c>
    </row>
    <row r="238" spans="1:14" ht="14.4" customHeight="1" x14ac:dyDescent="0.3">
      <c r="A238" s="610" t="s">
        <v>538</v>
      </c>
      <c r="B238" s="611" t="s">
        <v>539</v>
      </c>
      <c r="C238" s="612" t="s">
        <v>552</v>
      </c>
      <c r="D238" s="613" t="s">
        <v>1194</v>
      </c>
      <c r="E238" s="612" t="s">
        <v>558</v>
      </c>
      <c r="F238" s="613" t="s">
        <v>1195</v>
      </c>
      <c r="G238" s="612" t="s">
        <v>559</v>
      </c>
      <c r="H238" s="612" t="s">
        <v>678</v>
      </c>
      <c r="I238" s="612" t="s">
        <v>679</v>
      </c>
      <c r="J238" s="612" t="s">
        <v>680</v>
      </c>
      <c r="K238" s="612" t="s">
        <v>681</v>
      </c>
      <c r="L238" s="614">
        <v>82.909999999999982</v>
      </c>
      <c r="M238" s="614">
        <v>1</v>
      </c>
      <c r="N238" s="615">
        <v>82.909999999999982</v>
      </c>
    </row>
    <row r="239" spans="1:14" ht="14.4" customHeight="1" x14ac:dyDescent="0.3">
      <c r="A239" s="610" t="s">
        <v>538</v>
      </c>
      <c r="B239" s="611" t="s">
        <v>539</v>
      </c>
      <c r="C239" s="612" t="s">
        <v>552</v>
      </c>
      <c r="D239" s="613" t="s">
        <v>1194</v>
      </c>
      <c r="E239" s="612" t="s">
        <v>558</v>
      </c>
      <c r="F239" s="613" t="s">
        <v>1195</v>
      </c>
      <c r="G239" s="612" t="s">
        <v>559</v>
      </c>
      <c r="H239" s="612" t="s">
        <v>1069</v>
      </c>
      <c r="I239" s="612" t="s">
        <v>1069</v>
      </c>
      <c r="J239" s="612" t="s">
        <v>1070</v>
      </c>
      <c r="K239" s="612" t="s">
        <v>1071</v>
      </c>
      <c r="L239" s="614">
        <v>247.50005748384214</v>
      </c>
      <c r="M239" s="614">
        <v>7</v>
      </c>
      <c r="N239" s="615">
        <v>1732.5004023868951</v>
      </c>
    </row>
    <row r="240" spans="1:14" ht="14.4" customHeight="1" x14ac:dyDescent="0.3">
      <c r="A240" s="610" t="s">
        <v>538</v>
      </c>
      <c r="B240" s="611" t="s">
        <v>539</v>
      </c>
      <c r="C240" s="612" t="s">
        <v>552</v>
      </c>
      <c r="D240" s="613" t="s">
        <v>1194</v>
      </c>
      <c r="E240" s="612" t="s">
        <v>558</v>
      </c>
      <c r="F240" s="613" t="s">
        <v>1195</v>
      </c>
      <c r="G240" s="612" t="s">
        <v>559</v>
      </c>
      <c r="H240" s="612" t="s">
        <v>686</v>
      </c>
      <c r="I240" s="612" t="s">
        <v>189</v>
      </c>
      <c r="J240" s="612" t="s">
        <v>687</v>
      </c>
      <c r="K240" s="612"/>
      <c r="L240" s="614">
        <v>330.27</v>
      </c>
      <c r="M240" s="614">
        <v>2</v>
      </c>
      <c r="N240" s="615">
        <v>660.54</v>
      </c>
    </row>
    <row r="241" spans="1:14" ht="14.4" customHeight="1" x14ac:dyDescent="0.3">
      <c r="A241" s="610" t="s">
        <v>538</v>
      </c>
      <c r="B241" s="611" t="s">
        <v>539</v>
      </c>
      <c r="C241" s="612" t="s">
        <v>552</v>
      </c>
      <c r="D241" s="613" t="s">
        <v>1194</v>
      </c>
      <c r="E241" s="612" t="s">
        <v>558</v>
      </c>
      <c r="F241" s="613" t="s">
        <v>1195</v>
      </c>
      <c r="G241" s="612" t="s">
        <v>559</v>
      </c>
      <c r="H241" s="612" t="s">
        <v>688</v>
      </c>
      <c r="I241" s="612" t="s">
        <v>688</v>
      </c>
      <c r="J241" s="612" t="s">
        <v>689</v>
      </c>
      <c r="K241" s="612" t="s">
        <v>690</v>
      </c>
      <c r="L241" s="614">
        <v>58.471246280081083</v>
      </c>
      <c r="M241" s="614">
        <v>68</v>
      </c>
      <c r="N241" s="615">
        <v>3976.0447470455138</v>
      </c>
    </row>
    <row r="242" spans="1:14" ht="14.4" customHeight="1" x14ac:dyDescent="0.3">
      <c r="A242" s="610" t="s">
        <v>538</v>
      </c>
      <c r="B242" s="611" t="s">
        <v>539</v>
      </c>
      <c r="C242" s="612" t="s">
        <v>552</v>
      </c>
      <c r="D242" s="613" t="s">
        <v>1194</v>
      </c>
      <c r="E242" s="612" t="s">
        <v>558</v>
      </c>
      <c r="F242" s="613" t="s">
        <v>1195</v>
      </c>
      <c r="G242" s="612" t="s">
        <v>559</v>
      </c>
      <c r="H242" s="612" t="s">
        <v>695</v>
      </c>
      <c r="I242" s="612" t="s">
        <v>189</v>
      </c>
      <c r="J242" s="612" t="s">
        <v>696</v>
      </c>
      <c r="K242" s="612"/>
      <c r="L242" s="614">
        <v>105.95321022243702</v>
      </c>
      <c r="M242" s="614">
        <v>8</v>
      </c>
      <c r="N242" s="615">
        <v>847.62568177949618</v>
      </c>
    </row>
    <row r="243" spans="1:14" ht="14.4" customHeight="1" x14ac:dyDescent="0.3">
      <c r="A243" s="610" t="s">
        <v>538</v>
      </c>
      <c r="B243" s="611" t="s">
        <v>539</v>
      </c>
      <c r="C243" s="612" t="s">
        <v>552</v>
      </c>
      <c r="D243" s="613" t="s">
        <v>1194</v>
      </c>
      <c r="E243" s="612" t="s">
        <v>558</v>
      </c>
      <c r="F243" s="613" t="s">
        <v>1195</v>
      </c>
      <c r="G243" s="612" t="s">
        <v>559</v>
      </c>
      <c r="H243" s="612" t="s">
        <v>808</v>
      </c>
      <c r="I243" s="612" t="s">
        <v>189</v>
      </c>
      <c r="J243" s="612" t="s">
        <v>809</v>
      </c>
      <c r="K243" s="612"/>
      <c r="L243" s="614">
        <v>128.79999869994671</v>
      </c>
      <c r="M243" s="614">
        <v>10</v>
      </c>
      <c r="N243" s="615">
        <v>1287.9999869994672</v>
      </c>
    </row>
    <row r="244" spans="1:14" ht="14.4" customHeight="1" x14ac:dyDescent="0.3">
      <c r="A244" s="610" t="s">
        <v>538</v>
      </c>
      <c r="B244" s="611" t="s">
        <v>539</v>
      </c>
      <c r="C244" s="612" t="s">
        <v>552</v>
      </c>
      <c r="D244" s="613" t="s">
        <v>1194</v>
      </c>
      <c r="E244" s="612" t="s">
        <v>558</v>
      </c>
      <c r="F244" s="613" t="s">
        <v>1195</v>
      </c>
      <c r="G244" s="612" t="s">
        <v>559</v>
      </c>
      <c r="H244" s="612" t="s">
        <v>700</v>
      </c>
      <c r="I244" s="612" t="s">
        <v>700</v>
      </c>
      <c r="J244" s="612" t="s">
        <v>701</v>
      </c>
      <c r="K244" s="612" t="s">
        <v>702</v>
      </c>
      <c r="L244" s="614">
        <v>48.679999999999978</v>
      </c>
      <c r="M244" s="614">
        <v>1</v>
      </c>
      <c r="N244" s="615">
        <v>48.679999999999978</v>
      </c>
    </row>
    <row r="245" spans="1:14" ht="14.4" customHeight="1" x14ac:dyDescent="0.3">
      <c r="A245" s="610" t="s">
        <v>538</v>
      </c>
      <c r="B245" s="611" t="s">
        <v>539</v>
      </c>
      <c r="C245" s="612" t="s">
        <v>552</v>
      </c>
      <c r="D245" s="613" t="s">
        <v>1194</v>
      </c>
      <c r="E245" s="612" t="s">
        <v>558</v>
      </c>
      <c r="F245" s="613" t="s">
        <v>1195</v>
      </c>
      <c r="G245" s="612" t="s">
        <v>727</v>
      </c>
      <c r="H245" s="612" t="s">
        <v>1072</v>
      </c>
      <c r="I245" s="612" t="s">
        <v>1073</v>
      </c>
      <c r="J245" s="612" t="s">
        <v>1074</v>
      </c>
      <c r="K245" s="612" t="s">
        <v>1075</v>
      </c>
      <c r="L245" s="614">
        <v>138.25000815849836</v>
      </c>
      <c r="M245" s="614">
        <v>29</v>
      </c>
      <c r="N245" s="615">
        <v>4009.2502365964524</v>
      </c>
    </row>
    <row r="246" spans="1:14" ht="14.4" customHeight="1" x14ac:dyDescent="0.3">
      <c r="A246" s="610" t="s">
        <v>538</v>
      </c>
      <c r="B246" s="611" t="s">
        <v>539</v>
      </c>
      <c r="C246" s="612" t="s">
        <v>552</v>
      </c>
      <c r="D246" s="613" t="s">
        <v>1194</v>
      </c>
      <c r="E246" s="612" t="s">
        <v>558</v>
      </c>
      <c r="F246" s="613" t="s">
        <v>1195</v>
      </c>
      <c r="G246" s="612" t="s">
        <v>727</v>
      </c>
      <c r="H246" s="612" t="s">
        <v>1076</v>
      </c>
      <c r="I246" s="612" t="s">
        <v>1077</v>
      </c>
      <c r="J246" s="612" t="s">
        <v>1078</v>
      </c>
      <c r="K246" s="612" t="s">
        <v>1079</v>
      </c>
      <c r="L246" s="614">
        <v>56.209999021085629</v>
      </c>
      <c r="M246" s="614">
        <v>4</v>
      </c>
      <c r="N246" s="615">
        <v>224.83999608434252</v>
      </c>
    </row>
    <row r="247" spans="1:14" ht="14.4" customHeight="1" x14ac:dyDescent="0.3">
      <c r="A247" s="610" t="s">
        <v>538</v>
      </c>
      <c r="B247" s="611" t="s">
        <v>539</v>
      </c>
      <c r="C247" s="612" t="s">
        <v>552</v>
      </c>
      <c r="D247" s="613" t="s">
        <v>1194</v>
      </c>
      <c r="E247" s="612" t="s">
        <v>558</v>
      </c>
      <c r="F247" s="613" t="s">
        <v>1195</v>
      </c>
      <c r="G247" s="612" t="s">
        <v>727</v>
      </c>
      <c r="H247" s="612" t="s">
        <v>1080</v>
      </c>
      <c r="I247" s="612" t="s">
        <v>1081</v>
      </c>
      <c r="J247" s="612" t="s">
        <v>1082</v>
      </c>
      <c r="K247" s="612" t="s">
        <v>1083</v>
      </c>
      <c r="L247" s="614">
        <v>68.28</v>
      </c>
      <c r="M247" s="614">
        <v>1</v>
      </c>
      <c r="N247" s="615">
        <v>68.28</v>
      </c>
    </row>
    <row r="248" spans="1:14" ht="14.4" customHeight="1" x14ac:dyDescent="0.3">
      <c r="A248" s="610" t="s">
        <v>538</v>
      </c>
      <c r="B248" s="611" t="s">
        <v>539</v>
      </c>
      <c r="C248" s="612" t="s">
        <v>552</v>
      </c>
      <c r="D248" s="613" t="s">
        <v>1194</v>
      </c>
      <c r="E248" s="612" t="s">
        <v>558</v>
      </c>
      <c r="F248" s="613" t="s">
        <v>1195</v>
      </c>
      <c r="G248" s="612" t="s">
        <v>727</v>
      </c>
      <c r="H248" s="612" t="s">
        <v>1084</v>
      </c>
      <c r="I248" s="612" t="s">
        <v>1085</v>
      </c>
      <c r="J248" s="612" t="s">
        <v>1086</v>
      </c>
      <c r="K248" s="612" t="s">
        <v>1087</v>
      </c>
      <c r="L248" s="614">
        <v>47.779880667185807</v>
      </c>
      <c r="M248" s="614">
        <v>6</v>
      </c>
      <c r="N248" s="615">
        <v>286.67928400311484</v>
      </c>
    </row>
    <row r="249" spans="1:14" ht="14.4" customHeight="1" x14ac:dyDescent="0.3">
      <c r="A249" s="610" t="s">
        <v>538</v>
      </c>
      <c r="B249" s="611" t="s">
        <v>539</v>
      </c>
      <c r="C249" s="612" t="s">
        <v>552</v>
      </c>
      <c r="D249" s="613" t="s">
        <v>1194</v>
      </c>
      <c r="E249" s="612" t="s">
        <v>558</v>
      </c>
      <c r="F249" s="613" t="s">
        <v>1195</v>
      </c>
      <c r="G249" s="612" t="s">
        <v>727</v>
      </c>
      <c r="H249" s="612" t="s">
        <v>1088</v>
      </c>
      <c r="I249" s="612" t="s">
        <v>1089</v>
      </c>
      <c r="J249" s="612" t="s">
        <v>1090</v>
      </c>
      <c r="K249" s="612" t="s">
        <v>1091</v>
      </c>
      <c r="L249" s="614">
        <v>83.889924745458629</v>
      </c>
      <c r="M249" s="614">
        <v>100</v>
      </c>
      <c r="N249" s="615">
        <v>8388.9924745458629</v>
      </c>
    </row>
    <row r="250" spans="1:14" ht="14.4" customHeight="1" x14ac:dyDescent="0.3">
      <c r="A250" s="610" t="s">
        <v>538</v>
      </c>
      <c r="B250" s="611" t="s">
        <v>539</v>
      </c>
      <c r="C250" s="612" t="s">
        <v>552</v>
      </c>
      <c r="D250" s="613" t="s">
        <v>1194</v>
      </c>
      <c r="E250" s="612" t="s">
        <v>558</v>
      </c>
      <c r="F250" s="613" t="s">
        <v>1195</v>
      </c>
      <c r="G250" s="612" t="s">
        <v>727</v>
      </c>
      <c r="H250" s="612" t="s">
        <v>1092</v>
      </c>
      <c r="I250" s="612" t="s">
        <v>1093</v>
      </c>
      <c r="J250" s="612" t="s">
        <v>1094</v>
      </c>
      <c r="K250" s="612" t="s">
        <v>1095</v>
      </c>
      <c r="L250" s="614">
        <v>131.35500000000002</v>
      </c>
      <c r="M250" s="614">
        <v>2</v>
      </c>
      <c r="N250" s="615">
        <v>262.71000000000004</v>
      </c>
    </row>
    <row r="251" spans="1:14" ht="14.4" customHeight="1" x14ac:dyDescent="0.3">
      <c r="A251" s="610" t="s">
        <v>538</v>
      </c>
      <c r="B251" s="611" t="s">
        <v>539</v>
      </c>
      <c r="C251" s="612" t="s">
        <v>552</v>
      </c>
      <c r="D251" s="613" t="s">
        <v>1194</v>
      </c>
      <c r="E251" s="612" t="s">
        <v>558</v>
      </c>
      <c r="F251" s="613" t="s">
        <v>1195</v>
      </c>
      <c r="G251" s="612" t="s">
        <v>727</v>
      </c>
      <c r="H251" s="612" t="s">
        <v>817</v>
      </c>
      <c r="I251" s="612" t="s">
        <v>818</v>
      </c>
      <c r="J251" s="612" t="s">
        <v>819</v>
      </c>
      <c r="K251" s="612" t="s">
        <v>820</v>
      </c>
      <c r="L251" s="614">
        <v>176.05500000000001</v>
      </c>
      <c r="M251" s="614">
        <v>4</v>
      </c>
      <c r="N251" s="615">
        <v>704.22</v>
      </c>
    </row>
    <row r="252" spans="1:14" ht="14.4" customHeight="1" x14ac:dyDescent="0.3">
      <c r="A252" s="610" t="s">
        <v>538</v>
      </c>
      <c r="B252" s="611" t="s">
        <v>539</v>
      </c>
      <c r="C252" s="612" t="s">
        <v>552</v>
      </c>
      <c r="D252" s="613" t="s">
        <v>1194</v>
      </c>
      <c r="E252" s="612" t="s">
        <v>821</v>
      </c>
      <c r="F252" s="613" t="s">
        <v>1199</v>
      </c>
      <c r="G252" s="612"/>
      <c r="H252" s="612" t="s">
        <v>1096</v>
      </c>
      <c r="I252" s="612" t="s">
        <v>1097</v>
      </c>
      <c r="J252" s="612" t="s">
        <v>1098</v>
      </c>
      <c r="K252" s="612" t="s">
        <v>1099</v>
      </c>
      <c r="L252" s="614">
        <v>204.3</v>
      </c>
      <c r="M252" s="614">
        <v>2</v>
      </c>
      <c r="N252" s="615">
        <v>408.6</v>
      </c>
    </row>
    <row r="253" spans="1:14" ht="14.4" customHeight="1" x14ac:dyDescent="0.3">
      <c r="A253" s="610" t="s">
        <v>538</v>
      </c>
      <c r="B253" s="611" t="s">
        <v>539</v>
      </c>
      <c r="C253" s="612" t="s">
        <v>552</v>
      </c>
      <c r="D253" s="613" t="s">
        <v>1194</v>
      </c>
      <c r="E253" s="612" t="s">
        <v>821</v>
      </c>
      <c r="F253" s="613" t="s">
        <v>1199</v>
      </c>
      <c r="G253" s="612"/>
      <c r="H253" s="612" t="s">
        <v>822</v>
      </c>
      <c r="I253" s="612" t="s">
        <v>823</v>
      </c>
      <c r="J253" s="612" t="s">
        <v>824</v>
      </c>
      <c r="K253" s="612"/>
      <c r="L253" s="614">
        <v>188.55004911425499</v>
      </c>
      <c r="M253" s="614">
        <v>5</v>
      </c>
      <c r="N253" s="615">
        <v>942.75024557127495</v>
      </c>
    </row>
    <row r="254" spans="1:14" ht="14.4" customHeight="1" x14ac:dyDescent="0.3">
      <c r="A254" s="610" t="s">
        <v>538</v>
      </c>
      <c r="B254" s="611" t="s">
        <v>539</v>
      </c>
      <c r="C254" s="612" t="s">
        <v>552</v>
      </c>
      <c r="D254" s="613" t="s">
        <v>1194</v>
      </c>
      <c r="E254" s="612" t="s">
        <v>821</v>
      </c>
      <c r="F254" s="613" t="s">
        <v>1199</v>
      </c>
      <c r="G254" s="612"/>
      <c r="H254" s="612" t="s">
        <v>1100</v>
      </c>
      <c r="I254" s="612" t="s">
        <v>1101</v>
      </c>
      <c r="J254" s="612" t="s">
        <v>1102</v>
      </c>
      <c r="K254" s="612" t="s">
        <v>1103</v>
      </c>
      <c r="L254" s="614">
        <v>349.7580383442986</v>
      </c>
      <c r="M254" s="614">
        <v>8</v>
      </c>
      <c r="N254" s="615">
        <v>2798.0643067543888</v>
      </c>
    </row>
    <row r="255" spans="1:14" ht="14.4" customHeight="1" x14ac:dyDescent="0.3">
      <c r="A255" s="610" t="s">
        <v>538</v>
      </c>
      <c r="B255" s="611" t="s">
        <v>539</v>
      </c>
      <c r="C255" s="612" t="s">
        <v>552</v>
      </c>
      <c r="D255" s="613" t="s">
        <v>1194</v>
      </c>
      <c r="E255" s="612" t="s">
        <v>821</v>
      </c>
      <c r="F255" s="613" t="s">
        <v>1199</v>
      </c>
      <c r="G255" s="612"/>
      <c r="H255" s="612" t="s">
        <v>1104</v>
      </c>
      <c r="I255" s="612" t="s">
        <v>189</v>
      </c>
      <c r="J255" s="612" t="s">
        <v>1105</v>
      </c>
      <c r="K255" s="612"/>
      <c r="L255" s="614">
        <v>185.27400000000003</v>
      </c>
      <c r="M255" s="614">
        <v>5</v>
      </c>
      <c r="N255" s="615">
        <v>926.37000000000012</v>
      </c>
    </row>
    <row r="256" spans="1:14" ht="14.4" customHeight="1" x14ac:dyDescent="0.3">
      <c r="A256" s="610" t="s">
        <v>538</v>
      </c>
      <c r="B256" s="611" t="s">
        <v>539</v>
      </c>
      <c r="C256" s="612" t="s">
        <v>552</v>
      </c>
      <c r="D256" s="613" t="s">
        <v>1194</v>
      </c>
      <c r="E256" s="612" t="s">
        <v>821</v>
      </c>
      <c r="F256" s="613" t="s">
        <v>1199</v>
      </c>
      <c r="G256" s="612" t="s">
        <v>559</v>
      </c>
      <c r="H256" s="612" t="s">
        <v>1106</v>
      </c>
      <c r="I256" s="612" t="s">
        <v>1107</v>
      </c>
      <c r="J256" s="612" t="s">
        <v>1108</v>
      </c>
      <c r="K256" s="612" t="s">
        <v>1109</v>
      </c>
      <c r="L256" s="614">
        <v>1679.3173913043477</v>
      </c>
      <c r="M256" s="614">
        <v>23</v>
      </c>
      <c r="N256" s="615">
        <v>38624.299999999996</v>
      </c>
    </row>
    <row r="257" spans="1:14" ht="14.4" customHeight="1" x14ac:dyDescent="0.3">
      <c r="A257" s="610" t="s">
        <v>538</v>
      </c>
      <c r="B257" s="611" t="s">
        <v>539</v>
      </c>
      <c r="C257" s="612" t="s">
        <v>552</v>
      </c>
      <c r="D257" s="613" t="s">
        <v>1194</v>
      </c>
      <c r="E257" s="612" t="s">
        <v>821</v>
      </c>
      <c r="F257" s="613" t="s">
        <v>1199</v>
      </c>
      <c r="G257" s="612" t="s">
        <v>559</v>
      </c>
      <c r="H257" s="612" t="s">
        <v>1110</v>
      </c>
      <c r="I257" s="612" t="s">
        <v>1111</v>
      </c>
      <c r="J257" s="612" t="s">
        <v>1108</v>
      </c>
      <c r="K257" s="612" t="s">
        <v>1112</v>
      </c>
      <c r="L257" s="614">
        <v>2062.5236484007378</v>
      </c>
      <c r="M257" s="614">
        <v>3</v>
      </c>
      <c r="N257" s="615">
        <v>6187.5709452022129</v>
      </c>
    </row>
    <row r="258" spans="1:14" ht="14.4" customHeight="1" x14ac:dyDescent="0.3">
      <c r="A258" s="610" t="s">
        <v>538</v>
      </c>
      <c r="B258" s="611" t="s">
        <v>539</v>
      </c>
      <c r="C258" s="612" t="s">
        <v>552</v>
      </c>
      <c r="D258" s="613" t="s">
        <v>1194</v>
      </c>
      <c r="E258" s="612" t="s">
        <v>821</v>
      </c>
      <c r="F258" s="613" t="s">
        <v>1199</v>
      </c>
      <c r="G258" s="612" t="s">
        <v>559</v>
      </c>
      <c r="H258" s="612" t="s">
        <v>1113</v>
      </c>
      <c r="I258" s="612" t="s">
        <v>189</v>
      </c>
      <c r="J258" s="612" t="s">
        <v>1114</v>
      </c>
      <c r="K258" s="612"/>
      <c r="L258" s="614">
        <v>323.49060941273882</v>
      </c>
      <c r="M258" s="614">
        <v>14</v>
      </c>
      <c r="N258" s="615">
        <v>4528.8685317783438</v>
      </c>
    </row>
    <row r="259" spans="1:14" ht="14.4" customHeight="1" x14ac:dyDescent="0.3">
      <c r="A259" s="610" t="s">
        <v>538</v>
      </c>
      <c r="B259" s="611" t="s">
        <v>539</v>
      </c>
      <c r="C259" s="612" t="s">
        <v>552</v>
      </c>
      <c r="D259" s="613" t="s">
        <v>1194</v>
      </c>
      <c r="E259" s="612" t="s">
        <v>821</v>
      </c>
      <c r="F259" s="613" t="s">
        <v>1199</v>
      </c>
      <c r="G259" s="612" t="s">
        <v>559</v>
      </c>
      <c r="H259" s="612" t="s">
        <v>1115</v>
      </c>
      <c r="I259" s="612" t="s">
        <v>189</v>
      </c>
      <c r="J259" s="612" t="s">
        <v>1116</v>
      </c>
      <c r="K259" s="612"/>
      <c r="L259" s="614">
        <v>236.6699916580165</v>
      </c>
      <c r="M259" s="614">
        <v>2</v>
      </c>
      <c r="N259" s="615">
        <v>473.339983316033</v>
      </c>
    </row>
    <row r="260" spans="1:14" ht="14.4" customHeight="1" x14ac:dyDescent="0.3">
      <c r="A260" s="610" t="s">
        <v>538</v>
      </c>
      <c r="B260" s="611" t="s">
        <v>539</v>
      </c>
      <c r="C260" s="612" t="s">
        <v>552</v>
      </c>
      <c r="D260" s="613" t="s">
        <v>1194</v>
      </c>
      <c r="E260" s="612" t="s">
        <v>821</v>
      </c>
      <c r="F260" s="613" t="s">
        <v>1199</v>
      </c>
      <c r="G260" s="612" t="s">
        <v>559</v>
      </c>
      <c r="H260" s="612" t="s">
        <v>1117</v>
      </c>
      <c r="I260" s="612" t="s">
        <v>189</v>
      </c>
      <c r="J260" s="612" t="s">
        <v>1118</v>
      </c>
      <c r="K260" s="612"/>
      <c r="L260" s="614">
        <v>414.44579411091024</v>
      </c>
      <c r="M260" s="614">
        <v>31</v>
      </c>
      <c r="N260" s="615">
        <v>12847.819617438217</v>
      </c>
    </row>
    <row r="261" spans="1:14" ht="14.4" customHeight="1" x14ac:dyDescent="0.3">
      <c r="A261" s="610" t="s">
        <v>538</v>
      </c>
      <c r="B261" s="611" t="s">
        <v>539</v>
      </c>
      <c r="C261" s="612" t="s">
        <v>552</v>
      </c>
      <c r="D261" s="613" t="s">
        <v>1194</v>
      </c>
      <c r="E261" s="612" t="s">
        <v>821</v>
      </c>
      <c r="F261" s="613" t="s">
        <v>1199</v>
      </c>
      <c r="G261" s="612" t="s">
        <v>559</v>
      </c>
      <c r="H261" s="612" t="s">
        <v>1119</v>
      </c>
      <c r="I261" s="612" t="s">
        <v>189</v>
      </c>
      <c r="J261" s="612" t="s">
        <v>1120</v>
      </c>
      <c r="K261" s="612" t="s">
        <v>1121</v>
      </c>
      <c r="L261" s="614">
        <v>412.6296859953037</v>
      </c>
      <c r="M261" s="614">
        <v>7</v>
      </c>
      <c r="N261" s="615">
        <v>2888.407801967126</v>
      </c>
    </row>
    <row r="262" spans="1:14" ht="14.4" customHeight="1" x14ac:dyDescent="0.3">
      <c r="A262" s="610" t="s">
        <v>538</v>
      </c>
      <c r="B262" s="611" t="s">
        <v>539</v>
      </c>
      <c r="C262" s="612" t="s">
        <v>552</v>
      </c>
      <c r="D262" s="613" t="s">
        <v>1194</v>
      </c>
      <c r="E262" s="612" t="s">
        <v>821</v>
      </c>
      <c r="F262" s="613" t="s">
        <v>1199</v>
      </c>
      <c r="G262" s="612" t="s">
        <v>559</v>
      </c>
      <c r="H262" s="612" t="s">
        <v>1122</v>
      </c>
      <c r="I262" s="612" t="s">
        <v>189</v>
      </c>
      <c r="J262" s="612" t="s">
        <v>1123</v>
      </c>
      <c r="K262" s="612"/>
      <c r="L262" s="614">
        <v>274.47642147842402</v>
      </c>
      <c r="M262" s="614">
        <v>118</v>
      </c>
      <c r="N262" s="615">
        <v>32388.217734454036</v>
      </c>
    </row>
    <row r="263" spans="1:14" ht="14.4" customHeight="1" x14ac:dyDescent="0.3">
      <c r="A263" s="610" t="s">
        <v>538</v>
      </c>
      <c r="B263" s="611" t="s">
        <v>539</v>
      </c>
      <c r="C263" s="612" t="s">
        <v>552</v>
      </c>
      <c r="D263" s="613" t="s">
        <v>1194</v>
      </c>
      <c r="E263" s="612" t="s">
        <v>821</v>
      </c>
      <c r="F263" s="613" t="s">
        <v>1199</v>
      </c>
      <c r="G263" s="612" t="s">
        <v>559</v>
      </c>
      <c r="H263" s="612" t="s">
        <v>1124</v>
      </c>
      <c r="I263" s="612" t="s">
        <v>189</v>
      </c>
      <c r="J263" s="612" t="s">
        <v>1125</v>
      </c>
      <c r="K263" s="612"/>
      <c r="L263" s="614">
        <v>484.13583694632723</v>
      </c>
      <c r="M263" s="614">
        <v>103</v>
      </c>
      <c r="N263" s="615">
        <v>49865.991205471706</v>
      </c>
    </row>
    <row r="264" spans="1:14" ht="14.4" customHeight="1" x14ac:dyDescent="0.3">
      <c r="A264" s="610" t="s">
        <v>538</v>
      </c>
      <c r="B264" s="611" t="s">
        <v>539</v>
      </c>
      <c r="C264" s="612" t="s">
        <v>552</v>
      </c>
      <c r="D264" s="613" t="s">
        <v>1194</v>
      </c>
      <c r="E264" s="612" t="s">
        <v>821</v>
      </c>
      <c r="F264" s="613" t="s">
        <v>1199</v>
      </c>
      <c r="G264" s="612" t="s">
        <v>559</v>
      </c>
      <c r="H264" s="612" t="s">
        <v>1126</v>
      </c>
      <c r="I264" s="612" t="s">
        <v>1127</v>
      </c>
      <c r="J264" s="612" t="s">
        <v>1057</v>
      </c>
      <c r="K264" s="612" t="s">
        <v>1128</v>
      </c>
      <c r="L264" s="614">
        <v>2739.9137694195188</v>
      </c>
      <c r="M264" s="614">
        <v>13.9</v>
      </c>
      <c r="N264" s="615">
        <v>38084.80139493131</v>
      </c>
    </row>
    <row r="265" spans="1:14" ht="14.4" customHeight="1" x14ac:dyDescent="0.3">
      <c r="A265" s="610" t="s">
        <v>538</v>
      </c>
      <c r="B265" s="611" t="s">
        <v>539</v>
      </c>
      <c r="C265" s="612" t="s">
        <v>552</v>
      </c>
      <c r="D265" s="613" t="s">
        <v>1194</v>
      </c>
      <c r="E265" s="612" t="s">
        <v>821</v>
      </c>
      <c r="F265" s="613" t="s">
        <v>1199</v>
      </c>
      <c r="G265" s="612" t="s">
        <v>559</v>
      </c>
      <c r="H265" s="612" t="s">
        <v>1129</v>
      </c>
      <c r="I265" s="612" t="s">
        <v>189</v>
      </c>
      <c r="J265" s="612" t="s">
        <v>1130</v>
      </c>
      <c r="K265" s="612"/>
      <c r="L265" s="614">
        <v>424.97041661186296</v>
      </c>
      <c r="M265" s="614">
        <v>14</v>
      </c>
      <c r="N265" s="615">
        <v>5949.5858325660811</v>
      </c>
    </row>
    <row r="266" spans="1:14" ht="14.4" customHeight="1" x14ac:dyDescent="0.3">
      <c r="A266" s="610" t="s">
        <v>538</v>
      </c>
      <c r="B266" s="611" t="s">
        <v>539</v>
      </c>
      <c r="C266" s="612" t="s">
        <v>552</v>
      </c>
      <c r="D266" s="613" t="s">
        <v>1194</v>
      </c>
      <c r="E266" s="612" t="s">
        <v>821</v>
      </c>
      <c r="F266" s="613" t="s">
        <v>1199</v>
      </c>
      <c r="G266" s="612" t="s">
        <v>559</v>
      </c>
      <c r="H266" s="612" t="s">
        <v>1131</v>
      </c>
      <c r="I266" s="612" t="s">
        <v>189</v>
      </c>
      <c r="J266" s="612" t="s">
        <v>1132</v>
      </c>
      <c r="K266" s="612"/>
      <c r="L266" s="614">
        <v>453.89036402244443</v>
      </c>
      <c r="M266" s="614">
        <v>3</v>
      </c>
      <c r="N266" s="615">
        <v>1361.6710920673333</v>
      </c>
    </row>
    <row r="267" spans="1:14" ht="14.4" customHeight="1" x14ac:dyDescent="0.3">
      <c r="A267" s="610" t="s">
        <v>538</v>
      </c>
      <c r="B267" s="611" t="s">
        <v>539</v>
      </c>
      <c r="C267" s="612" t="s">
        <v>552</v>
      </c>
      <c r="D267" s="613" t="s">
        <v>1194</v>
      </c>
      <c r="E267" s="612" t="s">
        <v>821</v>
      </c>
      <c r="F267" s="613" t="s">
        <v>1199</v>
      </c>
      <c r="G267" s="612" t="s">
        <v>559</v>
      </c>
      <c r="H267" s="612" t="s">
        <v>1133</v>
      </c>
      <c r="I267" s="612" t="s">
        <v>189</v>
      </c>
      <c r="J267" s="612" t="s">
        <v>1134</v>
      </c>
      <c r="K267" s="612"/>
      <c r="L267" s="614">
        <v>700.37978274635782</v>
      </c>
      <c r="M267" s="614">
        <v>4</v>
      </c>
      <c r="N267" s="615">
        <v>2801.5191309854313</v>
      </c>
    </row>
    <row r="268" spans="1:14" ht="14.4" customHeight="1" x14ac:dyDescent="0.3">
      <c r="A268" s="610" t="s">
        <v>538</v>
      </c>
      <c r="B268" s="611" t="s">
        <v>539</v>
      </c>
      <c r="C268" s="612" t="s">
        <v>552</v>
      </c>
      <c r="D268" s="613" t="s">
        <v>1194</v>
      </c>
      <c r="E268" s="612" t="s">
        <v>821</v>
      </c>
      <c r="F268" s="613" t="s">
        <v>1199</v>
      </c>
      <c r="G268" s="612" t="s">
        <v>727</v>
      </c>
      <c r="H268" s="612" t="s">
        <v>1135</v>
      </c>
      <c r="I268" s="612" t="s">
        <v>1136</v>
      </c>
      <c r="J268" s="612" t="s">
        <v>1137</v>
      </c>
      <c r="K268" s="612" t="s">
        <v>1138</v>
      </c>
      <c r="L268" s="614">
        <v>200.24</v>
      </c>
      <c r="M268" s="614">
        <v>1</v>
      </c>
      <c r="N268" s="615">
        <v>200.24</v>
      </c>
    </row>
    <row r="269" spans="1:14" ht="14.4" customHeight="1" x14ac:dyDescent="0.3">
      <c r="A269" s="610" t="s">
        <v>538</v>
      </c>
      <c r="B269" s="611" t="s">
        <v>539</v>
      </c>
      <c r="C269" s="612" t="s">
        <v>552</v>
      </c>
      <c r="D269" s="613" t="s">
        <v>1194</v>
      </c>
      <c r="E269" s="612" t="s">
        <v>821</v>
      </c>
      <c r="F269" s="613" t="s">
        <v>1199</v>
      </c>
      <c r="G269" s="612" t="s">
        <v>727</v>
      </c>
      <c r="H269" s="612" t="s">
        <v>1139</v>
      </c>
      <c r="I269" s="612" t="s">
        <v>1139</v>
      </c>
      <c r="J269" s="612" t="s">
        <v>1140</v>
      </c>
      <c r="K269" s="612" t="s">
        <v>1141</v>
      </c>
      <c r="L269" s="614">
        <v>1302.1987260049209</v>
      </c>
      <c r="M269" s="614">
        <v>3</v>
      </c>
      <c r="N269" s="615">
        <v>3906.5961780147627</v>
      </c>
    </row>
    <row r="270" spans="1:14" ht="14.4" customHeight="1" x14ac:dyDescent="0.3">
      <c r="A270" s="610" t="s">
        <v>538</v>
      </c>
      <c r="B270" s="611" t="s">
        <v>539</v>
      </c>
      <c r="C270" s="612" t="s">
        <v>552</v>
      </c>
      <c r="D270" s="613" t="s">
        <v>1194</v>
      </c>
      <c r="E270" s="612" t="s">
        <v>703</v>
      </c>
      <c r="F270" s="613" t="s">
        <v>1196</v>
      </c>
      <c r="G270" s="612"/>
      <c r="H270" s="612" t="s">
        <v>1142</v>
      </c>
      <c r="I270" s="612" t="s">
        <v>1143</v>
      </c>
      <c r="J270" s="612" t="s">
        <v>1144</v>
      </c>
      <c r="K270" s="612" t="s">
        <v>1145</v>
      </c>
      <c r="L270" s="614">
        <v>71.459999999999994</v>
      </c>
      <c r="M270" s="614">
        <v>10</v>
      </c>
      <c r="N270" s="615">
        <v>714.59999999999991</v>
      </c>
    </row>
    <row r="271" spans="1:14" ht="14.4" customHeight="1" x14ac:dyDescent="0.3">
      <c r="A271" s="610" t="s">
        <v>538</v>
      </c>
      <c r="B271" s="611" t="s">
        <v>539</v>
      </c>
      <c r="C271" s="612" t="s">
        <v>552</v>
      </c>
      <c r="D271" s="613" t="s">
        <v>1194</v>
      </c>
      <c r="E271" s="612" t="s">
        <v>703</v>
      </c>
      <c r="F271" s="613" t="s">
        <v>1196</v>
      </c>
      <c r="G271" s="612"/>
      <c r="H271" s="612" t="s">
        <v>1146</v>
      </c>
      <c r="I271" s="612" t="s">
        <v>1147</v>
      </c>
      <c r="J271" s="612" t="s">
        <v>1148</v>
      </c>
      <c r="K271" s="612" t="s">
        <v>1149</v>
      </c>
      <c r="L271" s="614">
        <v>494.5</v>
      </c>
      <c r="M271" s="614">
        <v>1</v>
      </c>
      <c r="N271" s="615">
        <v>494.5</v>
      </c>
    </row>
    <row r="272" spans="1:14" ht="14.4" customHeight="1" x14ac:dyDescent="0.3">
      <c r="A272" s="610" t="s">
        <v>538</v>
      </c>
      <c r="B272" s="611" t="s">
        <v>539</v>
      </c>
      <c r="C272" s="612" t="s">
        <v>552</v>
      </c>
      <c r="D272" s="613" t="s">
        <v>1194</v>
      </c>
      <c r="E272" s="612" t="s">
        <v>703</v>
      </c>
      <c r="F272" s="613" t="s">
        <v>1196</v>
      </c>
      <c r="G272" s="612" t="s">
        <v>559</v>
      </c>
      <c r="H272" s="612" t="s">
        <v>704</v>
      </c>
      <c r="I272" s="612" t="s">
        <v>705</v>
      </c>
      <c r="J272" s="612" t="s">
        <v>706</v>
      </c>
      <c r="K272" s="612" t="s">
        <v>707</v>
      </c>
      <c r="L272" s="614">
        <v>40.249938863770481</v>
      </c>
      <c r="M272" s="614">
        <v>6</v>
      </c>
      <c r="N272" s="615">
        <v>241.49963318262289</v>
      </c>
    </row>
    <row r="273" spans="1:14" ht="14.4" customHeight="1" x14ac:dyDescent="0.3">
      <c r="A273" s="610" t="s">
        <v>538</v>
      </c>
      <c r="B273" s="611" t="s">
        <v>539</v>
      </c>
      <c r="C273" s="612" t="s">
        <v>552</v>
      </c>
      <c r="D273" s="613" t="s">
        <v>1194</v>
      </c>
      <c r="E273" s="612" t="s">
        <v>703</v>
      </c>
      <c r="F273" s="613" t="s">
        <v>1196</v>
      </c>
      <c r="G273" s="612" t="s">
        <v>559</v>
      </c>
      <c r="H273" s="612" t="s">
        <v>1150</v>
      </c>
      <c r="I273" s="612" t="s">
        <v>1151</v>
      </c>
      <c r="J273" s="612" t="s">
        <v>1152</v>
      </c>
      <c r="K273" s="612" t="s">
        <v>865</v>
      </c>
      <c r="L273" s="614">
        <v>67.954958364262794</v>
      </c>
      <c r="M273" s="614">
        <v>4</v>
      </c>
      <c r="N273" s="615">
        <v>271.81983345705117</v>
      </c>
    </row>
    <row r="274" spans="1:14" ht="14.4" customHeight="1" x14ac:dyDescent="0.3">
      <c r="A274" s="610" t="s">
        <v>538</v>
      </c>
      <c r="B274" s="611" t="s">
        <v>539</v>
      </c>
      <c r="C274" s="612" t="s">
        <v>552</v>
      </c>
      <c r="D274" s="613" t="s">
        <v>1194</v>
      </c>
      <c r="E274" s="612" t="s">
        <v>703</v>
      </c>
      <c r="F274" s="613" t="s">
        <v>1196</v>
      </c>
      <c r="G274" s="612" t="s">
        <v>559</v>
      </c>
      <c r="H274" s="612" t="s">
        <v>1153</v>
      </c>
      <c r="I274" s="612" t="s">
        <v>1154</v>
      </c>
      <c r="J274" s="612" t="s">
        <v>1155</v>
      </c>
      <c r="K274" s="612" t="s">
        <v>1156</v>
      </c>
      <c r="L274" s="614">
        <v>1528.07</v>
      </c>
      <c r="M274" s="614">
        <v>1</v>
      </c>
      <c r="N274" s="615">
        <v>1528.07</v>
      </c>
    </row>
    <row r="275" spans="1:14" ht="14.4" customHeight="1" x14ac:dyDescent="0.3">
      <c r="A275" s="610" t="s">
        <v>538</v>
      </c>
      <c r="B275" s="611" t="s">
        <v>539</v>
      </c>
      <c r="C275" s="612" t="s">
        <v>552</v>
      </c>
      <c r="D275" s="613" t="s">
        <v>1194</v>
      </c>
      <c r="E275" s="612" t="s">
        <v>703</v>
      </c>
      <c r="F275" s="613" t="s">
        <v>1196</v>
      </c>
      <c r="G275" s="612" t="s">
        <v>559</v>
      </c>
      <c r="H275" s="612" t="s">
        <v>708</v>
      </c>
      <c r="I275" s="612" t="s">
        <v>709</v>
      </c>
      <c r="J275" s="612" t="s">
        <v>710</v>
      </c>
      <c r="K275" s="612" t="s">
        <v>711</v>
      </c>
      <c r="L275" s="614">
        <v>82.873793585546835</v>
      </c>
      <c r="M275" s="614">
        <v>5</v>
      </c>
      <c r="N275" s="615">
        <v>414.36896792773416</v>
      </c>
    </row>
    <row r="276" spans="1:14" ht="14.4" customHeight="1" x14ac:dyDescent="0.3">
      <c r="A276" s="610" t="s">
        <v>538</v>
      </c>
      <c r="B276" s="611" t="s">
        <v>539</v>
      </c>
      <c r="C276" s="612" t="s">
        <v>552</v>
      </c>
      <c r="D276" s="613" t="s">
        <v>1194</v>
      </c>
      <c r="E276" s="612" t="s">
        <v>703</v>
      </c>
      <c r="F276" s="613" t="s">
        <v>1196</v>
      </c>
      <c r="G276" s="612" t="s">
        <v>559</v>
      </c>
      <c r="H276" s="612" t="s">
        <v>1157</v>
      </c>
      <c r="I276" s="612" t="s">
        <v>1158</v>
      </c>
      <c r="J276" s="612" t="s">
        <v>1159</v>
      </c>
      <c r="K276" s="612" t="s">
        <v>932</v>
      </c>
      <c r="L276" s="614">
        <v>235.77000000000004</v>
      </c>
      <c r="M276" s="614">
        <v>1</v>
      </c>
      <c r="N276" s="615">
        <v>235.77000000000004</v>
      </c>
    </row>
    <row r="277" spans="1:14" ht="14.4" customHeight="1" x14ac:dyDescent="0.3">
      <c r="A277" s="610" t="s">
        <v>538</v>
      </c>
      <c r="B277" s="611" t="s">
        <v>539</v>
      </c>
      <c r="C277" s="612" t="s">
        <v>552</v>
      </c>
      <c r="D277" s="613" t="s">
        <v>1194</v>
      </c>
      <c r="E277" s="612" t="s">
        <v>703</v>
      </c>
      <c r="F277" s="613" t="s">
        <v>1196</v>
      </c>
      <c r="G277" s="612" t="s">
        <v>559</v>
      </c>
      <c r="H277" s="612" t="s">
        <v>1160</v>
      </c>
      <c r="I277" s="612" t="s">
        <v>1161</v>
      </c>
      <c r="J277" s="612" t="s">
        <v>1162</v>
      </c>
      <c r="K277" s="612" t="s">
        <v>1163</v>
      </c>
      <c r="L277" s="614">
        <v>72.64</v>
      </c>
      <c r="M277" s="614">
        <v>3</v>
      </c>
      <c r="N277" s="615">
        <v>217.92000000000002</v>
      </c>
    </row>
    <row r="278" spans="1:14" ht="14.4" customHeight="1" x14ac:dyDescent="0.3">
      <c r="A278" s="610" t="s">
        <v>538</v>
      </c>
      <c r="B278" s="611" t="s">
        <v>539</v>
      </c>
      <c r="C278" s="612" t="s">
        <v>552</v>
      </c>
      <c r="D278" s="613" t="s">
        <v>1194</v>
      </c>
      <c r="E278" s="612" t="s">
        <v>703</v>
      </c>
      <c r="F278" s="613" t="s">
        <v>1196</v>
      </c>
      <c r="G278" s="612" t="s">
        <v>559</v>
      </c>
      <c r="H278" s="612" t="s">
        <v>712</v>
      </c>
      <c r="I278" s="612" t="s">
        <v>713</v>
      </c>
      <c r="J278" s="612" t="s">
        <v>714</v>
      </c>
      <c r="K278" s="612" t="s">
        <v>715</v>
      </c>
      <c r="L278" s="614">
        <v>23.560000000000002</v>
      </c>
      <c r="M278" s="614">
        <v>1</v>
      </c>
      <c r="N278" s="615">
        <v>23.560000000000002</v>
      </c>
    </row>
    <row r="279" spans="1:14" ht="14.4" customHeight="1" x14ac:dyDescent="0.3">
      <c r="A279" s="610" t="s">
        <v>538</v>
      </c>
      <c r="B279" s="611" t="s">
        <v>539</v>
      </c>
      <c r="C279" s="612" t="s">
        <v>552</v>
      </c>
      <c r="D279" s="613" t="s">
        <v>1194</v>
      </c>
      <c r="E279" s="612" t="s">
        <v>703</v>
      </c>
      <c r="F279" s="613" t="s">
        <v>1196</v>
      </c>
      <c r="G279" s="612" t="s">
        <v>559</v>
      </c>
      <c r="H279" s="612" t="s">
        <v>716</v>
      </c>
      <c r="I279" s="612" t="s">
        <v>717</v>
      </c>
      <c r="J279" s="612" t="s">
        <v>718</v>
      </c>
      <c r="K279" s="612" t="s">
        <v>719</v>
      </c>
      <c r="L279" s="614">
        <v>49.20099710844017</v>
      </c>
      <c r="M279" s="614">
        <v>31</v>
      </c>
      <c r="N279" s="615">
        <v>1525.2309103616453</v>
      </c>
    </row>
    <row r="280" spans="1:14" ht="14.4" customHeight="1" x14ac:dyDescent="0.3">
      <c r="A280" s="610" t="s">
        <v>538</v>
      </c>
      <c r="B280" s="611" t="s">
        <v>539</v>
      </c>
      <c r="C280" s="612" t="s">
        <v>552</v>
      </c>
      <c r="D280" s="613" t="s">
        <v>1194</v>
      </c>
      <c r="E280" s="612" t="s">
        <v>703</v>
      </c>
      <c r="F280" s="613" t="s">
        <v>1196</v>
      </c>
      <c r="G280" s="612" t="s">
        <v>559</v>
      </c>
      <c r="H280" s="612" t="s">
        <v>825</v>
      </c>
      <c r="I280" s="612" t="s">
        <v>826</v>
      </c>
      <c r="J280" s="612" t="s">
        <v>827</v>
      </c>
      <c r="K280" s="612" t="s">
        <v>828</v>
      </c>
      <c r="L280" s="614">
        <v>437.38254651837434</v>
      </c>
      <c r="M280" s="614">
        <v>50</v>
      </c>
      <c r="N280" s="615">
        <v>21869.127325918718</v>
      </c>
    </row>
    <row r="281" spans="1:14" ht="14.4" customHeight="1" x14ac:dyDescent="0.3">
      <c r="A281" s="610" t="s">
        <v>538</v>
      </c>
      <c r="B281" s="611" t="s">
        <v>539</v>
      </c>
      <c r="C281" s="612" t="s">
        <v>552</v>
      </c>
      <c r="D281" s="613" t="s">
        <v>1194</v>
      </c>
      <c r="E281" s="612" t="s">
        <v>703</v>
      </c>
      <c r="F281" s="613" t="s">
        <v>1196</v>
      </c>
      <c r="G281" s="612" t="s">
        <v>559</v>
      </c>
      <c r="H281" s="612" t="s">
        <v>1164</v>
      </c>
      <c r="I281" s="612" t="s">
        <v>1165</v>
      </c>
      <c r="J281" s="612" t="s">
        <v>718</v>
      </c>
      <c r="K281" s="612" t="s">
        <v>1166</v>
      </c>
      <c r="L281" s="614">
        <v>46.45</v>
      </c>
      <c r="M281" s="614">
        <v>1</v>
      </c>
      <c r="N281" s="615">
        <v>46.45</v>
      </c>
    </row>
    <row r="282" spans="1:14" ht="14.4" customHeight="1" x14ac:dyDescent="0.3">
      <c r="A282" s="610" t="s">
        <v>538</v>
      </c>
      <c r="B282" s="611" t="s">
        <v>539</v>
      </c>
      <c r="C282" s="612" t="s">
        <v>552</v>
      </c>
      <c r="D282" s="613" t="s">
        <v>1194</v>
      </c>
      <c r="E282" s="612" t="s">
        <v>703</v>
      </c>
      <c r="F282" s="613" t="s">
        <v>1196</v>
      </c>
      <c r="G282" s="612" t="s">
        <v>559</v>
      </c>
      <c r="H282" s="612" t="s">
        <v>1167</v>
      </c>
      <c r="I282" s="612" t="s">
        <v>1167</v>
      </c>
      <c r="J282" s="612" t="s">
        <v>1168</v>
      </c>
      <c r="K282" s="612" t="s">
        <v>1169</v>
      </c>
      <c r="L282" s="614">
        <v>1789.3</v>
      </c>
      <c r="M282" s="614">
        <v>1</v>
      </c>
      <c r="N282" s="615">
        <v>1789.3</v>
      </c>
    </row>
    <row r="283" spans="1:14" ht="14.4" customHeight="1" x14ac:dyDescent="0.3">
      <c r="A283" s="610" t="s">
        <v>538</v>
      </c>
      <c r="B283" s="611" t="s">
        <v>539</v>
      </c>
      <c r="C283" s="612" t="s">
        <v>552</v>
      </c>
      <c r="D283" s="613" t="s">
        <v>1194</v>
      </c>
      <c r="E283" s="612" t="s">
        <v>703</v>
      </c>
      <c r="F283" s="613" t="s">
        <v>1196</v>
      </c>
      <c r="G283" s="612" t="s">
        <v>559</v>
      </c>
      <c r="H283" s="612" t="s">
        <v>724</v>
      </c>
      <c r="I283" s="612" t="s">
        <v>724</v>
      </c>
      <c r="J283" s="612" t="s">
        <v>725</v>
      </c>
      <c r="K283" s="612" t="s">
        <v>726</v>
      </c>
      <c r="L283" s="614">
        <v>72.640000000000015</v>
      </c>
      <c r="M283" s="614">
        <v>2</v>
      </c>
      <c r="N283" s="615">
        <v>145.28000000000003</v>
      </c>
    </row>
    <row r="284" spans="1:14" ht="14.4" customHeight="1" x14ac:dyDescent="0.3">
      <c r="A284" s="610" t="s">
        <v>538</v>
      </c>
      <c r="B284" s="611" t="s">
        <v>539</v>
      </c>
      <c r="C284" s="612" t="s">
        <v>552</v>
      </c>
      <c r="D284" s="613" t="s">
        <v>1194</v>
      </c>
      <c r="E284" s="612" t="s">
        <v>703</v>
      </c>
      <c r="F284" s="613" t="s">
        <v>1196</v>
      </c>
      <c r="G284" s="612" t="s">
        <v>727</v>
      </c>
      <c r="H284" s="612" t="s">
        <v>1170</v>
      </c>
      <c r="I284" s="612" t="s">
        <v>1170</v>
      </c>
      <c r="J284" s="612" t="s">
        <v>1171</v>
      </c>
      <c r="K284" s="612" t="s">
        <v>1172</v>
      </c>
      <c r="L284" s="614">
        <v>264</v>
      </c>
      <c r="M284" s="614">
        <v>2</v>
      </c>
      <c r="N284" s="615">
        <v>528</v>
      </c>
    </row>
    <row r="285" spans="1:14" ht="14.4" customHeight="1" x14ac:dyDescent="0.3">
      <c r="A285" s="610" t="s">
        <v>538</v>
      </c>
      <c r="B285" s="611" t="s">
        <v>539</v>
      </c>
      <c r="C285" s="612" t="s">
        <v>552</v>
      </c>
      <c r="D285" s="613" t="s">
        <v>1194</v>
      </c>
      <c r="E285" s="612" t="s">
        <v>703</v>
      </c>
      <c r="F285" s="613" t="s">
        <v>1196</v>
      </c>
      <c r="G285" s="612" t="s">
        <v>727</v>
      </c>
      <c r="H285" s="612" t="s">
        <v>1173</v>
      </c>
      <c r="I285" s="612" t="s">
        <v>1174</v>
      </c>
      <c r="J285" s="612" t="s">
        <v>1175</v>
      </c>
      <c r="K285" s="612" t="s">
        <v>1176</v>
      </c>
      <c r="L285" s="614">
        <v>28.889999999999997</v>
      </c>
      <c r="M285" s="614">
        <v>10</v>
      </c>
      <c r="N285" s="615">
        <v>288.89999999999998</v>
      </c>
    </row>
    <row r="286" spans="1:14" ht="14.4" customHeight="1" x14ac:dyDescent="0.3">
      <c r="A286" s="610" t="s">
        <v>538</v>
      </c>
      <c r="B286" s="611" t="s">
        <v>539</v>
      </c>
      <c r="C286" s="612" t="s">
        <v>552</v>
      </c>
      <c r="D286" s="613" t="s">
        <v>1194</v>
      </c>
      <c r="E286" s="612" t="s">
        <v>703</v>
      </c>
      <c r="F286" s="613" t="s">
        <v>1196</v>
      </c>
      <c r="G286" s="612" t="s">
        <v>727</v>
      </c>
      <c r="H286" s="612" t="s">
        <v>833</v>
      </c>
      <c r="I286" s="612" t="s">
        <v>833</v>
      </c>
      <c r="J286" s="612" t="s">
        <v>834</v>
      </c>
      <c r="K286" s="612" t="s">
        <v>835</v>
      </c>
      <c r="L286" s="614">
        <v>84.270555626580716</v>
      </c>
      <c r="M286" s="614">
        <v>19.599999999999994</v>
      </c>
      <c r="N286" s="615">
        <v>1651.7028902809816</v>
      </c>
    </row>
    <row r="287" spans="1:14" ht="14.4" customHeight="1" x14ac:dyDescent="0.3">
      <c r="A287" s="610" t="s">
        <v>538</v>
      </c>
      <c r="B287" s="611" t="s">
        <v>539</v>
      </c>
      <c r="C287" s="612" t="s">
        <v>552</v>
      </c>
      <c r="D287" s="613" t="s">
        <v>1194</v>
      </c>
      <c r="E287" s="612" t="s">
        <v>703</v>
      </c>
      <c r="F287" s="613" t="s">
        <v>1196</v>
      </c>
      <c r="G287" s="612" t="s">
        <v>727</v>
      </c>
      <c r="H287" s="612" t="s">
        <v>728</v>
      </c>
      <c r="I287" s="612" t="s">
        <v>729</v>
      </c>
      <c r="J287" s="612" t="s">
        <v>730</v>
      </c>
      <c r="K287" s="612" t="s">
        <v>731</v>
      </c>
      <c r="L287" s="614">
        <v>136.45947777885746</v>
      </c>
      <c r="M287" s="614">
        <v>57</v>
      </c>
      <c r="N287" s="615">
        <v>7778.1902333948747</v>
      </c>
    </row>
    <row r="288" spans="1:14" ht="14.4" customHeight="1" x14ac:dyDescent="0.3">
      <c r="A288" s="610" t="s">
        <v>538</v>
      </c>
      <c r="B288" s="611" t="s">
        <v>539</v>
      </c>
      <c r="C288" s="612" t="s">
        <v>552</v>
      </c>
      <c r="D288" s="613" t="s">
        <v>1194</v>
      </c>
      <c r="E288" s="612" t="s">
        <v>703</v>
      </c>
      <c r="F288" s="613" t="s">
        <v>1196</v>
      </c>
      <c r="G288" s="612" t="s">
        <v>727</v>
      </c>
      <c r="H288" s="612" t="s">
        <v>732</v>
      </c>
      <c r="I288" s="612" t="s">
        <v>733</v>
      </c>
      <c r="J288" s="612" t="s">
        <v>734</v>
      </c>
      <c r="K288" s="612" t="s">
        <v>735</v>
      </c>
      <c r="L288" s="614">
        <v>60.150664529118494</v>
      </c>
      <c r="M288" s="614">
        <v>36</v>
      </c>
      <c r="N288" s="615">
        <v>2165.4239230482658</v>
      </c>
    </row>
    <row r="289" spans="1:14" ht="14.4" customHeight="1" x14ac:dyDescent="0.3">
      <c r="A289" s="610" t="s">
        <v>538</v>
      </c>
      <c r="B289" s="611" t="s">
        <v>539</v>
      </c>
      <c r="C289" s="612" t="s">
        <v>552</v>
      </c>
      <c r="D289" s="613" t="s">
        <v>1194</v>
      </c>
      <c r="E289" s="612" t="s">
        <v>703</v>
      </c>
      <c r="F289" s="613" t="s">
        <v>1196</v>
      </c>
      <c r="G289" s="612" t="s">
        <v>727</v>
      </c>
      <c r="H289" s="612" t="s">
        <v>836</v>
      </c>
      <c r="I289" s="612" t="s">
        <v>837</v>
      </c>
      <c r="J289" s="612" t="s">
        <v>838</v>
      </c>
      <c r="K289" s="612" t="s">
        <v>839</v>
      </c>
      <c r="L289" s="614">
        <v>781.25777777777785</v>
      </c>
      <c r="M289" s="614">
        <v>9</v>
      </c>
      <c r="N289" s="615">
        <v>7031.3200000000006</v>
      </c>
    </row>
    <row r="290" spans="1:14" ht="14.4" customHeight="1" x14ac:dyDescent="0.3">
      <c r="A290" s="610" t="s">
        <v>538</v>
      </c>
      <c r="B290" s="611" t="s">
        <v>539</v>
      </c>
      <c r="C290" s="612" t="s">
        <v>552</v>
      </c>
      <c r="D290" s="613" t="s">
        <v>1194</v>
      </c>
      <c r="E290" s="612" t="s">
        <v>703</v>
      </c>
      <c r="F290" s="613" t="s">
        <v>1196</v>
      </c>
      <c r="G290" s="612" t="s">
        <v>727</v>
      </c>
      <c r="H290" s="612" t="s">
        <v>1177</v>
      </c>
      <c r="I290" s="612" t="s">
        <v>1177</v>
      </c>
      <c r="J290" s="612" t="s">
        <v>1178</v>
      </c>
      <c r="K290" s="612" t="s">
        <v>1179</v>
      </c>
      <c r="L290" s="614">
        <v>462</v>
      </c>
      <c r="M290" s="614">
        <v>2</v>
      </c>
      <c r="N290" s="615">
        <v>924</v>
      </c>
    </row>
    <row r="291" spans="1:14" ht="14.4" customHeight="1" x14ac:dyDescent="0.3">
      <c r="A291" s="610" t="s">
        <v>538</v>
      </c>
      <c r="B291" s="611" t="s">
        <v>539</v>
      </c>
      <c r="C291" s="612" t="s">
        <v>552</v>
      </c>
      <c r="D291" s="613" t="s">
        <v>1194</v>
      </c>
      <c r="E291" s="612" t="s">
        <v>703</v>
      </c>
      <c r="F291" s="613" t="s">
        <v>1196</v>
      </c>
      <c r="G291" s="612" t="s">
        <v>727</v>
      </c>
      <c r="H291" s="612" t="s">
        <v>843</v>
      </c>
      <c r="I291" s="612" t="s">
        <v>843</v>
      </c>
      <c r="J291" s="612" t="s">
        <v>844</v>
      </c>
      <c r="K291" s="612" t="s">
        <v>845</v>
      </c>
      <c r="L291" s="614">
        <v>164.19538353179425</v>
      </c>
      <c r="M291" s="614">
        <v>50</v>
      </c>
      <c r="N291" s="615">
        <v>8209.7691765897125</v>
      </c>
    </row>
    <row r="292" spans="1:14" ht="14.4" customHeight="1" x14ac:dyDescent="0.3">
      <c r="A292" s="610" t="s">
        <v>538</v>
      </c>
      <c r="B292" s="611" t="s">
        <v>539</v>
      </c>
      <c r="C292" s="612" t="s">
        <v>552</v>
      </c>
      <c r="D292" s="613" t="s">
        <v>1194</v>
      </c>
      <c r="E292" s="612" t="s">
        <v>703</v>
      </c>
      <c r="F292" s="613" t="s">
        <v>1196</v>
      </c>
      <c r="G292" s="612" t="s">
        <v>727</v>
      </c>
      <c r="H292" s="612" t="s">
        <v>846</v>
      </c>
      <c r="I292" s="612" t="s">
        <v>846</v>
      </c>
      <c r="J292" s="612" t="s">
        <v>847</v>
      </c>
      <c r="K292" s="612" t="s">
        <v>845</v>
      </c>
      <c r="L292" s="614">
        <v>34.660383903728437</v>
      </c>
      <c r="M292" s="614">
        <v>16</v>
      </c>
      <c r="N292" s="615">
        <v>554.566142459655</v>
      </c>
    </row>
    <row r="293" spans="1:14" ht="14.4" customHeight="1" x14ac:dyDescent="0.3">
      <c r="A293" s="610" t="s">
        <v>538</v>
      </c>
      <c r="B293" s="611" t="s">
        <v>539</v>
      </c>
      <c r="C293" s="612" t="s">
        <v>552</v>
      </c>
      <c r="D293" s="613" t="s">
        <v>1194</v>
      </c>
      <c r="E293" s="612" t="s">
        <v>736</v>
      </c>
      <c r="F293" s="613" t="s">
        <v>1197</v>
      </c>
      <c r="G293" s="612"/>
      <c r="H293" s="612" t="s">
        <v>1180</v>
      </c>
      <c r="I293" s="612" t="s">
        <v>1181</v>
      </c>
      <c r="J293" s="612" t="s">
        <v>1182</v>
      </c>
      <c r="K293" s="612"/>
      <c r="L293" s="614">
        <v>30.195362163176288</v>
      </c>
      <c r="M293" s="614">
        <v>25</v>
      </c>
      <c r="N293" s="615">
        <v>754.88405407940718</v>
      </c>
    </row>
    <row r="294" spans="1:14" ht="14.4" customHeight="1" x14ac:dyDescent="0.3">
      <c r="A294" s="610" t="s">
        <v>538</v>
      </c>
      <c r="B294" s="611" t="s">
        <v>539</v>
      </c>
      <c r="C294" s="612" t="s">
        <v>552</v>
      </c>
      <c r="D294" s="613" t="s">
        <v>1194</v>
      </c>
      <c r="E294" s="612" t="s">
        <v>736</v>
      </c>
      <c r="F294" s="613" t="s">
        <v>1197</v>
      </c>
      <c r="G294" s="612" t="s">
        <v>559</v>
      </c>
      <c r="H294" s="612" t="s">
        <v>1183</v>
      </c>
      <c r="I294" s="612" t="s">
        <v>1184</v>
      </c>
      <c r="J294" s="612" t="s">
        <v>1185</v>
      </c>
      <c r="K294" s="612" t="s">
        <v>1186</v>
      </c>
      <c r="L294" s="614">
        <v>91.133024648184872</v>
      </c>
      <c r="M294" s="614">
        <v>6</v>
      </c>
      <c r="N294" s="615">
        <v>546.79814788910926</v>
      </c>
    </row>
    <row r="295" spans="1:14" ht="14.4" customHeight="1" x14ac:dyDescent="0.3">
      <c r="A295" s="610" t="s">
        <v>538</v>
      </c>
      <c r="B295" s="611" t="s">
        <v>539</v>
      </c>
      <c r="C295" s="612" t="s">
        <v>552</v>
      </c>
      <c r="D295" s="613" t="s">
        <v>1194</v>
      </c>
      <c r="E295" s="612" t="s">
        <v>736</v>
      </c>
      <c r="F295" s="613" t="s">
        <v>1197</v>
      </c>
      <c r="G295" s="612" t="s">
        <v>559</v>
      </c>
      <c r="H295" s="612" t="s">
        <v>741</v>
      </c>
      <c r="I295" s="612" t="s">
        <v>742</v>
      </c>
      <c r="J295" s="612" t="s">
        <v>743</v>
      </c>
      <c r="K295" s="612" t="s">
        <v>744</v>
      </c>
      <c r="L295" s="614">
        <v>98.729837829180866</v>
      </c>
      <c r="M295" s="614">
        <v>10</v>
      </c>
      <c r="N295" s="615">
        <v>987.29837829180872</v>
      </c>
    </row>
    <row r="296" spans="1:14" ht="14.4" customHeight="1" x14ac:dyDescent="0.3">
      <c r="A296" s="610" t="s">
        <v>538</v>
      </c>
      <c r="B296" s="611" t="s">
        <v>539</v>
      </c>
      <c r="C296" s="612" t="s">
        <v>552</v>
      </c>
      <c r="D296" s="613" t="s">
        <v>1194</v>
      </c>
      <c r="E296" s="612" t="s">
        <v>736</v>
      </c>
      <c r="F296" s="613" t="s">
        <v>1197</v>
      </c>
      <c r="G296" s="612" t="s">
        <v>727</v>
      </c>
      <c r="H296" s="612" t="s">
        <v>1187</v>
      </c>
      <c r="I296" s="612" t="s">
        <v>1187</v>
      </c>
      <c r="J296" s="612" t="s">
        <v>1188</v>
      </c>
      <c r="K296" s="612" t="s">
        <v>1189</v>
      </c>
      <c r="L296" s="614">
        <v>159.49999999999997</v>
      </c>
      <c r="M296" s="614">
        <v>3.0999999999999996</v>
      </c>
      <c r="N296" s="615">
        <v>494.44999999999987</v>
      </c>
    </row>
    <row r="297" spans="1:14" ht="14.4" customHeight="1" x14ac:dyDescent="0.3">
      <c r="A297" s="610" t="s">
        <v>538</v>
      </c>
      <c r="B297" s="611" t="s">
        <v>539</v>
      </c>
      <c r="C297" s="612" t="s">
        <v>552</v>
      </c>
      <c r="D297" s="613" t="s">
        <v>1194</v>
      </c>
      <c r="E297" s="612" t="s">
        <v>749</v>
      </c>
      <c r="F297" s="613" t="s">
        <v>1198</v>
      </c>
      <c r="G297" s="612"/>
      <c r="H297" s="612"/>
      <c r="I297" s="612" t="s">
        <v>750</v>
      </c>
      <c r="J297" s="612" t="s">
        <v>751</v>
      </c>
      <c r="K297" s="612"/>
      <c r="L297" s="614">
        <v>1095.1600000000001</v>
      </c>
      <c r="M297" s="614">
        <v>5</v>
      </c>
      <c r="N297" s="615">
        <v>5475.8</v>
      </c>
    </row>
    <row r="298" spans="1:14" ht="14.4" customHeight="1" thickBot="1" x14ac:dyDescent="0.35">
      <c r="A298" s="616" t="s">
        <v>538</v>
      </c>
      <c r="B298" s="617" t="s">
        <v>539</v>
      </c>
      <c r="C298" s="618" t="s">
        <v>552</v>
      </c>
      <c r="D298" s="619" t="s">
        <v>1194</v>
      </c>
      <c r="E298" s="618" t="s">
        <v>749</v>
      </c>
      <c r="F298" s="619" t="s">
        <v>1198</v>
      </c>
      <c r="G298" s="618"/>
      <c r="H298" s="618"/>
      <c r="I298" s="618" t="s">
        <v>1190</v>
      </c>
      <c r="J298" s="618" t="s">
        <v>1191</v>
      </c>
      <c r="K298" s="618"/>
      <c r="L298" s="620">
        <v>142.34980392156862</v>
      </c>
      <c r="M298" s="620">
        <v>51</v>
      </c>
      <c r="N298" s="621">
        <v>7259.84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8" customWidth="1"/>
    <col min="3" max="3" width="5.5546875" style="321" customWidth="1"/>
    <col min="4" max="4" width="10" style="318" customWidth="1"/>
    <col min="5" max="5" width="5.5546875" style="321" customWidth="1"/>
    <col min="6" max="6" width="10" style="318" customWidth="1"/>
    <col min="7" max="16384" width="8.88671875" style="238"/>
  </cols>
  <sheetData>
    <row r="1" spans="1:6" ht="37.200000000000003" customHeight="1" thickBot="1" x14ac:dyDescent="0.4">
      <c r="A1" s="488" t="s">
        <v>182</v>
      </c>
      <c r="B1" s="489"/>
      <c r="C1" s="489"/>
      <c r="D1" s="489"/>
      <c r="E1" s="489"/>
      <c r="F1" s="489"/>
    </row>
    <row r="2" spans="1:6" ht="14.4" customHeight="1" thickBot="1" x14ac:dyDescent="0.35">
      <c r="A2" s="360" t="s">
        <v>306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0" t="s">
        <v>144</v>
      </c>
      <c r="C3" s="491"/>
      <c r="D3" s="492" t="s">
        <v>143</v>
      </c>
      <c r="E3" s="491"/>
      <c r="F3" s="96" t="s">
        <v>3</v>
      </c>
    </row>
    <row r="4" spans="1:6" ht="14.4" customHeight="1" thickBot="1" x14ac:dyDescent="0.35">
      <c r="A4" s="622" t="s">
        <v>166</v>
      </c>
      <c r="B4" s="623" t="s">
        <v>14</v>
      </c>
      <c r="C4" s="624" t="s">
        <v>2</v>
      </c>
      <c r="D4" s="623" t="s">
        <v>14</v>
      </c>
      <c r="E4" s="624" t="s">
        <v>2</v>
      </c>
      <c r="F4" s="625" t="s">
        <v>14</v>
      </c>
    </row>
    <row r="5" spans="1:6" ht="14.4" customHeight="1" x14ac:dyDescent="0.3">
      <c r="A5" s="636" t="s">
        <v>1200</v>
      </c>
      <c r="B5" s="608">
        <v>7663.2756064050709</v>
      </c>
      <c r="C5" s="626">
        <v>0.12188331298230161</v>
      </c>
      <c r="D5" s="608">
        <v>55210.594646185105</v>
      </c>
      <c r="E5" s="626">
        <v>0.87811668701769841</v>
      </c>
      <c r="F5" s="609">
        <v>62873.870252590175</v>
      </c>
    </row>
    <row r="6" spans="1:6" ht="14.4" customHeight="1" x14ac:dyDescent="0.3">
      <c r="A6" s="637" t="s">
        <v>1201</v>
      </c>
      <c r="B6" s="614">
        <v>377.10024557127514</v>
      </c>
      <c r="C6" s="627">
        <v>5.394953389092369E-2</v>
      </c>
      <c r="D6" s="614">
        <v>6612.7700716348827</v>
      </c>
      <c r="E6" s="627">
        <v>0.94605046610907628</v>
      </c>
      <c r="F6" s="615">
        <v>6989.8703172061578</v>
      </c>
    </row>
    <row r="7" spans="1:6" ht="14.4" customHeight="1" thickBot="1" x14ac:dyDescent="0.35">
      <c r="A7" s="638" t="s">
        <v>1202</v>
      </c>
      <c r="B7" s="629"/>
      <c r="C7" s="630">
        <v>0</v>
      </c>
      <c r="D7" s="629">
        <v>2122.2193041665896</v>
      </c>
      <c r="E7" s="630">
        <v>1</v>
      </c>
      <c r="F7" s="631">
        <v>2122.2193041665896</v>
      </c>
    </row>
    <row r="8" spans="1:6" ht="14.4" customHeight="1" thickBot="1" x14ac:dyDescent="0.35">
      <c r="A8" s="632" t="s">
        <v>3</v>
      </c>
      <c r="B8" s="633">
        <v>8040.375851976346</v>
      </c>
      <c r="C8" s="634">
        <v>0.11169366729364852</v>
      </c>
      <c r="D8" s="633">
        <v>63945.584021986579</v>
      </c>
      <c r="E8" s="634">
        <v>0.88830633270635162</v>
      </c>
      <c r="F8" s="635">
        <v>71985.959873962915</v>
      </c>
    </row>
    <row r="9" spans="1:6" ht="14.4" customHeight="1" thickBot="1" x14ac:dyDescent="0.35"/>
    <row r="10" spans="1:6" ht="14.4" customHeight="1" x14ac:dyDescent="0.3">
      <c r="A10" s="636" t="s">
        <v>1203</v>
      </c>
      <c r="B10" s="608">
        <v>4526.514797896938</v>
      </c>
      <c r="C10" s="626">
        <v>0.51817104938982139</v>
      </c>
      <c r="D10" s="608">
        <v>4209.0461780147625</v>
      </c>
      <c r="E10" s="626">
        <v>0.48182895061017866</v>
      </c>
      <c r="F10" s="609">
        <v>8735.5609759116996</v>
      </c>
    </row>
    <row r="11" spans="1:6" ht="14.4" customHeight="1" x14ac:dyDescent="0.3">
      <c r="A11" s="637" t="s">
        <v>1204</v>
      </c>
      <c r="B11" s="614">
        <v>1668.3370000000004</v>
      </c>
      <c r="C11" s="627">
        <v>1</v>
      </c>
      <c r="D11" s="614"/>
      <c r="E11" s="627">
        <v>0</v>
      </c>
      <c r="F11" s="615">
        <v>1668.3370000000004</v>
      </c>
    </row>
    <row r="12" spans="1:6" ht="14.4" customHeight="1" x14ac:dyDescent="0.3">
      <c r="A12" s="637" t="s">
        <v>1205</v>
      </c>
      <c r="B12" s="614">
        <v>914.38405407940718</v>
      </c>
      <c r="C12" s="627">
        <v>0.73189716640933689</v>
      </c>
      <c r="D12" s="614">
        <v>334.94999999999987</v>
      </c>
      <c r="E12" s="627">
        <v>0.26810283359066323</v>
      </c>
      <c r="F12" s="615">
        <v>1249.334054079407</v>
      </c>
    </row>
    <row r="13" spans="1:6" ht="14.4" customHeight="1" x14ac:dyDescent="0.3">
      <c r="A13" s="637" t="s">
        <v>1206</v>
      </c>
      <c r="B13" s="614">
        <v>714.59999999999991</v>
      </c>
      <c r="C13" s="627">
        <v>1</v>
      </c>
      <c r="D13" s="614"/>
      <c r="E13" s="627">
        <v>0</v>
      </c>
      <c r="F13" s="615">
        <v>714.59999999999991</v>
      </c>
    </row>
    <row r="14" spans="1:6" ht="14.4" customHeight="1" x14ac:dyDescent="0.3">
      <c r="A14" s="637" t="s">
        <v>1207</v>
      </c>
      <c r="B14" s="614">
        <v>216.54</v>
      </c>
      <c r="C14" s="627">
        <v>5.1242486700997777E-2</v>
      </c>
      <c r="D14" s="614">
        <v>4009.2502365964524</v>
      </c>
      <c r="E14" s="627">
        <v>0.94875751329900215</v>
      </c>
      <c r="F14" s="615">
        <v>4225.7902365964528</v>
      </c>
    </row>
    <row r="15" spans="1:6" ht="14.4" customHeight="1" x14ac:dyDescent="0.3">
      <c r="A15" s="637" t="s">
        <v>1208</v>
      </c>
      <c r="B15" s="614"/>
      <c r="C15" s="627">
        <v>0</v>
      </c>
      <c r="D15" s="614">
        <v>10720.449999999999</v>
      </c>
      <c r="E15" s="627">
        <v>1</v>
      </c>
      <c r="F15" s="615">
        <v>10720.449999999999</v>
      </c>
    </row>
    <row r="16" spans="1:6" ht="14.4" customHeight="1" x14ac:dyDescent="0.3">
      <c r="A16" s="637" t="s">
        <v>1209</v>
      </c>
      <c r="B16" s="614"/>
      <c r="C16" s="627">
        <v>0</v>
      </c>
      <c r="D16" s="614">
        <v>693</v>
      </c>
      <c r="E16" s="627">
        <v>1</v>
      </c>
      <c r="F16" s="615">
        <v>693</v>
      </c>
    </row>
    <row r="17" spans="1:6" ht="14.4" customHeight="1" x14ac:dyDescent="0.3">
      <c r="A17" s="637" t="s">
        <v>1210</v>
      </c>
      <c r="B17" s="614"/>
      <c r="C17" s="627">
        <v>0</v>
      </c>
      <c r="D17" s="614">
        <v>299.40222728498503</v>
      </c>
      <c r="E17" s="627">
        <v>1</v>
      </c>
      <c r="F17" s="615">
        <v>299.40222728498503</v>
      </c>
    </row>
    <row r="18" spans="1:6" ht="14.4" customHeight="1" x14ac:dyDescent="0.3">
      <c r="A18" s="637" t="s">
        <v>1211</v>
      </c>
      <c r="B18" s="614"/>
      <c r="C18" s="627">
        <v>0</v>
      </c>
      <c r="D18" s="614">
        <v>8388.9924745458629</v>
      </c>
      <c r="E18" s="627">
        <v>1</v>
      </c>
      <c r="F18" s="615">
        <v>8388.9924745458629</v>
      </c>
    </row>
    <row r="19" spans="1:6" ht="14.4" customHeight="1" x14ac:dyDescent="0.3">
      <c r="A19" s="637" t="s">
        <v>1212</v>
      </c>
      <c r="B19" s="614"/>
      <c r="C19" s="627">
        <v>0</v>
      </c>
      <c r="D19" s="614">
        <v>528</v>
      </c>
      <c r="E19" s="627">
        <v>1</v>
      </c>
      <c r="F19" s="615">
        <v>528</v>
      </c>
    </row>
    <row r="20" spans="1:6" ht="14.4" customHeight="1" x14ac:dyDescent="0.3">
      <c r="A20" s="637" t="s">
        <v>1213</v>
      </c>
      <c r="B20" s="614"/>
      <c r="C20" s="627">
        <v>0</v>
      </c>
      <c r="D20" s="614">
        <v>1056.5</v>
      </c>
      <c r="E20" s="627">
        <v>1</v>
      </c>
      <c r="F20" s="615">
        <v>1056.5</v>
      </c>
    </row>
    <row r="21" spans="1:6" ht="14.4" customHeight="1" x14ac:dyDescent="0.3">
      <c r="A21" s="637" t="s">
        <v>1214</v>
      </c>
      <c r="B21" s="614"/>
      <c r="C21" s="627">
        <v>0</v>
      </c>
      <c r="D21" s="614">
        <v>1789.3</v>
      </c>
      <c r="E21" s="627">
        <v>1</v>
      </c>
      <c r="F21" s="615">
        <v>1789.3</v>
      </c>
    </row>
    <row r="22" spans="1:6" ht="14.4" customHeight="1" x14ac:dyDescent="0.3">
      <c r="A22" s="637" t="s">
        <v>1215</v>
      </c>
      <c r="B22" s="614"/>
      <c r="C22" s="627">
        <v>0</v>
      </c>
      <c r="D22" s="614">
        <v>288.89999999999998</v>
      </c>
      <c r="E22" s="627">
        <v>1</v>
      </c>
      <c r="F22" s="615">
        <v>288.89999999999998</v>
      </c>
    </row>
    <row r="23" spans="1:6" ht="14.4" customHeight="1" x14ac:dyDescent="0.3">
      <c r="A23" s="637" t="s">
        <v>1216</v>
      </c>
      <c r="B23" s="614"/>
      <c r="C23" s="627">
        <v>0</v>
      </c>
      <c r="D23" s="614">
        <v>6176.64</v>
      </c>
      <c r="E23" s="627">
        <v>1</v>
      </c>
      <c r="F23" s="615">
        <v>6176.64</v>
      </c>
    </row>
    <row r="24" spans="1:6" ht="14.4" customHeight="1" x14ac:dyDescent="0.3">
      <c r="A24" s="637" t="s">
        <v>1217</v>
      </c>
      <c r="B24" s="614"/>
      <c r="C24" s="627">
        <v>0</v>
      </c>
      <c r="D24" s="614">
        <v>262.71000000000004</v>
      </c>
      <c r="E24" s="627">
        <v>1</v>
      </c>
      <c r="F24" s="615">
        <v>262.71000000000004</v>
      </c>
    </row>
    <row r="25" spans="1:6" ht="14.4" customHeight="1" x14ac:dyDescent="0.3">
      <c r="A25" s="637" t="s">
        <v>1218</v>
      </c>
      <c r="B25" s="614"/>
      <c r="C25" s="627">
        <v>0</v>
      </c>
      <c r="D25" s="614">
        <v>10629.379176589711</v>
      </c>
      <c r="E25" s="627">
        <v>1</v>
      </c>
      <c r="F25" s="615">
        <v>10629.379176589711</v>
      </c>
    </row>
    <row r="26" spans="1:6" ht="14.4" customHeight="1" x14ac:dyDescent="0.3">
      <c r="A26" s="637" t="s">
        <v>1219</v>
      </c>
      <c r="B26" s="614"/>
      <c r="C26" s="627">
        <v>0</v>
      </c>
      <c r="D26" s="614">
        <v>224.83999608434252</v>
      </c>
      <c r="E26" s="627">
        <v>1</v>
      </c>
      <c r="F26" s="615">
        <v>224.83999608434252</v>
      </c>
    </row>
    <row r="27" spans="1:6" ht="14.4" customHeight="1" x14ac:dyDescent="0.3">
      <c r="A27" s="637" t="s">
        <v>1220</v>
      </c>
      <c r="B27" s="614"/>
      <c r="C27" s="627">
        <v>0</v>
      </c>
      <c r="D27" s="614">
        <v>2397.6069614534217</v>
      </c>
      <c r="E27" s="627">
        <v>1</v>
      </c>
      <c r="F27" s="615">
        <v>2397.6069614534217</v>
      </c>
    </row>
    <row r="28" spans="1:6" ht="14.4" customHeight="1" x14ac:dyDescent="0.3">
      <c r="A28" s="637" t="s">
        <v>1221</v>
      </c>
      <c r="B28" s="614"/>
      <c r="C28" s="627">
        <v>0</v>
      </c>
      <c r="D28" s="614">
        <v>286.67928400311484</v>
      </c>
      <c r="E28" s="627">
        <v>1</v>
      </c>
      <c r="F28" s="615">
        <v>286.67928400311484</v>
      </c>
    </row>
    <row r="29" spans="1:6" ht="14.4" customHeight="1" x14ac:dyDescent="0.3">
      <c r="A29" s="637" t="s">
        <v>1222</v>
      </c>
      <c r="B29" s="614"/>
      <c r="C29" s="627">
        <v>0</v>
      </c>
      <c r="D29" s="614">
        <v>68.28</v>
      </c>
      <c r="E29" s="627">
        <v>1</v>
      </c>
      <c r="F29" s="615">
        <v>68.28</v>
      </c>
    </row>
    <row r="30" spans="1:6" ht="14.4" customHeight="1" x14ac:dyDescent="0.3">
      <c r="A30" s="637" t="s">
        <v>1223</v>
      </c>
      <c r="B30" s="614"/>
      <c r="C30" s="627">
        <v>0</v>
      </c>
      <c r="D30" s="614">
        <v>1802.4567590362772</v>
      </c>
      <c r="E30" s="627">
        <v>1</v>
      </c>
      <c r="F30" s="615">
        <v>1802.4567590362772</v>
      </c>
    </row>
    <row r="31" spans="1:6" ht="14.4" customHeight="1" x14ac:dyDescent="0.3">
      <c r="A31" s="637" t="s">
        <v>1224</v>
      </c>
      <c r="B31" s="614"/>
      <c r="C31" s="627">
        <v>0</v>
      </c>
      <c r="D31" s="614">
        <v>797.19314245965484</v>
      </c>
      <c r="E31" s="627">
        <v>1</v>
      </c>
      <c r="F31" s="615">
        <v>797.19314245965484</v>
      </c>
    </row>
    <row r="32" spans="1:6" ht="14.4" customHeight="1" thickBot="1" x14ac:dyDescent="0.35">
      <c r="A32" s="638" t="s">
        <v>1225</v>
      </c>
      <c r="B32" s="629"/>
      <c r="C32" s="630">
        <v>0</v>
      </c>
      <c r="D32" s="629">
        <v>8982.007585917996</v>
      </c>
      <c r="E32" s="630">
        <v>1</v>
      </c>
      <c r="F32" s="631">
        <v>8982.007585917996</v>
      </c>
    </row>
    <row r="33" spans="1:6" ht="14.4" customHeight="1" thickBot="1" x14ac:dyDescent="0.35">
      <c r="A33" s="632" t="s">
        <v>3</v>
      </c>
      <c r="B33" s="633">
        <v>8040.3758519763451</v>
      </c>
      <c r="C33" s="634">
        <v>0.11169366729364848</v>
      </c>
      <c r="D33" s="633">
        <v>63945.584021986571</v>
      </c>
      <c r="E33" s="634">
        <v>0.8883063327063514</v>
      </c>
      <c r="F33" s="635">
        <v>71985.959873962929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2015-08-21T12:21:50Z</dcterms:modified>
</cp:coreProperties>
</file>