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Lékaři" sheetId="429" r:id="rId21"/>
    <sheet name="ZV Vykáz.-A Detail" sheetId="345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2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9" hidden="1">'OD TISS'!$A$5:$N$5</definedName>
    <definedName name="_xlnm._FilterDatabase" localSheetId="26" hidden="1">Total!$A$4:$W$4</definedName>
    <definedName name="_xlnm._FilterDatabase" localSheetId="21" hidden="1">'ZV Vykáz.-A Detail'!$A$5:$Q$5</definedName>
    <definedName name="_xlnm._FilterDatabase" localSheetId="20" hidden="1">'ZV Vykáz.-A Lékaři'!$A$4:$A$5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_xlnm.Print_Area" localSheetId="25">ALOS!$A$1:$M$45</definedName>
    <definedName name="_xlnm.Print_Area" localSheetId="24">CaseMix!$A$1:$M$39</definedName>
  </definedNames>
  <calcPr calcId="152511"/>
</workbook>
</file>

<file path=xl/calcChain.xml><?xml version="1.0" encoding="utf-8"?>
<calcChain xmlns="http://schemas.openxmlformats.org/spreadsheetml/2006/main">
  <c r="V43" i="371" l="1"/>
  <c r="U43" i="371"/>
  <c r="T43" i="37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T40" i="371"/>
  <c r="U40" i="371" s="1"/>
  <c r="S40" i="371"/>
  <c r="R40" i="371"/>
  <c r="Q40" i="371"/>
  <c r="V39" i="371"/>
  <c r="U39" i="371"/>
  <c r="T39" i="371"/>
  <c r="S39" i="371"/>
  <c r="R39" i="371"/>
  <c r="Q39" i="371"/>
  <c r="V38" i="371"/>
  <c r="T38" i="371"/>
  <c r="U38" i="371" s="1"/>
  <c r="S38" i="371"/>
  <c r="R38" i="371"/>
  <c r="Q38" i="371"/>
  <c r="T37" i="371"/>
  <c r="V37" i="371" s="1"/>
  <c r="S37" i="371"/>
  <c r="R37" i="371"/>
  <c r="Q37" i="371"/>
  <c r="V36" i="371"/>
  <c r="T36" i="371"/>
  <c r="U36" i="371" s="1"/>
  <c r="S36" i="371"/>
  <c r="R36" i="371"/>
  <c r="Q36" i="371"/>
  <c r="T35" i="371"/>
  <c r="V35" i="371" s="1"/>
  <c r="S35" i="371"/>
  <c r="R35" i="371"/>
  <c r="Q35" i="371"/>
  <c r="V34" i="371"/>
  <c r="T34" i="371"/>
  <c r="U34" i="371" s="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T17" i="371"/>
  <c r="U17" i="371" s="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T14" i="371"/>
  <c r="U14" i="371" s="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T11" i="371"/>
  <c r="V11" i="371" s="1"/>
  <c r="S11" i="371"/>
  <c r="R11" i="371"/>
  <c r="Q11" i="371"/>
  <c r="V10" i="371"/>
  <c r="T10" i="371"/>
  <c r="U10" i="371" s="1"/>
  <c r="S10" i="371"/>
  <c r="R10" i="371"/>
  <c r="Q10" i="371"/>
  <c r="T9" i="371"/>
  <c r="V9" i="371" s="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T6" i="371"/>
  <c r="U6" i="371" s="1"/>
  <c r="S6" i="371"/>
  <c r="R6" i="371"/>
  <c r="Q6" i="371"/>
  <c r="T5" i="371"/>
  <c r="V5" i="371" s="1"/>
  <c r="S5" i="371"/>
  <c r="R5" i="371"/>
  <c r="Q5" i="371"/>
  <c r="U5" i="371" l="1"/>
  <c r="U9" i="371"/>
  <c r="U11" i="371"/>
  <c r="U15" i="371"/>
  <c r="U21" i="371"/>
  <c r="U23" i="371"/>
  <c r="U25" i="371"/>
  <c r="U27" i="371"/>
  <c r="U29" i="371"/>
  <c r="U31" i="371"/>
  <c r="U33" i="371"/>
  <c r="U35" i="371"/>
  <c r="U37" i="371"/>
  <c r="U41" i="371"/>
  <c r="V17" i="371"/>
  <c r="C26" i="419"/>
  <c r="M26" i="419" l="1"/>
  <c r="M27" i="419" s="1"/>
  <c r="M25" i="419"/>
  <c r="G26" i="419"/>
  <c r="M28" i="419" l="1"/>
  <c r="G25" i="419"/>
  <c r="C25" i="419"/>
  <c r="M20" i="419"/>
  <c r="L20" i="419"/>
  <c r="M19" i="419"/>
  <c r="L19" i="419"/>
  <c r="M17" i="419"/>
  <c r="L17" i="419"/>
  <c r="M16" i="419"/>
  <c r="L16" i="419"/>
  <c r="M14" i="419"/>
  <c r="L14" i="419"/>
  <c r="M13" i="419"/>
  <c r="L13" i="419"/>
  <c r="M12" i="419"/>
  <c r="L12" i="419"/>
  <c r="M11" i="419"/>
  <c r="L11" i="419"/>
  <c r="AW3" i="418"/>
  <c r="AV3" i="418"/>
  <c r="AU3" i="418"/>
  <c r="AT3" i="418"/>
  <c r="AS3" i="418"/>
  <c r="AR3" i="418"/>
  <c r="AQ3" i="418"/>
  <c r="AP3" i="418"/>
  <c r="L18" i="419" l="1"/>
  <c r="M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K21" i="419" l="1"/>
  <c r="J21" i="419"/>
  <c r="J22" i="419" s="1"/>
  <c r="I21" i="419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K18" i="419"/>
  <c r="G23" i="419"/>
  <c r="K23" i="419"/>
  <c r="I18" i="419"/>
  <c r="K22" i="419"/>
  <c r="J23" i="419"/>
  <c r="J18" i="419"/>
  <c r="H23" i="419"/>
  <c r="I23" i="419"/>
  <c r="H18" i="419"/>
  <c r="G22" i="419"/>
  <c r="H22" i="419"/>
  <c r="I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6" i="383"/>
  <c r="G3" i="429"/>
  <c r="F3" i="429"/>
  <c r="E3" i="429"/>
  <c r="D3" i="429"/>
  <c r="C3" i="429"/>
  <c r="B3" i="429"/>
  <c r="A35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0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L6" i="419"/>
  <c r="J6" i="419"/>
  <c r="I6" i="419"/>
  <c r="H6" i="419"/>
  <c r="K6" i="419"/>
  <c r="G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5" i="383"/>
  <c r="A22" i="383"/>
  <c r="A21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<sst xmlns="http://schemas.openxmlformats.org/spreadsheetml/2006/main" count="9654" uniqueCount="2542">
  <si>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</si>
  <si>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</si>
  <si>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</si>
  <si>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</si>
  <si>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</si>
  <si>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</si>
  <si>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</si>
  <si>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</si>
  <si>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</si>
  <si>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</si>
  <si>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</si>
  <si>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</si>
  <si>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</si>
  <si>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</si>
  <si>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</si>
  <si>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</si>
  <si>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</si>
  <si>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</si>
  <si>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</si>
  <si>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</si>
  <si>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</si>
  <si>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</si>
  <si>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</si>
  <si>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</si>
  <si>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</si>
  <si>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</si>
  <si>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</si>
  <si>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</si>
  <si>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</si>
  <si>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</si>
  <si>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</si>
  <si>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</si>
  <si>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</si>
  <si>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</si>
  <si>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</si>
  <si>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</si>
  <si>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</si>
  <si>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</si>
  <si>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</si>
  <si>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</si>
  <si>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</si>
  <si>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</si>
  <si>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</si>
  <si>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</si>
  <si>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</si>
  <si>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</si>
  <si>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</si>
  <si>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</si>
  <si>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</si>
  <si>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</si>
  <si>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</si>
  <si>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</si>
  <si>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</si>
  <si>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</si>
  <si>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</si>
  <si>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</si>
  <si>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</si>
  <si>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</si>
  <si>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</si>
  <si>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</si>
  <si>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</si>
  <si>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</si>
  <si>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</si>
  <si>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</si>
  <si>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</si>
  <si>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</si>
  <si>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</si>
  <si>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</si>
  <si>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</si>
  <si>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</si>
  <si>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</si>
  <si>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</si>
  <si>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</si>
  <si>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</si>
  <si>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</si>
  <si>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</si>
  <si>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</si>
  <si>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</si>
  <si>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</si>
  <si>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</si>
  <si>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</si>
  <si>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</si>
  <si>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</si>
  <si>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</si>
  <si>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</si>
  <si>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</si>
  <si>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</si>
  <si>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</si>
  <si>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</si>
  <si>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</si>
  <si>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</si>
  <si>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</si>
  <si>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</si>
  <si>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</si>
  <si>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</si>
  <si>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</si>
  <si>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</si>
  <si>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</si>
  <si>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</si>
  <si>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</si>
  <si>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</si>
  <si>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</si>
  <si>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</si>
  <si>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</si>
  <si>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</si>
  <si>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</si>
  <si>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</si>
  <si>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</si>
  <si>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</si>
  <si>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</si>
  <si>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</si>
  <si>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</si>
  <si>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</si>
  <si>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</si>
  <si>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</si>
  <si>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</si>
  <si>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</si>
  <si>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</si>
  <si>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</si>
  <si>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</si>
  <si>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</si>
  <si>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</si>
  <si>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</si>
  <si>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</si>
  <si>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</si>
  <si>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</si>
  <si>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</si>
  <si>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</si>
  <si>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</si>
  <si>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</si>
  <si>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</si>
  <si>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</si>
  <si>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</si>
  <si>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</si>
  <si>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</si>
  <si>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</si>
  <si>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</si>
  <si>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</si>
  <si>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</si>
  <si>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</si>
  <si>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</si>
  <si>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</si>
  <si>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</si>
  <si>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</si>
  <si>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</si>
  <si>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</si>
  <si>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</si>
  <si>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</si>
  <si>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</si>
  <si>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</si>
  <si>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</si>
  <si>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</si>
  <si>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</si>
  <si>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</si>
  <si>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</si>
  <si>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</si>
  <si>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</si>
  <si>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</si>
  <si>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</si>
  <si>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</si>
  <si>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</si>
  <si>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</si>
  <si>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</si>
  <si>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</si>
  <si>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</si>
  <si>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</si>
  <si>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</si>
  <si>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</si>
  <si>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</si>
  <si>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</si>
  <si>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</si>
  <si>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</si>
  <si>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</si>
  <si>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</si>
  <si>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</si>
  <si>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</si>
  <si>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</si>
  <si>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</si>
  <si>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</si>
  <si>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</si>
  <si>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</si>
  <si>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</si>
  <si>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</si>
  <si>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</si>
  <si>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</si>
  <si>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</si>
  <si>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</si>
  <si>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</si>
  <si>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</si>
  <si>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</si>
  <si>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</si>
  <si>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</si>
  <si>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</si>
  <si>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</si>
  <si>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</si>
  <si>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</si>
  <si>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</si>
  <si>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</si>
  <si>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</si>
  <si>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</si>
  <si>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</si>
  <si>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</si>
  <si>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</si>
  <si>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</si>
  <si>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</si>
  <si>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</si>
  <si>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</si>
  <si>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</si>
  <si>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</si>
  <si>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</si>
  <si>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</si>
  <si>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</si>
  <si>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</si>
  <si>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</si>
  <si>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</si>
  <si>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</si>
  <si>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</si>
  <si>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</si>
  <si>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</si>
  <si>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</si>
  <si>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</si>
  <si>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</si>
  <si>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</si>
  <si>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</si>
  <si>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</si>
  <si>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</si>
  <si>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</si>
  <si>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</si>
  <si>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</si>
  <si>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</si>
  <si>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</si>
  <si>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</si>
  <si>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</si>
  <si>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</si>
  <si>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</si>
  <si>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</si>
  <si>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</si>
  <si>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</si>
  <si>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</si>
  <si>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</si>
  <si>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</si>
  <si>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</si>
  <si>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</si>
  <si>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</si>
  <si>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</si>
  <si>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</si>
  <si>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</si>
  <si>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</si>
  <si>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</si>
  <si>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</si>
  <si>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</si>
  <si>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</si>
  <si>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</si>
  <si>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</si>
  <si>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</si>
  <si>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</si>
  <si>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</si>
  <si>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</si>
  <si>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</si>
  <si>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</si>
  <si>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</si>
  <si>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</si>
  <si>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</si>
  <si>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</si>
  <si>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</si>
  <si>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</si>
  <si>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</si>
  <si>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</si>
  <si>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</si>
  <si>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</si>
  <si>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</si>
  <si>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</si>
  <si>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</si>
  <si>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</si>
  <si>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</si>
  <si>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</si>
  <si>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</si>
  <si>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</si>
  <si>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</si>
  <si>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</si>
  <si>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</si>
  <si>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</si>
  <si>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</si>
  <si>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</si>
  <si>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</si>
  <si>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</si>
  <si>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</si>
  <si>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</si>
  <si>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</si>
  <si>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</si>
  <si>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</si>
  <si>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</si>
  <si>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</si>
  <si>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</si>
  <si>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</si>
  <si>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</si>
  <si>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</si>
  <si>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</si>
  <si>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</si>
  <si>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</si>
  <si>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</si>
  <si>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</si>
  <si>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</si>
  <si>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</si>
  <si>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</si>
  <si>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</si>
  <si>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</si>
  <si>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</si>
  <si>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</si>
  <si>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</si>
  <si>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</si>
  <si>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</si>
  <si>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</si>
  <si>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--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</si>
  <si>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</si>
  <si>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</si>
  <si>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</si>
  <si>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</si>
  <si>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50113016     léky - centra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</si>
  <si>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</si>
  <si>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</si>
  <si>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</si>
  <si>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</si>
  <si>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</si>
  <si>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</si>
  <si>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</si>
  <si>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</si>
  <si>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</si>
  <si>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</si>
  <si>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</si>
  <si>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</si>
  <si>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</si>
  <si>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</si>
  <si>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</si>
  <si>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</si>
  <si>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</si>
  <si>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</si>
  <si>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</si>
  <si>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</si>
  <si>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</si>
  <si>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</si>
  <si>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</si>
  <si>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</si>
  <si>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</si>
  <si>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</si>
  <si>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</si>
  <si>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</si>
  <si>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</si>
  <si>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</si>
  <si>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</si>
  <si>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</si>
  <si>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50117201     obaly ostatní - LEK (sk.Z519)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</si>
  <si>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</si>
  <si>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</si>
  <si>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</si>
  <si>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</si>
  <si>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</si>
  <si>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</si>
  <si>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</si>
  <si>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</si>
  <si>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</si>
  <si>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</si>
  <si>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</si>
  <si>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</si>
  <si>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</si>
  <si>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</si>
  <si>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</si>
  <si>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</si>
  <si>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</si>
  <si>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</si>
  <si>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</si>
  <si>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</si>
  <si>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</si>
  <si>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</si>
  <si>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</si>
  <si>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</si>
  <si>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</si>
  <si>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</si>
  <si>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</si>
  <si>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</si>
  <si>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</si>
  <si>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</si>
  <si>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</si>
  <si>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</si>
  <si>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</si>
  <si>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</si>
  <si>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</si>
  <si>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</si>
  <si>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</si>
  <si>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</si>
  <si>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</si>
  <si>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</si>
  <si>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</si>
  <si>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</si>
  <si>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</si>
  <si>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</si>
  <si>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</si>
  <si>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</si>
  <si>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</si>
  <si>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</si>
  <si>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51807012     konference - pohoštění zajištěné dodavat.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</si>
  <si>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</si>
  <si>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</si>
  <si>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</si>
  <si>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</si>
  <si>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</si>
  <si>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</si>
  <si>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51810     Náklady - projekty EU</t>
  </si>
  <si>
    <t>51810000     náklady - projekty EU</t>
  </si>
  <si>
    <t>51874     Ostatní služby</t>
  </si>
  <si>
    <t>51874004     služby poradenské (odborní poradci)</t>
  </si>
  <si>
    <t>51874010     ostatní služby - zdravotní</t>
  </si>
  <si>
    <t>51874018     propagace, reklama, tisk (TM)</t>
  </si>
  <si>
    <t>51874020     konference  - zajišť.dodavatelsky (ubyt., nájem, ostat.sl.)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</si>
  <si>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</si>
  <si>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</si>
  <si>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</si>
  <si>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</si>
  <si>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</si>
  <si>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</si>
  <si>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</si>
  <si>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</si>
  <si>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</si>
  <si>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</si>
  <si>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</si>
  <si>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</si>
  <si>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</si>
  <si>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</si>
  <si>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</si>
  <si>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</si>
  <si>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</si>
  <si>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</si>
  <si>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</si>
  <si>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</si>
  <si>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</si>
  <si>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</si>
  <si>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</si>
  <si>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</si>
  <si>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</si>
  <si>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</si>
  <si>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</si>
  <si>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</si>
  <si>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</si>
  <si>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</si>
  <si>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</si>
  <si>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</si>
  <si>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</si>
  <si>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</si>
  <si>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</si>
  <si>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</si>
  <si>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</si>
  <si>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</si>
  <si>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</si>
  <si>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</si>
  <si>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</si>
  <si>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</si>
  <si>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</si>
  <si>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</si>
  <si>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</si>
  <si>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</si>
  <si>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</si>
  <si>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</si>
  <si>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</si>
  <si>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</si>
  <si>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</si>
  <si>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</si>
  <si>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</si>
  <si>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</si>
  <si>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</si>
  <si>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</si>
  <si>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</si>
  <si>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</si>
  <si>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</si>
  <si>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</si>
  <si>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</si>
  <si>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</si>
  <si>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</si>
  <si>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</si>
  <si>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</si>
  <si>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</si>
  <si>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</si>
  <si>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</si>
  <si>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</si>
  <si>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</si>
  <si>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</si>
  <si>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</si>
  <si>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</si>
  <si>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</si>
  <si>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</si>
  <si>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</si>
  <si>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</si>
  <si>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</si>
  <si>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</si>
  <si>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</si>
  <si>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</si>
  <si>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</si>
  <si>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</si>
  <si>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</si>
  <si>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</si>
  <si>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</si>
  <si>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</si>
  <si>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</si>
  <si>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</si>
  <si>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</si>
  <si>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</si>
  <si>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</si>
  <si>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</si>
  <si>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</si>
  <si>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</si>
  <si>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</si>
  <si>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</si>
  <si>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</si>
  <si>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</si>
  <si>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</si>
  <si>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</si>
  <si>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</si>
  <si>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</si>
  <si>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</si>
  <si>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</si>
  <si>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</si>
  <si>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</si>
  <si>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</si>
  <si>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</si>
  <si>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</si>
  <si>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</si>
  <si>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</si>
  <si>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</si>
  <si>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</si>
  <si>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</si>
  <si>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</si>
  <si>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</si>
  <si>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</si>
  <si>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</si>
  <si>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</si>
  <si>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</si>
  <si>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</si>
  <si>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</si>
  <si>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</si>
  <si>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Novorozenecké oddělení</t>
  </si>
  <si>
    <t/>
  </si>
  <si>
    <t>Novorozenecké oddělení Celkem</t>
  </si>
  <si>
    <t>SumaKL</t>
  </si>
  <si>
    <t>0911</t>
  </si>
  <si>
    <t xml:space="preserve">lůžkové oddělení 16C </t>
  </si>
  <si>
    <t>lůžkové oddělení 16C  Celkem</t>
  </si>
  <si>
    <t>SumaNS</t>
  </si>
  <si>
    <t>mezeraNS</t>
  </si>
  <si>
    <t>0912</t>
  </si>
  <si>
    <t>lůžkové oddělení 16B + 16D</t>
  </si>
  <si>
    <t>lůžkové oddělení 16B + 16D Celkem</t>
  </si>
  <si>
    <t>0931</t>
  </si>
  <si>
    <t>JIP 16A</t>
  </si>
  <si>
    <t>JIP 16A Celkem</t>
  </si>
  <si>
    <t>0994</t>
  </si>
  <si>
    <t>centrum - novorozenecké</t>
  </si>
  <si>
    <t>centrum - novorozenecké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</si>
  <si>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</si>
  <si>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</si>
  <si>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</si>
  <si>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</si>
  <si>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</si>
  <si>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</si>
  <si>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</si>
  <si>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</si>
  <si>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</si>
  <si>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</si>
  <si>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</si>
  <si>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</si>
  <si>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</si>
  <si>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</si>
  <si>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</si>
  <si>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</si>
  <si>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</si>
  <si>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152266</t>
  </si>
  <si>
    <t>52266</t>
  </si>
  <si>
    <t>INFADOLAN</t>
  </si>
  <si>
    <t>DRM UNG 1X30GM</t>
  </si>
  <si>
    <t>840220</t>
  </si>
  <si>
    <t>0</t>
  </si>
  <si>
    <t>Lactobacillus acidophil.cps.75 bez laktózy</t>
  </si>
  <si>
    <t>905097</t>
  </si>
  <si>
    <t>158767</t>
  </si>
  <si>
    <t>DZ OCTENISEPT 250 ml</t>
  </si>
  <si>
    <t>sprej</t>
  </si>
  <si>
    <t>930444</t>
  </si>
  <si>
    <t>KL AQUA PURIF. KUL., FAG. 1 kg</t>
  </si>
  <si>
    <t>100489</t>
  </si>
  <si>
    <t>489</t>
  </si>
  <si>
    <t>INJ 5X1ML/10MG</t>
  </si>
  <si>
    <t>102684</t>
  </si>
  <si>
    <t>2684</t>
  </si>
  <si>
    <t>MESOCAIN</t>
  </si>
  <si>
    <t>GEL 1X20GM</t>
  </si>
  <si>
    <t>841498</t>
  </si>
  <si>
    <t>Carbosorb tbl.20-blistr</t>
  </si>
  <si>
    <t>900321</t>
  </si>
  <si>
    <t>KL PRIPRAVEK</t>
  </si>
  <si>
    <t>122629</t>
  </si>
  <si>
    <t>SAB SIMPLEX</t>
  </si>
  <si>
    <t>POR SUS 1X30ML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</si>
  <si>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</si>
  <si>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</si>
  <si>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</si>
  <si>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</si>
  <si>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</si>
  <si>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</si>
  <si>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</si>
  <si>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112023</t>
  </si>
  <si>
    <t>12023</t>
  </si>
  <si>
    <t>VIGANTOL</t>
  </si>
  <si>
    <t>POR GTT SOL 1x10ML</t>
  </si>
  <si>
    <t>394072</t>
  </si>
  <si>
    <t>KL KAPSLE</t>
  </si>
  <si>
    <t>900071</t>
  </si>
  <si>
    <t>KL TBL MAGN.LACT 0,5G+B6 0,02G, 100TBL</t>
  </si>
  <si>
    <t>921017</t>
  </si>
  <si>
    <t>KL KAL.PERMANGANAS 2G</t>
  </si>
  <si>
    <t>394627</t>
  </si>
  <si>
    <t>KL BARVA NA  DETI 20 g</t>
  </si>
  <si>
    <t>844879</t>
  </si>
  <si>
    <t>KL HELIANTHI OLEUM 45g</t>
  </si>
  <si>
    <t>920352</t>
  </si>
  <si>
    <t>KL HELIANTHI OLEUM 180G</t>
  </si>
  <si>
    <t>921326</t>
  </si>
  <si>
    <t>KL SOL.NOVIKOV SINE V.N. 20G</t>
  </si>
  <si>
    <t>921412</t>
  </si>
  <si>
    <t>KL UNG.LENIENS, 30G</t>
  </si>
  <si>
    <t>930332</t>
  </si>
  <si>
    <t>KL BENZINUM 20g</t>
  </si>
  <si>
    <t>930224</t>
  </si>
  <si>
    <t>KL BENZINUM 900ml/ 600g</t>
  </si>
  <si>
    <t>UN 3295</t>
  </si>
  <si>
    <t>160404</t>
  </si>
  <si>
    <t>60404</t>
  </si>
  <si>
    <t>BALNEUM HERMAL</t>
  </si>
  <si>
    <t>LIQ 200ML</t>
  </si>
  <si>
    <t>200863</t>
  </si>
  <si>
    <t>OPHTHALMO-SEPTONEX</t>
  </si>
  <si>
    <t>OPH GTT SOL 1X10ML PLAST</t>
  </si>
  <si>
    <t>500968</t>
  </si>
  <si>
    <t>KL SACCHAROSUM 24%  120g</t>
  </si>
  <si>
    <t>160405</t>
  </si>
  <si>
    <t>60405</t>
  </si>
  <si>
    <t>LIQ 1X500ML</t>
  </si>
  <si>
    <t>901176</t>
  </si>
  <si>
    <t>IR AC.BORICI AQ.OPHTAL.50 ML</t>
  </si>
  <si>
    <t>IR OČNI VODA 50 ml</t>
  </si>
  <si>
    <t>119686</t>
  </si>
  <si>
    <t>NASIVIN 0,01%</t>
  </si>
  <si>
    <t>NAS GTT SOL 1X5ML</t>
  </si>
  <si>
    <t>185625</t>
  </si>
  <si>
    <t>BRUFEN 400</t>
  </si>
  <si>
    <t>POR TBL FLM 30X400MG</t>
  </si>
  <si>
    <t>60412</t>
  </si>
  <si>
    <t>BALNEUM HERMAL PLUS</t>
  </si>
  <si>
    <t>DRM BAL 1X200ML</t>
  </si>
  <si>
    <t>50113006</t>
  </si>
  <si>
    <t>987826</t>
  </si>
  <si>
    <t>NESTLÉ PreBEBA FM85 200g</t>
  </si>
  <si>
    <t>991186</t>
  </si>
  <si>
    <t>Nutrilon Protein Supplement ProExpert 50x1g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</si>
  <si>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</si>
  <si>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</si>
  <si>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</si>
  <si>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</si>
  <si>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</si>
  <si>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</si>
  <si>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</si>
  <si>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</si>
  <si>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</si>
  <si>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72973</t>
  </si>
  <si>
    <t>AMOKSIKLAV 600 MG</t>
  </si>
  <si>
    <t>INJ PLV SOL 5X600MG</t>
  </si>
  <si>
    <t>196413</t>
  </si>
  <si>
    <t>96413</t>
  </si>
  <si>
    <t>GENTAMICIN 40MG LEK</t>
  </si>
  <si>
    <t>INJ 10X2ML/40MG</t>
  </si>
  <si>
    <t>166366</t>
  </si>
  <si>
    <t>66366</t>
  </si>
  <si>
    <t>OSPAMOX 250MG/5ML</t>
  </si>
  <si>
    <t>GRA SUS 1X60ML</t>
  </si>
  <si>
    <t>186264</t>
  </si>
  <si>
    <t>86264</t>
  </si>
  <si>
    <t>TOBREX</t>
  </si>
  <si>
    <t>GTT OPH 5ML 3MG/1ML</t>
  </si>
  <si>
    <t>201970</t>
  </si>
  <si>
    <t>PAMYCON NA PŘÍPRAVU KAPEK</t>
  </si>
  <si>
    <t>DRM PLV SOL 1X1LAH</t>
  </si>
  <si>
    <t>201974</t>
  </si>
  <si>
    <t>PENICILIN G 1,0 DRASELNÁ SO. BIOTIKA</t>
  </si>
  <si>
    <t>INJ PLV SOL 10X1MU</t>
  </si>
  <si>
    <t>201958</t>
  </si>
  <si>
    <t>AMPICILIN 0,5 BIOTIKA</t>
  </si>
  <si>
    <t>INJ PLV SOL 10X500MG</t>
  </si>
  <si>
    <t>P</t>
  </si>
  <si>
    <t>174991</t>
  </si>
  <si>
    <t>74991</t>
  </si>
  <si>
    <t>AMOKSIKLAV 156,25mg/5ml</t>
  </si>
  <si>
    <t>PLV SUS 1X100ML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</si>
  <si>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</si>
  <si>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</si>
  <si>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</si>
  <si>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</si>
  <si>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</si>
  <si>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</si>
  <si>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</si>
  <si>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</si>
  <si>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</si>
  <si>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47256</t>
  </si>
  <si>
    <t>GLUKÓZA 5 BRAUN</t>
  </si>
  <si>
    <t>INF SOL 20X100ML-PE</t>
  </si>
  <si>
    <t>103575</t>
  </si>
  <si>
    <t>3575</t>
  </si>
  <si>
    <t>HEPAROID LECIVA</t>
  </si>
  <si>
    <t>UNG 1X30GM</t>
  </si>
  <si>
    <t>124067</t>
  </si>
  <si>
    <t>HYDROCORTISON VUAB 100 MG</t>
  </si>
  <si>
    <t>INJ PLV SOL 1X100MG</t>
  </si>
  <si>
    <t>176205</t>
  </si>
  <si>
    <t>180825</t>
  </si>
  <si>
    <t>HYDROCORTISON 10MG</t>
  </si>
  <si>
    <t>TBL 20X10MG</t>
  </si>
  <si>
    <t>184325</t>
  </si>
  <si>
    <t>84325</t>
  </si>
  <si>
    <t>VIDISIC</t>
  </si>
  <si>
    <t>GEL OPH 1X10GM</t>
  </si>
  <si>
    <t>199138</t>
  </si>
  <si>
    <t>99138</t>
  </si>
  <si>
    <t>AKTIFERRIN</t>
  </si>
  <si>
    <t>GTT 1X30ML</t>
  </si>
  <si>
    <t>189997</t>
  </si>
  <si>
    <t>89997</t>
  </si>
  <si>
    <t>LINOLA-FETT OLBAD</t>
  </si>
  <si>
    <t>OLE 1X400ML</t>
  </si>
  <si>
    <t>848783</t>
  </si>
  <si>
    <t>115400</t>
  </si>
  <si>
    <t>CLEXANE</t>
  </si>
  <si>
    <t>INJ SOL 10X0.2ML/2KU</t>
  </si>
  <si>
    <t>920064</t>
  </si>
  <si>
    <t>KL SOL.METHYLROS.CHL.1% 10G</t>
  </si>
  <si>
    <t>132082</t>
  </si>
  <si>
    <t>32082</t>
  </si>
  <si>
    <t>IBALGIN 400 (IBUPROFEN 400)</t>
  </si>
  <si>
    <t>TBL OBD 100X400MG</t>
  </si>
  <si>
    <t>930676</t>
  </si>
  <si>
    <t>KL SACCHAROSUM  24 %  65 g</t>
  </si>
  <si>
    <t>120053</t>
  </si>
  <si>
    <t>20053</t>
  </si>
  <si>
    <t>BENOXI 0.4 % UNIMED PHARMA</t>
  </si>
  <si>
    <t>OPH GTT SOL 1X10ML</t>
  </si>
  <si>
    <t>845628</t>
  </si>
  <si>
    <t>IR OG. COLL.PHENYLEPHRINI 10g 2%</t>
  </si>
  <si>
    <t>COLL  2%</t>
  </si>
  <si>
    <t>846941</t>
  </si>
  <si>
    <t>Swiss Laktobacilky baby 30 cps</t>
  </si>
  <si>
    <t>920020</t>
  </si>
  <si>
    <t>IR OG. COLL.HOMAT.HYDROBROM.1%10G</t>
  </si>
  <si>
    <t>COLL</t>
  </si>
  <si>
    <t>920367</t>
  </si>
  <si>
    <t>KL EREVIT GTT. 18G</t>
  </si>
  <si>
    <t>921342</t>
  </si>
  <si>
    <t>KL SOL.COFFEINI 1% 50G</t>
  </si>
  <si>
    <t>191249</t>
  </si>
  <si>
    <t>91249</t>
  </si>
  <si>
    <t>PARALEN PRO INFANTIBUS</t>
  </si>
  <si>
    <t>SUP 5X100MG</t>
  </si>
  <si>
    <t>152307</t>
  </si>
  <si>
    <t>52307</t>
  </si>
  <si>
    <t>NUROFEN PRO DĚTI  pomeranč (od 3 měsíců)</t>
  </si>
  <si>
    <t>POR SUS 1X100ML TRUB</t>
  </si>
  <si>
    <t>988271</t>
  </si>
  <si>
    <t>BioLac Baby drops Generica 6 ml</t>
  </si>
  <si>
    <t>501606</t>
  </si>
  <si>
    <t>KL CPS CALC.GLUC.+CALC.PHOSPH. 100CPS</t>
  </si>
  <si>
    <t>988511</t>
  </si>
  <si>
    <t>Stérimar bébé sprej 50ml</t>
  </si>
  <si>
    <t>DPH 15%</t>
  </si>
  <si>
    <t>168999</t>
  </si>
  <si>
    <t>68999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</si>
  <si>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</si>
  <si>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</si>
  <si>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</si>
  <si>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</si>
  <si>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</si>
  <si>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</si>
  <si>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</si>
  <si>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203855</t>
  </si>
  <si>
    <t>CEFOTAXIME LEK 1 G PRÁŠEK PRO INJEKČNÍ ROZTOK</t>
  </si>
  <si>
    <t>IMS+IVN INJ PLV SOL 10X1GM</t>
  </si>
  <si>
    <t>131739</t>
  </si>
  <si>
    <t>31739</t>
  </si>
  <si>
    <t>HELICID « 40 INF. LYOF.1X40MG</t>
  </si>
  <si>
    <t>130187</t>
  </si>
  <si>
    <t>30187</t>
  </si>
  <si>
    <t>MIDAZOLAM TORREX 5MG/ML</t>
  </si>
  <si>
    <t>INJ 10X1ML/5MG</t>
  </si>
  <si>
    <t>31915</t>
  </si>
  <si>
    <t>GLUKÓZA 10 BRAUN</t>
  </si>
  <si>
    <t>INF SOL 10X500ML-PE</t>
  </si>
  <si>
    <t>51367</t>
  </si>
  <si>
    <t>INF SOL 10X250MLPELAH</t>
  </si>
  <si>
    <t>100498</t>
  </si>
  <si>
    <t>498</t>
  </si>
  <si>
    <t>MAGNESIUM SULFURICUM BIOTIKA</t>
  </si>
  <si>
    <t>INJ 5X10ML 10%</t>
  </si>
  <si>
    <t>100843</t>
  </si>
  <si>
    <t>843</t>
  </si>
  <si>
    <t>DERMAZULEN</t>
  </si>
  <si>
    <t>100876</t>
  </si>
  <si>
    <t>876</t>
  </si>
  <si>
    <t>100889</t>
  </si>
  <si>
    <t>889</t>
  </si>
  <si>
    <t>PITYOL</t>
  </si>
  <si>
    <t>102133</t>
  </si>
  <si>
    <t>2133</t>
  </si>
  <si>
    <t>FUROSEMID BIOTIKA</t>
  </si>
  <si>
    <t>INJ 5X2ML/20MG</t>
  </si>
  <si>
    <t>102486</t>
  </si>
  <si>
    <t>2486</t>
  </si>
  <si>
    <t>KALIUM CHLORATUM LECIVA 7.5%</t>
  </si>
  <si>
    <t>INJ 5X10ML 7.5%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</si>
  <si>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</si>
  <si>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</si>
  <si>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</si>
  <si>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</si>
  <si>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</si>
  <si>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</si>
  <si>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</si>
  <si>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</si>
  <si>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162320</t>
  </si>
  <si>
    <t>62320</t>
  </si>
  <si>
    <t>BETADINE</t>
  </si>
  <si>
    <t>UNG 1X20GM</t>
  </si>
  <si>
    <t>184090</t>
  </si>
  <si>
    <t>84090</t>
  </si>
  <si>
    <t>DEXAMED</t>
  </si>
  <si>
    <t>INJ 10X2ML/8MG</t>
  </si>
  <si>
    <t>193746</t>
  </si>
  <si>
    <t>93746</t>
  </si>
  <si>
    <t>HEPARIN LECIVA</t>
  </si>
  <si>
    <t>INJ 1X10ML/50KU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</si>
  <si>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</si>
  <si>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</si>
  <si>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</si>
  <si>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</si>
  <si>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</si>
  <si>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</si>
  <si>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</si>
  <si>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100536</t>
  </si>
  <si>
    <t>536</t>
  </si>
  <si>
    <t>NORADRENALIN LECIVA</t>
  </si>
  <si>
    <t>104380</t>
  </si>
  <si>
    <t>4380</t>
  </si>
  <si>
    <t>TENSAMIN</t>
  </si>
  <si>
    <t>INJ 10X5ML</t>
  </si>
  <si>
    <t>196610</t>
  </si>
  <si>
    <t>96610</t>
  </si>
  <si>
    <t>APAURIN</t>
  </si>
  <si>
    <t>INJ 10X2ML/10MG</t>
  </si>
  <si>
    <t>100874</t>
  </si>
  <si>
    <t>874</t>
  </si>
  <si>
    <t>OPHTHALMO-AZULEN</t>
  </si>
  <si>
    <t>110555</t>
  </si>
  <si>
    <t>10555</t>
  </si>
  <si>
    <t>PAR LQF 20X100ML-PE</t>
  </si>
  <si>
    <t>159398</t>
  </si>
  <si>
    <t>59398</t>
  </si>
  <si>
    <t>TRACUTIL</t>
  </si>
  <si>
    <t>INF 5X10ML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</si>
  <si>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</si>
  <si>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</si>
  <si>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</si>
  <si>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</si>
  <si>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</si>
  <si>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</si>
  <si>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</si>
  <si>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</si>
  <si>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</si>
  <si>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</si>
  <si>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</si>
  <si>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</si>
  <si>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100512</t>
  </si>
  <si>
    <t>512</t>
  </si>
  <si>
    <t>NATRIUM CHLORATUM BIOTIKA 10%</t>
  </si>
  <si>
    <t>INJ 10X5ML 10%</t>
  </si>
  <si>
    <t>117011</t>
  </si>
  <si>
    <t>17011</t>
  </si>
  <si>
    <t>DICYNONE 250</t>
  </si>
  <si>
    <t>INJ SOL 4X2ML/250MG</t>
  </si>
  <si>
    <t>119372</t>
  </si>
  <si>
    <t>19372</t>
  </si>
  <si>
    <t>OFTAQUIX 5MG/ML OČNÍ KAPKY</t>
  </si>
  <si>
    <t>OPH GTT SOL 5X5MG</t>
  </si>
  <si>
    <t>169724</t>
  </si>
  <si>
    <t>69724</t>
  </si>
  <si>
    <t>ARDEAELYTOSOL NA.HYDR.CARB.4.2%</t>
  </si>
  <si>
    <t>INF 1X80ML</t>
  </si>
  <si>
    <t>169667</t>
  </si>
  <si>
    <t>69667</t>
  </si>
  <si>
    <t>ARDEAELYTOSOL NA.HYDR.FOSF.8.7%</t>
  </si>
  <si>
    <t>INF 1X200ML</t>
  </si>
  <si>
    <t>101681</t>
  </si>
  <si>
    <t>1681</t>
  </si>
  <si>
    <t>EMLA KREM 5%</t>
  </si>
  <si>
    <t>CRM 1X30GM</t>
  </si>
  <si>
    <t>186970</t>
  </si>
  <si>
    <t>86970</t>
  </si>
  <si>
    <t>ARDEANUTRISOL G 20</t>
  </si>
  <si>
    <t>INF SOL 1X250ML</t>
  </si>
  <si>
    <t>100584</t>
  </si>
  <si>
    <t>584</t>
  </si>
  <si>
    <t>PYRIDOXIN LECIVA</t>
  </si>
  <si>
    <t>INJ 5X1ML 50MG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</si>
  <si>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</si>
  <si>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</si>
  <si>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</si>
  <si>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</si>
  <si>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</si>
  <si>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</si>
  <si>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</si>
  <si>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155939</t>
  </si>
  <si>
    <t>HERPESIN 250</t>
  </si>
  <si>
    <t>INJ SIC 10X250MG</t>
  </si>
  <si>
    <t>921142</t>
  </si>
  <si>
    <t>KL POLYSAN, OL.HELIANTHI AA AD 250G</t>
  </si>
  <si>
    <t>156675</t>
  </si>
  <si>
    <t>56675</t>
  </si>
  <si>
    <t>FLOXAL</t>
  </si>
  <si>
    <t>GTT OPH 1X5ML</t>
  </si>
  <si>
    <t>921416</t>
  </si>
  <si>
    <t>KL CPS CALC.GLUC.+KAL.DIH. 100CPS</t>
  </si>
  <si>
    <t>92305</t>
  </si>
  <si>
    <t>ALPROSTAN</t>
  </si>
  <si>
    <t>INF CNC SOL 10X0.2ML</t>
  </si>
  <si>
    <t>142594</t>
  </si>
  <si>
    <t>42594</t>
  </si>
  <si>
    <t>VITALIPID N INFANT</t>
  </si>
  <si>
    <t>INF CNC SOL 10X10ML</t>
  </si>
  <si>
    <t>167679</t>
  </si>
  <si>
    <t>PEYONA 20 MG/ML</t>
  </si>
  <si>
    <t>IVN+POR SOL 10X1ML</t>
  </si>
  <si>
    <t>169747</t>
  </si>
  <si>
    <t>69747</t>
  </si>
  <si>
    <t>169751</t>
  </si>
  <si>
    <t>69751</t>
  </si>
  <si>
    <t>INF SOL 1X80ML</t>
  </si>
  <si>
    <t>184449</t>
  </si>
  <si>
    <t>84449</t>
  </si>
  <si>
    <t>LUMINAL</t>
  </si>
  <si>
    <t>INJ 5X1ML/219MG</t>
  </si>
  <si>
    <t>187226</t>
  </si>
  <si>
    <t>87226</t>
  </si>
  <si>
    <t>CUROSURF</t>
  </si>
  <si>
    <t>SUS 2X1.5ML/120MG</t>
  </si>
  <si>
    <t>199814</t>
  </si>
  <si>
    <t>99814</t>
  </si>
  <si>
    <t>VODA NA INJEKCI VIAFLO</t>
  </si>
  <si>
    <t>PAR LQF 20X500ML</t>
  </si>
  <si>
    <t>501062</t>
  </si>
  <si>
    <t>KL MORPHINI HYDROCHL. 0,008 AQ.P. AD 20G</t>
  </si>
  <si>
    <t>Novoroz. odd.</t>
  </si>
  <si>
    <t>900892</t>
  </si>
  <si>
    <t>KL SUPP.DIAZEPAMI 0,0005G  10KS</t>
  </si>
  <si>
    <t>920368</t>
  </si>
  <si>
    <t>KL EREVIT GTT. 30G</t>
  </si>
  <si>
    <t>921231</t>
  </si>
  <si>
    <t>KL MAST NA SPALENINY, 20G</t>
  </si>
  <si>
    <t>921296</t>
  </si>
  <si>
    <t>KL SUPP.GLYCEROLI  30KS, pro novorozence</t>
  </si>
  <si>
    <t>921404</t>
  </si>
  <si>
    <t>KL SUPP.IBUPROFENI 0,05G  20KS</t>
  </si>
  <si>
    <t>921573</t>
  </si>
  <si>
    <t>KL SUPP.PARACETAMOLI 0,02G  30KS</t>
  </si>
  <si>
    <t>930608</t>
  </si>
  <si>
    <t>KL CHLORAL.HYDRATUM 50 g</t>
  </si>
  <si>
    <t>168578</t>
  </si>
  <si>
    <t>68578</t>
  </si>
  <si>
    <t>PHENAEMALETTEN</t>
  </si>
  <si>
    <t>TBL 50X15MG</t>
  </si>
  <si>
    <t>845031</t>
  </si>
  <si>
    <t>101113</t>
  </si>
  <si>
    <t>NUROFEN PRO DĚTI JAHODA (od 3 měsíců)</t>
  </si>
  <si>
    <t>POR SUS 2000MG/100ML TRUB</t>
  </si>
  <si>
    <t>395293</t>
  </si>
  <si>
    <t>180305</t>
  </si>
  <si>
    <t>TANTUM VERDE</t>
  </si>
  <si>
    <t>LIQ 1X120ML-PET TR</t>
  </si>
  <si>
    <t>130610</t>
  </si>
  <si>
    <t>URSOFALK SUSPENZE</t>
  </si>
  <si>
    <t>POR SUS 1X250ML</t>
  </si>
  <si>
    <t>157871</t>
  </si>
  <si>
    <t>PARACETAMOL KABI 10 MG/ML</t>
  </si>
  <si>
    <t>INF SOL 10X50ML/500MG</t>
  </si>
  <si>
    <t>500065</t>
  </si>
  <si>
    <t>MS MORPHINI HYDROCHL.</t>
  </si>
  <si>
    <t>176577</t>
  </si>
  <si>
    <t>Dubová kůra sypaná 50 g Fytopharma</t>
  </si>
  <si>
    <t>990465</t>
  </si>
  <si>
    <t>DrKonrad Cutozinc 10% spray 100ml</t>
  </si>
  <si>
    <t>197425</t>
  </si>
  <si>
    <t>IPROFENEX 100 MG/5 ML PERORÁLNÍ SUSPENZE</t>
  </si>
  <si>
    <t>POR SUS 1X100ML/100MG</t>
  </si>
  <si>
    <t>501605</t>
  </si>
  <si>
    <t>315413</t>
  </si>
  <si>
    <t>Natriumglycerophosphat 20ml</t>
  </si>
  <si>
    <t xml:space="preserve"> SOL 20x20ML</t>
  </si>
  <si>
    <t>125034</t>
  </si>
  <si>
    <t>25034</t>
  </si>
  <si>
    <t>DORMICUM</t>
  </si>
  <si>
    <t>INJ SOL 10X1ML/5MG</t>
  </si>
  <si>
    <t>132090</t>
  </si>
  <si>
    <t>32090</t>
  </si>
  <si>
    <t>TRALGIT 50 INJ</t>
  </si>
  <si>
    <t>INJ SOL 5X1ML/50MG</t>
  </si>
  <si>
    <t>193969</t>
  </si>
  <si>
    <t>93969</t>
  </si>
  <si>
    <t>RANITAL</t>
  </si>
  <si>
    <t>INJ 5X2ML/50MG</t>
  </si>
  <si>
    <t>131934</t>
  </si>
  <si>
    <t>31934</t>
  </si>
  <si>
    <t>VENTOLIN INHALER N</t>
  </si>
  <si>
    <t>INHSUSPSS200X100RG</t>
  </si>
  <si>
    <t>849266</t>
  </si>
  <si>
    <t>162444</t>
  </si>
  <si>
    <t xml:space="preserve">SUFENTANIL TORREX 5 MCG/ML </t>
  </si>
  <si>
    <t>INJ SOL 5X2ML/10RG</t>
  </si>
  <si>
    <t>133491</t>
  </si>
  <si>
    <t>33491</t>
  </si>
  <si>
    <t>PREBEBA DISCHARGE</t>
  </si>
  <si>
    <t>POR SOL 1X400GM</t>
  </si>
  <si>
    <t>841583</t>
  </si>
  <si>
    <t>33218</t>
  </si>
  <si>
    <t>Nutrilon Nutriton ProExpert 135g</t>
  </si>
  <si>
    <t>161451</t>
  </si>
  <si>
    <t>NUTRILON 1 Pronutra 800g</t>
  </si>
  <si>
    <t>500708</t>
  </si>
  <si>
    <t>Nutrilon 0 Nenatal ProExpert 24 x 70ml</t>
  </si>
  <si>
    <t>850713</t>
  </si>
  <si>
    <t>Nutrilon 0 Nenatal (Premature) ProExpert 400g</t>
  </si>
  <si>
    <t>988073</t>
  </si>
  <si>
    <t>NESTLÉ Beba H.A.1 800g NEW</t>
  </si>
  <si>
    <t>990209</t>
  </si>
  <si>
    <t>NESTLE Beba H.A.1 Premium tekutá 32x90ml</t>
  </si>
  <si>
    <t>990889</t>
  </si>
  <si>
    <t>Nutrilon 1 Profutura RTF 24x 70ml</t>
  </si>
  <si>
    <t>990683</t>
  </si>
  <si>
    <t>Nutrilon 1 Profutura 800g</t>
  </si>
  <si>
    <t>33938</t>
  </si>
  <si>
    <t>INFATRINI</t>
  </si>
  <si>
    <t>POR SOL 24X125ML</t>
  </si>
  <si>
    <t>156183</t>
  </si>
  <si>
    <t>MEROPENEM KABI 500 MG</t>
  </si>
  <si>
    <t>INJ+INF PLV SOL 10X500MG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</si>
  <si>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</si>
  <si>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</si>
  <si>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</si>
  <si>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</si>
  <si>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</si>
  <si>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</si>
  <si>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</si>
  <si>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131654</t>
  </si>
  <si>
    <t>CEFTAZIDIM KABI 1 GM</t>
  </si>
  <si>
    <t>INJ PLV SOL 10X1GM</t>
  </si>
  <si>
    <t>117170</t>
  </si>
  <si>
    <t>17170</t>
  </si>
  <si>
    <t>BELOGENT KRÉM</t>
  </si>
  <si>
    <t>111706</t>
  </si>
  <si>
    <t>11706</t>
  </si>
  <si>
    <t>BISEPTOL 480</t>
  </si>
  <si>
    <t>105114</t>
  </si>
  <si>
    <t>5114</t>
  </si>
  <si>
    <t>TARGOCID 200MG</t>
  </si>
  <si>
    <t>INJ SIC 1X200MG+SOL</t>
  </si>
  <si>
    <t>193207</t>
  </si>
  <si>
    <t>93207</t>
  </si>
  <si>
    <t>UNG OPH 3.5GM 0.3%</t>
  </si>
  <si>
    <t>137499</t>
  </si>
  <si>
    <t>KLACID I.V.</t>
  </si>
  <si>
    <t>INF PLV SOL 1X500MG</t>
  </si>
  <si>
    <t>162180</t>
  </si>
  <si>
    <t>CIPROFLOXACIN KABI 200 MG/100 ML INFUZNÍ ROZTOK</t>
  </si>
  <si>
    <t>INF SOL 10X200MG/100ML</t>
  </si>
  <si>
    <t>216183</t>
  </si>
  <si>
    <t>197000</t>
  </si>
  <si>
    <t>97000</t>
  </si>
  <si>
    <t>METRONIDAZOLE 0.5% POLFA</t>
  </si>
  <si>
    <t>INJ 1X100ML 5MG/1ML</t>
  </si>
  <si>
    <t>166265</t>
  </si>
  <si>
    <t>VANCOMYCIN MYLAN 500 MG</t>
  </si>
  <si>
    <t>183812</t>
  </si>
  <si>
    <t>ARCHIFAR 500 MG</t>
  </si>
  <si>
    <t>116896</t>
  </si>
  <si>
    <t>16896</t>
  </si>
  <si>
    <t>IMAZOL PLUS</t>
  </si>
  <si>
    <t>DRM CRM 1X30GM</t>
  </si>
  <si>
    <t>164401</t>
  </si>
  <si>
    <t>FLUCONAZOL KABI 2 MG/ML</t>
  </si>
  <si>
    <t>INF SOL 10X100ML/200MG</t>
  </si>
  <si>
    <t>50113008</t>
  </si>
  <si>
    <t>42144</t>
  </si>
  <si>
    <t>Human Albumin 20% 10 ml GRIFOLS</t>
  </si>
  <si>
    <t>0138455</t>
  </si>
  <si>
    <t>ALBUNORM 20%</t>
  </si>
  <si>
    <t>INF SOL 1X100MLX200G/L</t>
  </si>
  <si>
    <t>50113002</t>
  </si>
  <si>
    <t>17820</t>
  </si>
  <si>
    <t>AMINOVENOES N PAED 10%</t>
  </si>
  <si>
    <t>INF SOL 10X100ML 10%</t>
  </si>
  <si>
    <t>101420</t>
  </si>
  <si>
    <t>SMOFLIPID</t>
  </si>
  <si>
    <t>INF EML 10X100ML</t>
  </si>
  <si>
    <t>50113004</t>
  </si>
  <si>
    <t>501533</t>
  </si>
  <si>
    <t>IR  PARENT.VÝŽIVA  NOVOROZENCI</t>
  </si>
  <si>
    <t>vak 125ml</t>
  </si>
  <si>
    <t>501534</t>
  </si>
  <si>
    <t>vak 50 ml</t>
  </si>
  <si>
    <t>501546</t>
  </si>
  <si>
    <t>vak 250 ml</t>
  </si>
  <si>
    <t>501547</t>
  </si>
  <si>
    <t>vak 500 ml</t>
  </si>
  <si>
    <t>50113016</t>
  </si>
  <si>
    <t>210114</t>
  </si>
  <si>
    <t>SYNAGIS 100 MG/ML</t>
  </si>
  <si>
    <t>INJ SOL 1X0.5ML</t>
  </si>
  <si>
    <t>210115</t>
  </si>
  <si>
    <t>INJ SOL 1X1ML</t>
  </si>
  <si>
    <t>NOVO: lůžkové oddělení 16C</t>
  </si>
  <si>
    <t>NOVO: lůžkové oddělení 16B + 16D</t>
  </si>
  <si>
    <t>NOVO: JIP 16A</t>
  </si>
  <si>
    <t>NOVO: centrum - novorozenecké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</si>
  <si>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</si>
  <si>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</si>
  <si>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</si>
  <si>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</si>
  <si>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</si>
  <si>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parenter. výživa</t>
  </si>
  <si>
    <t>Lékárna - parenter. výživa - výroba</t>
  </si>
  <si>
    <t>Lékárna - centrové léky</t>
  </si>
  <si>
    <t>0931 - NOVO: JIP 16A</t>
  </si>
  <si>
    <t>0912 - NOVO: lůžkové oddělení 16B + 16D</t>
  </si>
  <si>
    <t>0911 - NOVO: lůžkové oddělení 16C</t>
  </si>
  <si>
    <t>N05CD08 - Midazolam</t>
  </si>
  <si>
    <t>V06XX - Potraviny pro zvláštní lékařské účely (PZLÚ)</t>
  </si>
  <si>
    <t>A02BC01 - Omeprazol</t>
  </si>
  <si>
    <t>J01DH02 - Meropenem</t>
  </si>
  <si>
    <t>N01AH03 - Sufentanyl</t>
  </si>
  <si>
    <t>J01DD02 - Ceftazidim</t>
  </si>
  <si>
    <t>J01CA01 - Ampicilin</t>
  </si>
  <si>
    <t>J01XA01 - Vankomycin</t>
  </si>
  <si>
    <t>J01XD01 - Metronidazol</t>
  </si>
  <si>
    <t>J02AC01 - Flukonazol</t>
  </si>
  <si>
    <t>J01DH51 - Imipenem a enzymový inhibitor</t>
  </si>
  <si>
    <t>J01CR02 - Amoxicilin a enzymový inhibitor</t>
  </si>
  <si>
    <t>N02AX02 - Tramadol</t>
  </si>
  <si>
    <t>R03AC02 - Salbutamol</t>
  </si>
  <si>
    <t>A02BA02 - Ranitidin</t>
  </si>
  <si>
    <t>J01FA09 - Klarithromycin</t>
  </si>
  <si>
    <t>J01GB03 - Gentamicin</t>
  </si>
  <si>
    <t>J01CR02</t>
  </si>
  <si>
    <t>INJ+INF PLV SOL 5X500MG/100MG</t>
  </si>
  <si>
    <t>AMOKSIKLAV 156,25 MG/5 ML SUSPENZE</t>
  </si>
  <si>
    <t>POR PLV SUS 1X125/31,25MG/5ML</t>
  </si>
  <si>
    <t>J01GB03</t>
  </si>
  <si>
    <t>GENTAMICIN LEK 40 MG/2 ML</t>
  </si>
  <si>
    <t>INJ+INF SOL 10X2MLX20MG/ML</t>
  </si>
  <si>
    <t>J01CA01</t>
  </si>
  <si>
    <t>A02BA02</t>
  </si>
  <si>
    <t>RANITAL 50 MG/2 ML</t>
  </si>
  <si>
    <t>INJ SOL 5X2MLX25MG/ML</t>
  </si>
  <si>
    <t>A02BC01</t>
  </si>
  <si>
    <t>HELICID 40 INF</t>
  </si>
  <si>
    <t>INF PLV SOL 1X40MG</t>
  </si>
  <si>
    <t>J01DD02</t>
  </si>
  <si>
    <t>CEFTAZIDIM KABI 1 G</t>
  </si>
  <si>
    <t>J01DH02</t>
  </si>
  <si>
    <t>J01DH51</t>
  </si>
  <si>
    <t>INF PLV SOL 1X10X500MG/500MG</t>
  </si>
  <si>
    <t>J01FA09</t>
  </si>
  <si>
    <t>J01XA01</t>
  </si>
  <si>
    <t>J01XD01</t>
  </si>
  <si>
    <t>METRONIDAZOLE 0,5%-POLPHARMA</t>
  </si>
  <si>
    <t>INF SOL 1X100MLX5MG/ML</t>
  </si>
  <si>
    <t>J02AC01</t>
  </si>
  <si>
    <t>INF SOL 10X100MLX2MG/ML</t>
  </si>
  <si>
    <t>N01AH03</t>
  </si>
  <si>
    <t>SUFENTANIL TORREX 5 MIKROGRAMŮ/ML</t>
  </si>
  <si>
    <t>INJ SOL 5X2MLX5RG/ML</t>
  </si>
  <si>
    <t>N02AX02</t>
  </si>
  <si>
    <t>INJ SOL 5X1MLX50MG</t>
  </si>
  <si>
    <t>N05CD08</t>
  </si>
  <si>
    <t>MIDAZOLAM TORREX 5 MG/ML</t>
  </si>
  <si>
    <t>INJ SOL 10X1MLX5MG/ML</t>
  </si>
  <si>
    <t>R03AC02</t>
  </si>
  <si>
    <t>INH SUS PSS 200DÁVX100RG/DÁV</t>
  </si>
  <si>
    <t>V06XX</t>
  </si>
  <si>
    <t>NUTRITON</t>
  </si>
  <si>
    <t>POR SOL 1X135GM</t>
  </si>
  <si>
    <t>PRE BEBA DISCHARGE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</si>
  <si>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</si>
  <si>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</si>
  <si>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</si>
  <si>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</si>
  <si>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</si>
  <si>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0994 - centrum - novorozenecké</t>
  </si>
  <si>
    <t>HVLP</t>
  </si>
  <si>
    <t>IPLP</t>
  </si>
  <si>
    <t>9</t>
  </si>
  <si>
    <t>89301091</t>
  </si>
  <si>
    <t>Standardní lůžková péče Celkem</t>
  </si>
  <si>
    <t xml:space="preserve"> </t>
  </si>
  <si>
    <t>* Legenda</t>
  </si>
  <si>
    <t>DIAPZT = Pomůcky pro diabetiky, jejichž název začíná slovem "Pumpa"</t>
  </si>
  <si>
    <t>Hálek Jan</t>
  </si>
  <si>
    <t>Kouřilová Martina</t>
  </si>
  <si>
    <t>Mišuth Vladimír</t>
  </si>
  <si>
    <t>Sulovská Lucie</t>
  </si>
  <si>
    <t>Špenerová Michaela</t>
  </si>
  <si>
    <t>Vránová Ivana</t>
  </si>
  <si>
    <t>Zatloukalová Ĺudmila</t>
  </si>
  <si>
    <t>Přehled plnění pozitivního listu (PL) - 
   preskripce léčivých přípravků dle objemu Kč mimo PL</t>
  </si>
  <si>
    <t>33403</t>
  </si>
  <si>
    <t>NUTRILON 1 NENATAL</t>
  </si>
  <si>
    <t>33399</t>
  </si>
  <si>
    <t>NUTRILON 0 NENATAL</t>
  </si>
  <si>
    <t>Přehled plnění PL - Preskripce léčivých přípravků - orientační přehled</t>
  </si>
  <si>
    <t>50115090     ZPr - zubolékařský materiál (Z509)</t>
  </si>
  <si>
    <t>0921</t>
  </si>
  <si>
    <t>ambulance</t>
  </si>
  <si>
    <t>ambulance Celkem</t>
  </si>
  <si>
    <t>ZA318</t>
  </si>
  <si>
    <t>Náplast transpore 1,25 cm x 9,14 m 1527-0</t>
  </si>
  <si>
    <t>ZA443</t>
  </si>
  <si>
    <t>Šátek trojcípý pletený 125 x 85 x 85 cm 20001</t>
  </si>
  <si>
    <t>ZA444</t>
  </si>
  <si>
    <t>Tampon nesterilní stáčený 20 x 19 cm bez RTG nití bal. á 100 ks 1320300404</t>
  </si>
  <si>
    <t>ZA446</t>
  </si>
  <si>
    <t>Vata buničitá přířezy 20 x 30 cm 1230200129</t>
  </si>
  <si>
    <t>ZA466</t>
  </si>
  <si>
    <t>Tyčinka vatová sterilní 14 cm bal. á 200 ks 9679501</t>
  </si>
  <si>
    <t>ZA467</t>
  </si>
  <si>
    <t>Tyčinka vatová nesterilní 15 cm bal. á 100 ks 9679369</t>
  </si>
  <si>
    <t>ZA570</t>
  </si>
  <si>
    <t>Náplast tegaderm 4,4 cm x 4,4 cm bal. á 100 ks 1622W</t>
  </si>
  <si>
    <t>ZF225</t>
  </si>
  <si>
    <t>Náplast hypoalergenní á 250 ks 5353811</t>
  </si>
  <si>
    <t>ZK522</t>
  </si>
  <si>
    <t>Tampon sterilní z buničité vaty / 20 ks karton á 2400 ks 1230213120</t>
  </si>
  <si>
    <t>ZA674</t>
  </si>
  <si>
    <t>Cévka CN-01, bal.á 40 ks, 646959</t>
  </si>
  <si>
    <t>ZA737</t>
  </si>
  <si>
    <t>Filtr mini spike modrý 4550234</t>
  </si>
  <si>
    <t>ZA743</t>
  </si>
  <si>
    <t>Zkumavka odběrová 0,5 ml tapval fialová 11170</t>
  </si>
  <si>
    <t>ZA744</t>
  </si>
  <si>
    <t>Kanyla neoflon 24G žlutá BDC391350</t>
  </si>
  <si>
    <t>ZA746</t>
  </si>
  <si>
    <t>Stříkačka injekční 3-dílná 1 ml L tuberculin Omnifix Solo 9161406V</t>
  </si>
  <si>
    <t>ZA775</t>
  </si>
  <si>
    <t>Sáček močový lepicí dětský pro novoroz. 80x220 mm d744988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</si>
  <si>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</si>
  <si>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</si>
  <si>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</si>
  <si>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</si>
  <si>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</si>
  <si>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</si>
  <si>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</si>
  <si>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</si>
  <si>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ZA888</t>
  </si>
  <si>
    <t>Zkumavka odběrová s gelem tapval bílá 19860</t>
  </si>
  <si>
    <t>ZB117</t>
  </si>
  <si>
    <t>Lanceta haemolance modrá plus low flow bal. á 100 ks DIS7371</t>
  </si>
  <si>
    <t>ZB299</t>
  </si>
  <si>
    <t>Konektor bezjehlový s prodl.hadičkou, bal.á 50 ks, 4097154</t>
  </si>
  <si>
    <t>ZB338</t>
  </si>
  <si>
    <t>Hadička tlaková spojovací unicath 1,0 mm x 200 cm PB 3120 M</t>
  </si>
  <si>
    <t>ZB384</t>
  </si>
  <si>
    <t>Stříkačka injekční 3-dílná 20 ml LL Omnifix Solo se závitem bal. á 100 ks 4617207V</t>
  </si>
  <si>
    <t>ZB439</t>
  </si>
  <si>
    <t>Odstraňovač náplastí Convacare á 100 ks 0011279 37443</t>
  </si>
  <si>
    <t>ZB668</t>
  </si>
  <si>
    <t>Hadička spojovací tlaková unicath pr. 1,0 mm x   50 cm PB 3105 M</t>
  </si>
  <si>
    <t>ZB760</t>
  </si>
  <si>
    <t>Zkumavka červená 3 ml 454095</t>
  </si>
  <si>
    <t>ZB949</t>
  </si>
  <si>
    <t>Pinzeta UH sterilní HAR999565</t>
  </si>
  <si>
    <t>ZC722</t>
  </si>
  <si>
    <t>Páska fixační bal. á 12 ks LNOP 1053</t>
  </si>
  <si>
    <t>ZC768</t>
  </si>
  <si>
    <t>Zkumavka 10 ml sterilní bal. á 1250 ks 1009/TE/SG/ES</t>
  </si>
  <si>
    <t>ZD350</t>
  </si>
  <si>
    <t>Lanceta haemolance zelená 21 G á 100 ks DIS7372</t>
  </si>
  <si>
    <t>ZD662</t>
  </si>
  <si>
    <t>Cévka odsávací CH8 s přerušovačem sání  bal. á 60 ks ZAR-CO-A08-60</t>
  </si>
  <si>
    <t>ZF159</t>
  </si>
  <si>
    <t>Nádoba na kontaminovaný odpad 1 l 15-0002</t>
  </si>
  <si>
    <t>ZG515</t>
  </si>
  <si>
    <t>Zkumavka močová vacuette 10,5 ml bal. á 50 ks 455007</t>
  </si>
  <si>
    <t>ZI179</t>
  </si>
  <si>
    <t>Zkumavka s mediem+ flovakovaný tampon eSwab růžový 490CE.A</t>
  </si>
  <si>
    <t>ZI681</t>
  </si>
  <si>
    <t>Kapilára heparin litný 140 ul / 2,35 x 90 mm UH bal. á 100 ks 102090</t>
  </si>
  <si>
    <t>ZK799</t>
  </si>
  <si>
    <t>Zátka combi červená 4495101</t>
  </si>
  <si>
    <t>ZL688</t>
  </si>
  <si>
    <t>Proužky Accu-Check Inform IIStrip 50 EU1 á 50 ks 05942861</t>
  </si>
  <si>
    <t>ZL689</t>
  </si>
  <si>
    <t>Roztok Accu-Check Performa Int´l Controls 1+2 level 04861736</t>
  </si>
  <si>
    <t>ZC793</t>
  </si>
  <si>
    <t>Čidlo saturační neonatální LNOP Neo-L děti 1 - 10 kg adhesivní sens. bal. á 20 ks 1798</t>
  </si>
  <si>
    <t>ZH286</t>
  </si>
  <si>
    <t>Teploměr digitální s ohebným hrotem Flexo 91925</t>
  </si>
  <si>
    <t>ZB088</t>
  </si>
  <si>
    <t>Kanyla ET 3,0 bez manžety bal. á 10 ks 9336E</t>
  </si>
  <si>
    <t>ZC837</t>
  </si>
  <si>
    <t>Fonendoskop neonatální dvoustranný modrý P00202</t>
  </si>
  <si>
    <t>ZA400</t>
  </si>
  <si>
    <t>Sáček jímací dětský sterilní bal. á 10 ks 4425030</t>
  </si>
  <si>
    <t>ZM517</t>
  </si>
  <si>
    <t>Ventil včetně 6 bílých membrán K800.0727</t>
  </si>
  <si>
    <t>ZB428</t>
  </si>
  <si>
    <t>Kanyla ET 2,5 bez manžety bal. á 10 ks 9325E</t>
  </si>
  <si>
    <t>ZB966</t>
  </si>
  <si>
    <t>Nůžky rovné chirurgické hrotnaté 150 mm B397113920005</t>
  </si>
  <si>
    <t>ZF672</t>
  </si>
  <si>
    <t>Set resuscitační neonatální 1,2 m s variabilním PEEP 6431000</t>
  </si>
  <si>
    <t>ZN206</t>
  </si>
  <si>
    <t>Lopatka ústní dřevěná lékařská sterilní 150 x 17 mm bal. á 500 ks 4002/SG/CS/L</t>
  </si>
  <si>
    <t>ZA118</t>
  </si>
  <si>
    <t>Kanyla ET 3,5 bez manžetou bal. á 10 ks 9335E</t>
  </si>
  <si>
    <t>ZI683</t>
  </si>
  <si>
    <t>Drátek míchací á 500 ks 110009</t>
  </si>
  <si>
    <t>ZB416</t>
  </si>
  <si>
    <t>Kanyla ET 4,0 bez manžety bal. á 10 ks 9342E</t>
  </si>
  <si>
    <t>ZN692</t>
  </si>
  <si>
    <t>Lanceta Solace modrá bezpečnostní 26G/1,8 mm bal. á 100 ks NT-PA26-100</t>
  </si>
  <si>
    <t>ZN691</t>
  </si>
  <si>
    <t>Lanceta Solace zelená bezpečnostní 21G/2,2 mm bal. á 100 ks NT-PA21-100</t>
  </si>
  <si>
    <t>ZB898</t>
  </si>
  <si>
    <t>Klobouček kojící kontaktní vel. S 16 mm K200.1628</t>
  </si>
  <si>
    <t>ZI682</t>
  </si>
  <si>
    <t>Zátka ke kapiláře á 500 ks (8153) 110180</t>
  </si>
  <si>
    <t>ZB843</t>
  </si>
  <si>
    <t>Zavaděč trach. rourek pro TR malý 2.5 - 4.5 mm bal. á 10 ks 100/120/100</t>
  </si>
  <si>
    <t>ZD892</t>
  </si>
  <si>
    <t>Filtr akustický echo screen bal. á 5 ks 1770</t>
  </si>
  <si>
    <t>ZC236</t>
  </si>
  <si>
    <t>Cévka odsávací CH10 s přerušovačem sání bal. á 70 ks GCR1021-10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</si>
  <si>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</si>
  <si>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</si>
  <si>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</si>
  <si>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</si>
  <si>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</si>
  <si>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</si>
  <si>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</si>
  <si>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</si>
  <si>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ZN041</t>
  </si>
  <si>
    <t>Rukavice operační gammex ansell PF bez pudru 6,5 330048065</t>
  </si>
  <si>
    <t>ZN126</t>
  </si>
  <si>
    <t>Rukavice operační gammex ansell PF bez pudru 7,0 330048070</t>
  </si>
  <si>
    <t>DG383</t>
  </si>
  <si>
    <t>Bactec PEDS</t>
  </si>
  <si>
    <t>DG388</t>
  </si>
  <si>
    <t>Játrový bujon (10ml)</t>
  </si>
  <si>
    <t>DF171</t>
  </si>
  <si>
    <t>KALIBRAČNÍ ROZTOK 1  S1820 (ABL 825)</t>
  </si>
  <si>
    <t>DF169</t>
  </si>
  <si>
    <t>PROPLACHOVACÍ ROZTOK 600 ml S4980 (ABL 825)</t>
  </si>
  <si>
    <t>DD305</t>
  </si>
  <si>
    <t>KARTICKY TEST.SCREENING 45X70 á 100 ks</t>
  </si>
  <si>
    <t>ZC905</t>
  </si>
  <si>
    <t>Hadice silikon 7 x 11,0 x 2,00 mm á 10 m pro drenáž těl.dutin KVS60-070110</t>
  </si>
  <si>
    <t>ZA516</t>
  </si>
  <si>
    <t>Kompresa NT 7,5 x 7,5 cm/10 ks sterilní karton á 900 ks 1230119526</t>
  </si>
  <si>
    <t>ZA593</t>
  </si>
  <si>
    <t>Tampon sterilní stáčený 20 x 20 cm / 5 ks 28003+</t>
  </si>
  <si>
    <t>ZC845</t>
  </si>
  <si>
    <t>Kompresa NT 10 x 20 cm/5 ks sterilní 26621</t>
  </si>
  <si>
    <t>ZF351</t>
  </si>
  <si>
    <t>Náplast transpore bílá 1,25 cm x 9,14 m bal. á 24 ks 1534-0</t>
  </si>
  <si>
    <t>ZF352</t>
  </si>
  <si>
    <t>Náplast transpore bílá 2,50 cm x 9,14 m bal. á 12 ks 1534-1</t>
  </si>
  <si>
    <t>ZI558</t>
  </si>
  <si>
    <t>Náplast curapor   7 x   5 cm 22120 ( náhrada za cosmopor )</t>
  </si>
  <si>
    <t>ZF749</t>
  </si>
  <si>
    <t>Fixace nosních katetrů nasofix niko S střední bal. á 100 ks 49-625-S(625M-S)</t>
  </si>
  <si>
    <t>ZA415</t>
  </si>
  <si>
    <t>Obinadlo idealast-haft 6 cm x 10 m 931114</t>
  </si>
  <si>
    <t>ZO123</t>
  </si>
  <si>
    <t>Fixace nosních katetrů nasofix niko M – I dětský bal. á 100 ks 49 - 625M - I</t>
  </si>
  <si>
    <t>ZA729</t>
  </si>
  <si>
    <t>Tyčinka vatová sterilní velká 1 bal/200 ks 9679520</t>
  </si>
  <si>
    <t>ZA749</t>
  </si>
  <si>
    <t>Stříkačka injekční 3-dílná 50 ml LL Omnifix Solo 4617509F</t>
  </si>
  <si>
    <t>ZB360</t>
  </si>
  <si>
    <t>Rourka rektální CH12 délka 12 cm sterilní bal. á 20 ks 646699</t>
  </si>
  <si>
    <t>ZB501</t>
  </si>
  <si>
    <t>Přerušovač sání fingertip sterilní bal. á 100 ks 07.031.00.000</t>
  </si>
  <si>
    <t>ZH168</t>
  </si>
  <si>
    <t>Stříkačka injekční 3-dílná 1 ml L tuberculin s jehlou KD-JECT III 831786</t>
  </si>
  <si>
    <t>ZK798</t>
  </si>
  <si>
    <t>Zátka combi modrá 4495152</t>
  </si>
  <si>
    <t>ZI026</t>
  </si>
  <si>
    <t>Šidítko dětské Flora 03 kytička bal. á 30 ks 1001</t>
  </si>
  <si>
    <t>ZK083</t>
  </si>
  <si>
    <t>Elektroda EKG bal. á 12 ks 100 BRS-50-K/12</t>
  </si>
  <si>
    <t>ZB701</t>
  </si>
  <si>
    <t>Šidítko pro nezralé novorozence do 30.týdne čiré Wee Thumbie P03373</t>
  </si>
  <si>
    <t>ZB985</t>
  </si>
  <si>
    <t>Urin-Monovette s pístem 10 ml sterilní bal. á 100 ks 10.252.020</t>
  </si>
  <si>
    <t>ZN570</t>
  </si>
  <si>
    <t>Láhev kojenecká jednorázová se šroub.víčkem 50ml multipack bal. á 42 ks 37512</t>
  </si>
  <si>
    <t>ZN573</t>
  </si>
  <si>
    <t>Dudlík růžový 3-rychlostní s ochranným krytem předčasně narozené děti bal. á 180 ks 37585</t>
  </si>
  <si>
    <t>ZN572</t>
  </si>
  <si>
    <t>Láhev kojenecká jednorázová se šroub.víčkem 240ml multipack bal. á 18 ks 37616</t>
  </si>
  <si>
    <t>ZN571</t>
  </si>
  <si>
    <t>Láhev kojenecká jednorázová se šroub.víčkem 130ml multipack bal. á 24 ks 37614</t>
  </si>
  <si>
    <t>ZN574</t>
  </si>
  <si>
    <t>Dudlík modrý 3-rychlostní s ochranným krytem novorozenci a starší bal. á 180 ks 37587</t>
  </si>
  <si>
    <t>ZN575</t>
  </si>
  <si>
    <t>Dudlík červený 1-rychlostní s ochranným krytem novorozenci bal. á 180 ks 37589</t>
  </si>
  <si>
    <t>ZD281</t>
  </si>
  <si>
    <t>Aplikátor nasální infant intermediate á 25 ks MI1300B</t>
  </si>
  <si>
    <t>ZC792</t>
  </si>
  <si>
    <t>Čidlo saturační jednorázové nellcor lepící pod 3 kg bal. á 24 ks 1776</t>
  </si>
  <si>
    <t>ZN892</t>
  </si>
  <si>
    <t>Sonda pro enterální výživu graduovaná 6F /40 cm PVC 310.06</t>
  </si>
  <si>
    <t>ZN891</t>
  </si>
  <si>
    <t>Sonda pro enterální výživu graduovaná 5F /40 cm PVC 310.05</t>
  </si>
  <si>
    <t>ZI035</t>
  </si>
  <si>
    <t>Savička náhradní kulatá k šidítkům Flora kytička 100N</t>
  </si>
  <si>
    <t>ZM515</t>
  </si>
  <si>
    <t>Souprava odsávací nástavec+ventil+membrána+láhev šroub. uzávěr+víčko K800.0607</t>
  </si>
  <si>
    <t>ZE079</t>
  </si>
  <si>
    <t>Set transfúzní non PVC s odvzdušněním a bakteriálním filtrem ZAR-I-TS</t>
  </si>
  <si>
    <t>ZA360</t>
  </si>
  <si>
    <t>Jehla sterican 0,5 x 25 mm oranžová 9186158</t>
  </si>
  <si>
    <t>ZA834</t>
  </si>
  <si>
    <t>Jehla injekční 0,7 x 40 mm černá 4660021</t>
  </si>
  <si>
    <t>ZF925</t>
  </si>
  <si>
    <t>Jehla injekční 0,9 x 25 mm žlutá á 100 ks 4657500</t>
  </si>
  <si>
    <t>ZI758</t>
  </si>
  <si>
    <t>Rukavice vinyl bez p. M á 100 ks EFEKTVR03</t>
  </si>
  <si>
    <t>ZN108</t>
  </si>
  <si>
    <t>Rukavice operační gammex ansell PF bez pudru 8,0 330048080</t>
  </si>
  <si>
    <t>ZN125</t>
  </si>
  <si>
    <t>Rukavice operační gammex ansell PF bez pudru 7,5 330048075</t>
  </si>
  <si>
    <t>ZO257</t>
  </si>
  <si>
    <t>Rukavice nitril sempercare bez p. Soft růžové bal. á 200 ks vel. L 34433 - pouze pro novorozence</t>
  </si>
  <si>
    <t>ZO258</t>
  </si>
  <si>
    <t>Rukavice nitril sempercare bez p. Soft růžové bal. á 180 ks vel. XL 34434 - pouze pro novorozence</t>
  </si>
  <si>
    <t>ZO254</t>
  </si>
  <si>
    <t>Rukavice nitril sempercare bez p. Soft růžové bal. á 200 ks vel. XS 34430 - pouze pro novorozence</t>
  </si>
  <si>
    <t>ZO255</t>
  </si>
  <si>
    <t>Rukavice nitril sempercare bez p. Soft růžové bal. á 200 ks vel. S 34431 - pouze pro novorozence</t>
  </si>
  <si>
    <t>ZO256</t>
  </si>
  <si>
    <t>Rukavice nitril sempercare bez p. Soft růžové bal. á 200 ks vel. M 34432 - pouze pro novorozence</t>
  </si>
  <si>
    <t>DC515</t>
  </si>
  <si>
    <t>Čistící roztok k dekontaminaci 100 ml  (HYPOCHLORID.ROZTOK,S5362)</t>
  </si>
  <si>
    <t>DB942</t>
  </si>
  <si>
    <t>MEMBRÁNOVÁ SOUPRAVA pCO2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</si>
  <si>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</si>
  <si>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</si>
  <si>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</si>
  <si>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</si>
  <si>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</si>
  <si>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</si>
  <si>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</si>
  <si>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</si>
  <si>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</si>
  <si>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</si>
  <si>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DD309</t>
  </si>
  <si>
    <t>Laktátová membránová souprava</t>
  </si>
  <si>
    <t>DD268</t>
  </si>
  <si>
    <t>MEMBRÁNOVÁ SOUPRAVA Ca</t>
  </si>
  <si>
    <t>DD076</t>
  </si>
  <si>
    <t>MEMBRÁNOVÁ SOUPRAVA pO2</t>
  </si>
  <si>
    <t>DD269</t>
  </si>
  <si>
    <t>MEMBRÁNOVÁ SOUPRAVA Cl</t>
  </si>
  <si>
    <t>DA376</t>
  </si>
  <si>
    <t>Zachycovače krevních sraženin, Clot Catchers ,250</t>
  </si>
  <si>
    <t>DH263</t>
  </si>
  <si>
    <t>Termo papír (8ks)</t>
  </si>
  <si>
    <t>DC959</t>
  </si>
  <si>
    <t>MEMBRÁNOVÁ SOUPRAVA  Na+</t>
  </si>
  <si>
    <t>DD267</t>
  </si>
  <si>
    <t>MEMBRÁNOVÁ SOUPRAVA K+</t>
  </si>
  <si>
    <t>ZA542</t>
  </si>
  <si>
    <t>Náplast wet pruf voduvzd. 1,25 cm x 9,14 m bal. á 24 ks K00-3063C</t>
  </si>
  <si>
    <t>ZA544</t>
  </si>
  <si>
    <t>Krytí inadine nepřilnavé 5,0 x 5,0 cm 1/10 SYS01481EE</t>
  </si>
  <si>
    <t>ZA627</t>
  </si>
  <si>
    <t>Krytí granuflex extra thin 5 x 10 cm á 10 ks 0021661 187959</t>
  </si>
  <si>
    <t>ZE108</t>
  </si>
  <si>
    <t>Krytí mepilex lite 10 x 10 cm bal. á 10 ks 284100-01</t>
  </si>
  <si>
    <t>ZE748</t>
  </si>
  <si>
    <t>Krytí melgisorb Ag alginátové absorpční 10 x 10 cm bal. á 10 ks 256100-00</t>
  </si>
  <si>
    <t>ZF108</t>
  </si>
  <si>
    <t>Krytí mepilex lite 6 x  8,5 cm bal. á 5 ks 284000-01</t>
  </si>
  <si>
    <t>ZG613</t>
  </si>
  <si>
    <t>Krytí mepitel one 8 x 10 cm  bal. á 5 ks 289200-00</t>
  </si>
  <si>
    <t>ZI599</t>
  </si>
  <si>
    <t>Náplast curapor 10 x   8 cm 22121 ( náhrada za cosmopor )</t>
  </si>
  <si>
    <t>ZA326</t>
  </si>
  <si>
    <t>Krytí hypro-sorb R 20 x 25 mm bal. á 6 ks 003</t>
  </si>
  <si>
    <t>ZL410</t>
  </si>
  <si>
    <t>Krytí gelové Hemagel 100 g A2681147</t>
  </si>
  <si>
    <t>ZK087</t>
  </si>
  <si>
    <t>Krém cavilon ochranný bariérový á 28 g bal. á 12 ks 3391E</t>
  </si>
  <si>
    <t>ZA525</t>
  </si>
  <si>
    <t>Normlgel 5 g bal. á 10 ks 370500</t>
  </si>
  <si>
    <t>ZA630</t>
  </si>
  <si>
    <t>Tampon sterilní stáčený 9 x 9 cm / 5 ks karton á 650 ks 1230110421</t>
  </si>
  <si>
    <t>ZA623</t>
  </si>
  <si>
    <t>Krytí silvercel hydroalg. 11 x 11 cm bal. á 10 ks SYS-CAD011EE</t>
  </si>
  <si>
    <t>ZN101</t>
  </si>
  <si>
    <t>Náplast Neo Smile k měření teploty v inkubátoru GIRAFFE bal. á 150 ks N731</t>
  </si>
  <si>
    <t>ZN959</t>
  </si>
  <si>
    <t>Krytí bioclusive 5,1 x 7,6 cm bal. á 10 ks BIP0607</t>
  </si>
  <si>
    <t>ZA548</t>
  </si>
  <si>
    <t>Náplast wet pruf voduvzd. 2,50 cm x 9,14 m bal. á 12 ks 3142</t>
  </si>
  <si>
    <t>ZN100</t>
  </si>
  <si>
    <t>Náplast reflexní k měření teploty v inkubátoru GIRAFFE á 50 ks 0203-1980-300</t>
  </si>
  <si>
    <t>ZA485</t>
  </si>
  <si>
    <t>Krytí bioclusive 10 x 12 cm bal. á 10 ks BIP1012 SYS (2463)</t>
  </si>
  <si>
    <t>ZN893</t>
  </si>
  <si>
    <t>Fixace nosních katetrů nasofix niko M střední bal. á 100 ks 49-625-M</t>
  </si>
  <si>
    <t>ZH318</t>
  </si>
  <si>
    <t>Náplast hydrokoloidní extra small Grip-Lok H á 100 ks ZEF:3100ESH</t>
  </si>
  <si>
    <t>ZA210</t>
  </si>
  <si>
    <t>Cévka vyživovací CV-01 GAM646957</t>
  </si>
  <si>
    <t>ZA687</t>
  </si>
  <si>
    <t>Sáček močový curity s hod. diurézou 200 ml hadička 150 cm 6502</t>
  </si>
  <si>
    <t>ZA754</t>
  </si>
  <si>
    <t>Stříkačka injekční 3-dílná 10 ml LL Omnifix Solo se závitem 4617100V</t>
  </si>
  <si>
    <t>ZB102</t>
  </si>
  <si>
    <t>Láhev k odsávačce flovac 1l hadice 1,8 m á 45 ks 000-036-020</t>
  </si>
  <si>
    <t>ZB103</t>
  </si>
  <si>
    <t>Láhev k odsávačce flovac 2l hadice 1,8 m 000-036-021</t>
  </si>
  <si>
    <t>ZB199</t>
  </si>
  <si>
    <t>Kanyla neoflon 26G fialová BDC391349</t>
  </si>
  <si>
    <t>ZB301</t>
  </si>
  <si>
    <t>Rampa 5 kohoutů bez PVC lipidorezistentní bal. á 20 ks RP 5000 M</t>
  </si>
  <si>
    <t>ZB336</t>
  </si>
  <si>
    <t>Zkumavka odběrová 1 ml tapval modrá bal. á 50 ks 13060</t>
  </si>
  <si>
    <t>ZB488</t>
  </si>
  <si>
    <t>Sprej cavilon 28 ml bal. á 12 ks 3346E</t>
  </si>
  <si>
    <t>ZB543</t>
  </si>
  <si>
    <t>Souprava odběrová tracheální G05206</t>
  </si>
  <si>
    <t>ZB754</t>
  </si>
  <si>
    <t>Zkumavka černá 2 ml 454073</t>
  </si>
  <si>
    <t>ZB755</t>
  </si>
  <si>
    <t>Zkumavka 1,0 ml K3 edta fialová 454034</t>
  </si>
  <si>
    <t>ZB773</t>
  </si>
  <si>
    <t>Zkumavka šedá-glykemie 454085</t>
  </si>
  <si>
    <t>ZB776</t>
  </si>
  <si>
    <t>Zkumavka zelená 3 ml 454082</t>
  </si>
  <si>
    <t>ZD808</t>
  </si>
  <si>
    <t>Kanyla vasofix 22G modrá safety 4269098S-01</t>
  </si>
  <si>
    <t>ZD903</t>
  </si>
  <si>
    <t>Kontejner+ lopatka 30 ml nesterilní FLME25133</t>
  </si>
  <si>
    <t>ZE308</t>
  </si>
  <si>
    <t>Stříkačka injekční 3-dílná 5 ml LL Omnifix Solo se závitem 4617053V</t>
  </si>
  <si>
    <t>ZF233</t>
  </si>
  <si>
    <t>Stříkačka injekční arteriální 3 ml bez jehly line draw L/S bal. á 200 ks 4043E</t>
  </si>
  <si>
    <t>ZH845</t>
  </si>
  <si>
    <t>Tyčinka vatová medcomfort + glyc. citónová příchuť bal. á 75 ks 09157-100</t>
  </si>
  <si>
    <t>ZJ659</t>
  </si>
  <si>
    <t>Kohout trojcestný s bezjehlovým konektorem Discofix C bal. á 100 ks 16494CSF</t>
  </si>
  <si>
    <t>ZK884</t>
  </si>
  <si>
    <t>Kohout trojcestný discofix modrý 4095111</t>
  </si>
  <si>
    <t>ZB533</t>
  </si>
  <si>
    <t>Zkumavka na kovy 6 ml 456080</t>
  </si>
  <si>
    <t>ZD992</t>
  </si>
  <si>
    <t>Čidlo saturační jednorázové pro novorozence masimo k monitoru Mindray bal. á 20 ks 2329LHL</t>
  </si>
  <si>
    <t>ZL952</t>
  </si>
  <si>
    <t>Stříkačka injekční 50 ml LL light protected bal.á 60 ks 2022920A</t>
  </si>
  <si>
    <t>ZL951</t>
  </si>
  <si>
    <t>Hadička prodlužovací PVC 150 cm pro světlocitlivé léky NO DOP bal. á 20  ks V686423</t>
  </si>
  <si>
    <t>ZD030</t>
  </si>
  <si>
    <t>Skalpel jednorázový cutfix sterilní bal. á 10 ks 5518040</t>
  </si>
  <si>
    <t>ZE784</t>
  </si>
  <si>
    <t>Konektor bezjehlový smartsite modrý 2000E7D</t>
  </si>
  <si>
    <t>ZB095</t>
  </si>
  <si>
    <t>Systém odsávací uzavřený TC CH6 neo / pedi 30,5 cm 196-5</t>
  </si>
  <si>
    <t>ZE783</t>
  </si>
  <si>
    <t>Trn na vak jednosměrný bal. á 100 ks 2309E</t>
  </si>
  <si>
    <t>ZI119</t>
  </si>
  <si>
    <t>Manžeta TK novorozenecká č. 2 M1868B  (dřív.kč.M1868A se již nevyrábí)</t>
  </si>
  <si>
    <t>ZL887</t>
  </si>
  <si>
    <t>Kanyla nasální CPAP extra malá bal. á 10 ks 8888162024</t>
  </si>
  <si>
    <t>ZL537</t>
  </si>
  <si>
    <t>Čidlo teplotní jednorázové bal. á 10 ks 2074816-001</t>
  </si>
  <si>
    <t>ZM753</t>
  </si>
  <si>
    <t>Sada Infant Flow LP nCPAP aolikátor. okruh, komora zvlhčovače s automatickým plněním bal. á 10 ks 7772011AK</t>
  </si>
  <si>
    <t>ZM756</t>
  </si>
  <si>
    <t>Čelenka fixační Infant Flow nCPAP S/M 24 - 28 cm bal. á 10 ks 777040SM</t>
  </si>
  <si>
    <t>ZM600</t>
  </si>
  <si>
    <t>Spojka flovac žlutá 000-036-102</t>
  </si>
  <si>
    <t>ZM757</t>
  </si>
  <si>
    <t>Čelenka fixační Infant Flow nCPAP M 26 - 32 cm bal. á 10 ks 777040M</t>
  </si>
  <si>
    <t>ZM758</t>
  </si>
  <si>
    <t>Čelenka fixační Infant Flow nCPAP L 32 - 37 cm bal. á 10 ks 777040L</t>
  </si>
  <si>
    <t>ZB708</t>
  </si>
  <si>
    <t>Katetr močový foley CH6 silikon 23.000.14.206</t>
  </si>
  <si>
    <t>ZN156</t>
  </si>
  <si>
    <t>Kanyla ET 2,0 bez manžety bal. á 10 ks 100/111/020</t>
  </si>
  <si>
    <t>ZC847</t>
  </si>
  <si>
    <t>Systém odsávací uzavřený TC CH5  neo / pedi Y adaptér 30,5 cm 195-5</t>
  </si>
  <si>
    <t>ZM755</t>
  </si>
  <si>
    <t>Čelenka fixační Infant Flow nCPAP S 21 - 26 cm bal. á 10 ks 777040S</t>
  </si>
  <si>
    <t>ZN296</t>
  </si>
  <si>
    <t>Hadička spojovací Gamaplus 1,8 x 450 UNIV NO DOP 606306-ND</t>
  </si>
  <si>
    <t>ZB228</t>
  </si>
  <si>
    <t>Systém hrudní drenáže Pleur-evac bal. á 6 ks pro děti A-6020-08LF</t>
  </si>
  <si>
    <t>ZB195</t>
  </si>
  <si>
    <t>Systém odsávací uzavřený TC CH8 neo / pedi 30,5 cm 198-5</t>
  </si>
  <si>
    <t>ZM754</t>
  </si>
  <si>
    <t>Čelenka fixační Infant Flow nCPAP XS 17 - 21 cm bal. á 10 ks 777040XS</t>
  </si>
  <si>
    <t>ZN890</t>
  </si>
  <si>
    <t>Sonda pro enterální výživu graduovaná 4F /40 cm PVC 310.04</t>
  </si>
  <si>
    <t>ZN854</t>
  </si>
  <si>
    <t>Stříkačka injekční arteriální 3 ml bez jehly s heparinem bal. á 100 ks safePICO Aspirator 956-622</t>
  </si>
  <si>
    <t>ZJ485</t>
  </si>
  <si>
    <t>Rozvěrač oční dětský barraquer drátěné čepele 11 mm celková délka 30 mm E4107P</t>
  </si>
  <si>
    <t>ZC134</t>
  </si>
  <si>
    <t>Manžeta TK novorozenecká č. 3 M1870B + konektor (M1870A se již nevyrábí)</t>
  </si>
  <si>
    <t>ZB614</t>
  </si>
  <si>
    <t>Set Spike k napojení vaku k Vapothermu 2000i bal. á 20 ks ( WR1200 - již se nevyrábí) VSS-1</t>
  </si>
  <si>
    <t>ZD283</t>
  </si>
  <si>
    <t>Aplikátor nasální neonatal bal. á 25 ks MN1100B</t>
  </si>
  <si>
    <t>ZD147</t>
  </si>
  <si>
    <t>Trokar hrudní 8F 8 cm á 15 ks 625.08</t>
  </si>
  <si>
    <t>ZL818</t>
  </si>
  <si>
    <t>Katetr pupeční dvoucestný 1272.14</t>
  </si>
  <si>
    <t>ZC618</t>
  </si>
  <si>
    <t>Mikrokatetr jednocestný premicath 1F 28G/20 cm 1261.203</t>
  </si>
  <si>
    <t>ZC628</t>
  </si>
  <si>
    <t>Katetr pupeční žilní  F3,5/38 cm jednocestný bal. á 10 ks 8888160333</t>
  </si>
  <si>
    <t>ZH961</t>
  </si>
  <si>
    <t>Katetr pupeční jednocestný průměr 5ch bal. á 10 ks 8888160341</t>
  </si>
  <si>
    <t>ZA716</t>
  </si>
  <si>
    <t>Set infuzní intrafix air bez PVC 180 cm 4063002</t>
  </si>
  <si>
    <t>ZA878</t>
  </si>
  <si>
    <t>Šití ethilon bl 4-0 bal. á 12 ks W319</t>
  </si>
  <si>
    <t>ZA999</t>
  </si>
  <si>
    <t>Jehla injekční 0,5 x 16 mm oranžová 4657853</t>
  </si>
  <si>
    <t>DD075</t>
  </si>
  <si>
    <t>MEMBRÁNOVÁ SOUPRAVA REF.</t>
  </si>
  <si>
    <t>DC320</t>
  </si>
  <si>
    <t>AUTOCHECK TM5+/LEVEL3/S7755</t>
  </si>
  <si>
    <t>DC319</t>
  </si>
  <si>
    <t>AUTOCHECK TM5+/LEVEL1/S7735</t>
  </si>
  <si>
    <t>DC402</t>
  </si>
  <si>
    <t>AUTOCHECK TM5+/LEVEL2/S7745</t>
  </si>
  <si>
    <t>DC321</t>
  </si>
  <si>
    <t>AUTOCHECK TM5+/LEVEL4/,S7765</t>
  </si>
  <si>
    <t>ZD478</t>
  </si>
  <si>
    <t>Převodník tlakový arteriální 90 cm jednokom. pediatrický 1 linka bal. á 20 ks T432105A</t>
  </si>
  <si>
    <t>ZK806</t>
  </si>
  <si>
    <t>Okruh dýchací ventilační jednorázový k ventilátoru babylog 8000IC 5068810</t>
  </si>
  <si>
    <t>ZD406</t>
  </si>
  <si>
    <t>Okruh dýchací pro novorozence jednorázový 150 cm á 10 ks 305/8173</t>
  </si>
  <si>
    <t>ZM761</t>
  </si>
  <si>
    <t>Maska Infant Flow LP nCPAP S bal. á 10 ks 777002S</t>
  </si>
  <si>
    <t>ZK465</t>
  </si>
  <si>
    <t>Hadička propojovací ventilátor/zvlhčovač jednorázová k ventilátoru Fabian bal. á 10 ks 270.520</t>
  </si>
  <si>
    <t>ZM999</t>
  </si>
  <si>
    <t>Adaptér HFO autoklávovatelný k ventilátoru Fabian 7209</t>
  </si>
  <si>
    <t>ZN304</t>
  </si>
  <si>
    <t>Nostrilka Infant Flow LP nCPAP velikost XS bal. á 10 ks 777000XS</t>
  </si>
  <si>
    <t>ZN667</t>
  </si>
  <si>
    <t>Patrona vysokoprůtoková vapotherm pro dospělé a děti 6 – 40 l/ min. bal. á 2 ks VT01-AS - již se nedodává, zastaralý typ</t>
  </si>
  <si>
    <t>ZB270</t>
  </si>
  <si>
    <t>Okruh dýchací anesteziologický vyhřívaný bal. á 20 ks DTPV9007</t>
  </si>
  <si>
    <t>ZB026</t>
  </si>
  <si>
    <t>Hadice silikon 5 x 9 x 2,00 mm á 10 m pro drenáž těl.dutin KVS 60-050090</t>
  </si>
  <si>
    <t>ZM762</t>
  </si>
  <si>
    <t>Maska Infant Flow LP nCPAP M bal. á 10 ks 777002M</t>
  </si>
  <si>
    <t>ZI235</t>
  </si>
  <si>
    <t>Komora pro zvlhčovače jednorázová k ventilátoru Fabian bal. á 10 ks 500380</t>
  </si>
  <si>
    <t>ZM760</t>
  </si>
  <si>
    <t>Maska Infant Flow LP nCPAP X/S bal. á 10 ks 777002XS</t>
  </si>
  <si>
    <t>ZK464</t>
  </si>
  <si>
    <t>Okruh dýchací jednorázový BTS118W k ventilátoru Fabian bal. á 10 ks 270.471</t>
  </si>
  <si>
    <t>ZM763</t>
  </si>
  <si>
    <t>Maska Infant Flow LP nCPAP L bal. á 10 ks 777002L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</si>
  <si>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</si>
  <si>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</si>
  <si>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</si>
  <si>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</si>
  <si>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</si>
  <si>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</si>
  <si>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</si>
  <si>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</si>
  <si>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</si>
  <si>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</si>
  <si>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</si>
  <si>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</si>
  <si>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50115063</t>
  </si>
  <si>
    <t>528 SZM sety (112 02 105)</t>
  </si>
  <si>
    <t>50115070</t>
  </si>
  <si>
    <t>513 SZM katetry (112 02 101)</t>
  </si>
  <si>
    <t>50115064</t>
  </si>
  <si>
    <t>529 SZM šicí materiál (112 02 106)</t>
  </si>
  <si>
    <t>Spotřeba zdravotnického materiálu - orientační přehled</t>
  </si>
  <si>
    <t>ON Data</t>
  </si>
  <si>
    <t>209 - Pracoviště neurologie</t>
  </si>
  <si>
    <t>301 - Pracoviště pediatrie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</si>
  <si>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</si>
  <si>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</si>
  <si>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</si>
  <si>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Bodnár Vojtěch</t>
  </si>
  <si>
    <t>Drápalová Radka</t>
  </si>
  <si>
    <t>Faixová Petra</t>
  </si>
  <si>
    <t>Heroldová Jana</t>
  </si>
  <si>
    <t>Punová Lucia</t>
  </si>
  <si>
    <t>Rovný David</t>
  </si>
  <si>
    <t>Šuláková Soňa</t>
  </si>
  <si>
    <t>Wita Martin</t>
  </si>
  <si>
    <t>Zdravotní výkony vykázané na pracovišti v rámci ambulantní péče dle lékařů *</t>
  </si>
  <si>
    <t>209</t>
  </si>
  <si>
    <t>V</t>
  </si>
  <si>
    <t>31022</t>
  </si>
  <si>
    <t>CÍLENÉ VYŠETŘENÍ DĚTSKÝM LÉKAŘEM</t>
  </si>
  <si>
    <t>29002</t>
  </si>
  <si>
    <t>CÍLENÉ VYŠETŘENÍ DĚTSKÝM NEUROLOGEM</t>
  </si>
  <si>
    <t>301</t>
  </si>
  <si>
    <t>(prázdné)</t>
  </si>
  <si>
    <t>1</t>
  </si>
  <si>
    <t>0027635</t>
  </si>
  <si>
    <t>SYNAGI</t>
  </si>
  <si>
    <t>0027636</t>
  </si>
  <si>
    <t>0210115</t>
  </si>
  <si>
    <t>0210114</t>
  </si>
  <si>
    <t>SYNAGIS 50 MG</t>
  </si>
  <si>
    <t>SYNAGIS 100 MG</t>
  </si>
  <si>
    <t>09111</t>
  </si>
  <si>
    <t>ODBĚR KAPILÁRNÍ KRVE</t>
  </si>
  <si>
    <t>09117</t>
  </si>
  <si>
    <t>ODBĚR KRVE ZE ŽÍLY U DÍTĚTĚ DO 10 LET</t>
  </si>
  <si>
    <t>09511</t>
  </si>
  <si>
    <t>MINIMÁLNÍ KONTAKT LÉKAŘE S PACIENTEM</t>
  </si>
  <si>
    <t>31023</t>
  </si>
  <si>
    <t>KONTROLNÍ VYŠETŘENÍ DĚTSKÝM LÉKAŘEM</t>
  </si>
  <si>
    <t>99991</t>
  </si>
  <si>
    <t>(VZP) KÓD POUZE PRO CENTRA DLE VYHL. 368/2006 - SL</t>
  </si>
  <si>
    <t>09555</t>
  </si>
  <si>
    <t>OŠETŘENÍ DÍTĚTE DO 6 LET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</si>
  <si>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</si>
  <si>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</si>
  <si>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</si>
  <si>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</si>
  <si>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</si>
  <si>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</si>
  <si>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99999</t>
  </si>
  <si>
    <t>Nespecifikovany vykon</t>
  </si>
  <si>
    <t>Zdravotní výkony + ZUM + ZULP vykázané na pracovišti v rámci ambulantní péče - orientační přehled</t>
  </si>
  <si>
    <t>08 - Porodnicko-gynekologická klinika</t>
  </si>
  <si>
    <t>10 - Dětská klinika</t>
  </si>
  <si>
    <t>08</t>
  </si>
  <si>
    <t>3F4</t>
  </si>
  <si>
    <t>0005114</t>
  </si>
  <si>
    <t>TARGOCID 200 MG</t>
  </si>
  <si>
    <t>0015273</t>
  </si>
  <si>
    <t>SULPERAZON 2 G IM/IV</t>
  </si>
  <si>
    <t>0053922</t>
  </si>
  <si>
    <t>CIPHIN PRO INFUSIONE 200 MG/100 ML</t>
  </si>
  <si>
    <t>0065989</t>
  </si>
  <si>
    <t>MYCOMAX INF</t>
  </si>
  <si>
    <t>0068998</t>
  </si>
  <si>
    <t>AMPICILIN 1,0 BIOTIKA</t>
  </si>
  <si>
    <t>0068999</t>
  </si>
  <si>
    <t>0072973</t>
  </si>
  <si>
    <t>0077044</t>
  </si>
  <si>
    <t>ZINACEF 750 MG</t>
  </si>
  <si>
    <t>0092206</t>
  </si>
  <si>
    <t>AUGMENTIN 600 MG</t>
  </si>
  <si>
    <t>0092289</t>
  </si>
  <si>
    <t>EDICIN 0,5 G</t>
  </si>
  <si>
    <t>0094176</t>
  </si>
  <si>
    <t>0096413</t>
  </si>
  <si>
    <t>0096414</t>
  </si>
  <si>
    <t>GENTAMICIN LEK 80 MG/2 ML</t>
  </si>
  <si>
    <t>0137499</t>
  </si>
  <si>
    <t>0142077</t>
  </si>
  <si>
    <t>0155939</t>
  </si>
  <si>
    <t>0164350</t>
  </si>
  <si>
    <t>TAZOCIN 4 G/0,5 G</t>
  </si>
  <si>
    <t>0107854</t>
  </si>
  <si>
    <t>NEOHEPATECT</t>
  </si>
  <si>
    <t>2</t>
  </si>
  <si>
    <t>0007957</t>
  </si>
  <si>
    <t>0107960</t>
  </si>
  <si>
    <t>0407942</t>
  </si>
  <si>
    <t>00631</t>
  </si>
  <si>
    <t>OD TYPU 31 - PRO NEMOCNICE TYPU 3, (KATEGORIE 6)</t>
  </si>
  <si>
    <t>09227</t>
  </si>
  <si>
    <t>I. V. APLIKACE KRVE NEBO KREVNÍCH DERIVÁTŮ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</si>
  <si>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</si>
  <si>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</si>
  <si>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</si>
  <si>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</si>
  <si>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</si>
  <si>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</si>
  <si>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</si>
  <si>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</si>
  <si>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34450</t>
  </si>
  <si>
    <t>(VZP) PORODNÍ VÁHA NOVOROZENCE POD 750 GRAMŮ</t>
  </si>
  <si>
    <t>34455</t>
  </si>
  <si>
    <t>(VZP) PORODNÍ VÁHA NOVOROZENCE NAD 2499 GRAMŮ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</si>
  <si>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</si>
  <si>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</si>
  <si>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</si>
  <si>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</si>
  <si>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</si>
  <si>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</si>
  <si>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34452</t>
  </si>
  <si>
    <t>(VZP) PORODNÍ VÁHA NOVOROZENCE OD 1000 DO 1499 GRA</t>
  </si>
  <si>
    <t>34451</t>
  </si>
  <si>
    <t>(VZP) PORODNÍ VÁHA NOVOROZENCE OD 750 DO 999 GRAMŮ</t>
  </si>
  <si>
    <t>3T4</t>
  </si>
  <si>
    <t>0003952</t>
  </si>
  <si>
    <t>AMIKIN 500 MG</t>
  </si>
  <si>
    <t>0011592</t>
  </si>
  <si>
    <t>METRONIDAZOL B. BRAUN 5 MG/ML</t>
  </si>
  <si>
    <t>0014583</t>
  </si>
  <si>
    <t>0020605</t>
  </si>
  <si>
    <t>COLOMYCIN INJEKCE 1 000 000 MEZINÁRODNÍCH JEDNOTEK</t>
  </si>
  <si>
    <t>0026039</t>
  </si>
  <si>
    <t>KIOVIG 100 MG/ML</t>
  </si>
  <si>
    <t>0042144</t>
  </si>
  <si>
    <t>HUMAN ALBUMIN GRIFOLS 20%</t>
  </si>
  <si>
    <t>0083487</t>
  </si>
  <si>
    <t>MERONEM 500 MG</t>
  </si>
  <si>
    <t>0087226</t>
  </si>
  <si>
    <t>0131654</t>
  </si>
  <si>
    <t>0162180</t>
  </si>
  <si>
    <t>0129056</t>
  </si>
  <si>
    <t>ATENATIV</t>
  </si>
  <si>
    <t>0198192</t>
  </si>
  <si>
    <t>SEFOTAK 1 G</t>
  </si>
  <si>
    <t>0166265</t>
  </si>
  <si>
    <t>0088214</t>
  </si>
  <si>
    <t>EFLORAN</t>
  </si>
  <si>
    <t>0076355</t>
  </si>
  <si>
    <t>FORTUM 500 MG</t>
  </si>
  <si>
    <t>0007955</t>
  </si>
  <si>
    <t>0207921</t>
  </si>
  <si>
    <t>3</t>
  </si>
  <si>
    <t>0012999</t>
  </si>
  <si>
    <t>STAPLER LINEÁRNÍ S NOŽEM - TCT55; TLC55</t>
  </si>
  <si>
    <t>0069598</t>
  </si>
  <si>
    <t>SYSTÉM HYDROCEPHALNÍ DRENÁŽNÍ-SHUNT</t>
  </si>
  <si>
    <t>0095636</t>
  </si>
  <si>
    <t>SYSTÉM HYDROCEPHALNÍ DRENÁŽNÍ - SHUNT HAKIM BACTIS</t>
  </si>
  <si>
    <t>0095661</t>
  </si>
  <si>
    <t>SYSTÉM ZEVNÍ DRENÁŽNÍ LIKVOROVÝ DOČASNÝ CODMAN</t>
  </si>
  <si>
    <t>00671</t>
  </si>
  <si>
    <t>OD TYPU 71 - PRO NEMOCNICE TYPU 3, (KATEGORIE 6) -</t>
  </si>
  <si>
    <t>00675</t>
  </si>
  <si>
    <t>OD TYPU 75 -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</si>
  <si>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</si>
  <si>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</si>
  <si>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</si>
  <si>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</si>
  <si>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</si>
  <si>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90907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</si>
  <si>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</si>
  <si>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</si>
  <si>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</si>
  <si>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</si>
  <si>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</si>
  <si>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</si>
  <si>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78320</t>
  </si>
  <si>
    <t xml:space="preserve">NEODKLADNÁ KARDIOPULMONÁLNÍ RESUSCITACE ROZŠÍŘENÁ </t>
  </si>
  <si>
    <t>90905</t>
  </si>
  <si>
    <t>90955</t>
  </si>
  <si>
    <t>(DRG) VENTILAČNÍ PODPORA U NOVOROZENCŮ</t>
  </si>
  <si>
    <t>34320</t>
  </si>
  <si>
    <t>SELEKTIVNÍ PLICNÍ VAZODILATACE POMOCÍ OXIDU DUSNAT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</si>
  <si>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</si>
  <si>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</si>
  <si>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</si>
  <si>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</si>
  <si>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</si>
  <si>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</si>
  <si>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</si>
  <si>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</si>
  <si>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</si>
  <si>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</si>
  <si>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</si>
  <si>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</si>
  <si>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</si>
  <si>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51392</t>
  </si>
  <si>
    <t>RELAPAROTOMIE PRO POOPERAČNÍ KRVÁCENÍ, PERITONITID</t>
  </si>
  <si>
    <t>51623</t>
  </si>
  <si>
    <t>POUŽITÍ ULTRAZVUKOVÉHO SKALPELU</t>
  </si>
  <si>
    <t>52219</t>
  </si>
  <si>
    <t>OPERACE PRO NEKROTIZUJÍCÍ ENTEROKOLIDU</t>
  </si>
  <si>
    <t>51111</t>
  </si>
  <si>
    <t>OPERACE CYSTY NEBO HEMANGIOMU NEBO LIPOMU NEBO PIL</t>
  </si>
  <si>
    <t>51386</t>
  </si>
  <si>
    <t>SUTURA EV. EXCIZE A SUTURA LÉZE STĚNY ŽALUDKU NEBO</t>
  </si>
  <si>
    <t>APENDEKTOMIE NEBO OPERAČNÍ DRENÁŽ PERIAPENDIKULÁRN</t>
  </si>
  <si>
    <t>51821</t>
  </si>
  <si>
    <t>CHIRURGICKÉ ODSTRANĚNÍ CIZÍHO TĚLESA</t>
  </si>
  <si>
    <t>51357</t>
  </si>
  <si>
    <t>JEJUNOSTOMIE, ILEOSTOMIE NEBO KOLOSTOMIE, ANTEPOZI</t>
  </si>
  <si>
    <t>52311</t>
  </si>
  <si>
    <t xml:space="preserve">OPERACE TŘÍSELNÉ NEBO FEMORÁLNÍ NEBO PUPEČNÍ KÝLY </t>
  </si>
  <si>
    <t>51355</t>
  </si>
  <si>
    <t>DVOJ - A VÍCENÁSOBNÁ RESEKCE A (NEBO) ANASTOMÓZA T</t>
  </si>
  <si>
    <t>52221</t>
  </si>
  <si>
    <t>ATRESIE TENKÉHO STŘEVA VČETNĚ DUODENA U NOVOROZENC</t>
  </si>
  <si>
    <t>51361</t>
  </si>
  <si>
    <t>KOLEKTOMIE SUBTOTÁLNÍ S ILEOSTOMIÍ A UZÁVĚREM REKT</t>
  </si>
  <si>
    <t>52231</t>
  </si>
  <si>
    <t>OPERACE OMFALOKÉLY NEBO GASTROSCHÍZY</t>
  </si>
  <si>
    <t>52237</t>
  </si>
  <si>
    <t xml:space="preserve">KOREKCE VYSOKÉ VROZENÉ ANOREKTÁLNÍ NEPRŮCHODNOSTI </t>
  </si>
  <si>
    <t>52239</t>
  </si>
  <si>
    <t>KOREKCE VYSOKÉ ANOREKTÁLNÍ MALFORMACE</t>
  </si>
  <si>
    <t>5F6</t>
  </si>
  <si>
    <t>56163</t>
  </si>
  <si>
    <t>ZEVNÍ KOMOROVÁ DRENÁŽ NEBO ZAVEDENÍ ČIDLA NA MĚŘEN</t>
  </si>
  <si>
    <t>56125</t>
  </si>
  <si>
    <t>OPERAČNÍ REVIZE NEBO ZAVEDENÍ DRENÁŽE MOZKOMÍŠNÍHO</t>
  </si>
  <si>
    <t>606</t>
  </si>
  <si>
    <t>66031</t>
  </si>
  <si>
    <t>PREVENTIVNÍ VYŠETŘENÍ KYČELNÍCH KLOUBŮ U KOJENCE</t>
  </si>
  <si>
    <t>7F6</t>
  </si>
  <si>
    <t>76335</t>
  </si>
  <si>
    <t>OPERAČNÍ REVIZE PERIRENÁLNÍCH NEBO PERIURETERÁLNÍC</t>
  </si>
  <si>
    <t>10</t>
  </si>
  <si>
    <t>Zdravotní výkony vykázané na pracovišti pro pacienty hospitalizované ve FNOL - orientační přehled</t>
  </si>
  <si>
    <t>05422</t>
  </si>
  <si>
    <t>A</t>
  </si>
  <si>
    <t xml:space="preserve">SRDEČNÍ ARYTMIE A PORUCHY VEDENÍ S CC                                                               </t>
  </si>
  <si>
    <t>06383</t>
  </si>
  <si>
    <t xml:space="preserve">JINÉ PORUCHY TRÁVICÍHO SYSTÉMU S MCC                                                                </t>
  </si>
  <si>
    <t>10302</t>
  </si>
  <si>
    <t xml:space="preserve">DIABETES, NUTRIČNÍ A JINÉ METABOLICKÉ PORUCHY S CC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</si>
  <si>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</si>
  <si>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</si>
  <si>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</si>
  <si>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</si>
  <si>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</si>
  <si>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</si>
  <si>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</si>
  <si>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</si>
  <si>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                                             </t>
  </si>
  <si>
    <t>15633</t>
  </si>
  <si>
    <t xml:space="preserve">NOVOROZENEC, VÁHA PŘI PORODU &lt;=1000G, BEZ ZÁKLADNÍHO VÝ                                             </t>
  </si>
  <si>
    <t>15642</t>
  </si>
  <si>
    <t xml:space="preserve">NOVOROZENEC, VÁHA PŘI PORODU 1000-1499G, SE ZÁKLADNÍM V                                             </t>
  </si>
  <si>
    <t>15643</t>
  </si>
  <si>
    <t>15651</t>
  </si>
  <si>
    <t xml:space="preserve">NOVOROZENEC, VÁHA PŘI PORODU 1000-1499G, BEZ ZÁKLADNÍHO                                             </t>
  </si>
  <si>
    <t>15652</t>
  </si>
  <si>
    <t>15653</t>
  </si>
  <si>
    <t>15662</t>
  </si>
  <si>
    <t xml:space="preserve">NOVOROZENEC, VÁHA PŘI PORODU 1500-1999G, SE ZÁKLADNÍM V                                             </t>
  </si>
  <si>
    <t>15663</t>
  </si>
  <si>
    <t>15671</t>
  </si>
  <si>
    <t xml:space="preserve">NOVOROZENEC, VÁHA PŘI PORODU 1500-1999G, BEZ ZÁKLADNÍHO                                             </t>
  </si>
  <si>
    <t>15672</t>
  </si>
  <si>
    <t>15673</t>
  </si>
  <si>
    <t>15691</t>
  </si>
  <si>
    <t xml:space="preserve">NOVOROZENEC, VÁHA PŘI PORODU 2000-2499G, BEZ ZÁKLADNÍHO                                             </t>
  </si>
  <si>
    <t>15692</t>
  </si>
  <si>
    <t>15693</t>
  </si>
  <si>
    <t>15702</t>
  </si>
  <si>
    <t xml:space="preserve">NOVOROZENEC, VÁHA PŘI PORODU &gt;2499G, SE ZÁKLADNÍM VÝKON                                             </t>
  </si>
  <si>
    <t>15703</t>
  </si>
  <si>
    <t>15711</t>
  </si>
  <si>
    <t xml:space="preserve">NOVOROZENEC, VÁHA PŘI PORODU &gt;2499G, S VÁŽNOU ANOMÁLIÍ                                              </t>
  </si>
  <si>
    <t>15712</t>
  </si>
  <si>
    <t>15713</t>
  </si>
  <si>
    <t>15720</t>
  </si>
  <si>
    <t xml:space="preserve">NOVOROZENEC, VÁHA PŘI PORODU &gt; 2499G, SE SYNDROMEM DÝCH                                             </t>
  </si>
  <si>
    <t>15733</t>
  </si>
  <si>
    <t xml:space="preserve">NOVOROZENEC, VÁHA PŘI PORODU &gt; 2499G, S ASPIRAČNÍM SYND                                             </t>
  </si>
  <si>
    <t>15741</t>
  </si>
  <si>
    <t xml:space="preserve">NOVOROZENEC, VÁHA PŘI PORODU &gt; 2499G, S VROZENOU NEBO P                                             </t>
  </si>
  <si>
    <t>15742</t>
  </si>
  <si>
    <t>15743</t>
  </si>
  <si>
    <t>15751</t>
  </si>
  <si>
    <t xml:space="preserve">NOVOROZENEC, VÁHA PŘI PORODU &gt; 2499G, BEZ ZÁKLADNÍHO VÝ                                             </t>
  </si>
  <si>
    <t>15752</t>
  </si>
  <si>
    <t>15753</t>
  </si>
  <si>
    <t>23013</t>
  </si>
  <si>
    <t xml:space="preserve">OPERAČNÍ VÝKON S DIAGNÓZOU JINÉHO KONTAKTU SE ZDRAVOTNI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</si>
  <si>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</si>
  <si>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</si>
  <si>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</si>
  <si>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</si>
  <si>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</si>
  <si>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</si>
  <si>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</si>
  <si>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</si>
  <si>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</si>
  <si>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</si>
  <si>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</si>
  <si>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</si>
  <si>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</si>
  <si>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</si>
  <si>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</si>
  <si>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</si>
  <si>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</si>
  <si>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28</t>
  </si>
  <si>
    <t>816</t>
  </si>
  <si>
    <t>94181</t>
  </si>
  <si>
    <t>ZHOTOVENÍ KARYOTYPU Z JEDNÉ MITÓZY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</si>
  <si>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</si>
  <si>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</si>
  <si>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</si>
  <si>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</si>
  <si>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</si>
  <si>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</si>
  <si>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32</t>
  </si>
  <si>
    <t>94191</t>
  </si>
  <si>
    <t>FOTOGRAFIE GELU</t>
  </si>
  <si>
    <t>94193</t>
  </si>
  <si>
    <t>ELEKTROFORÉZA NUKLEOVÝCH KYSELIN</t>
  </si>
  <si>
    <t>94199</t>
  </si>
  <si>
    <t>AMPLIFIKACE METODOU PCR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</si>
  <si>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</si>
  <si>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</si>
  <si>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</si>
  <si>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</si>
  <si>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</si>
  <si>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</si>
  <si>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</si>
  <si>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</si>
  <si>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</si>
  <si>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</si>
  <si>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</si>
  <si>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</si>
  <si>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</si>
  <si>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</si>
  <si>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</si>
  <si>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</si>
  <si>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</si>
  <si>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</si>
  <si>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</si>
  <si>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</si>
  <si>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</si>
  <si>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</si>
  <si>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</si>
  <si>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</si>
  <si>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</si>
  <si>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</si>
  <si>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</si>
  <si>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96163</t>
  </si>
  <si>
    <t>KREVNÍ OBRAZ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</si>
  <si>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</si>
  <si>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</si>
  <si>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</si>
  <si>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</si>
  <si>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</si>
  <si>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</si>
  <si>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</si>
  <si>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</si>
  <si>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96199</t>
  </si>
  <si>
    <t>PROTEIN C - FUNKČNÍ AKTIVITA</t>
  </si>
  <si>
    <t>96879</t>
  </si>
  <si>
    <t>DRVVT - SCREENING LA</t>
  </si>
  <si>
    <t>91435</t>
  </si>
  <si>
    <t>DVOUSTUPŇOVÁ IZOLACE GRANULOCYTŮ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</si>
  <si>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</si>
  <si>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</si>
  <si>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</si>
  <si>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</si>
  <si>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</si>
  <si>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</si>
  <si>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</si>
  <si>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</si>
  <si>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</si>
  <si>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</si>
  <si>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</si>
  <si>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</si>
  <si>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</si>
  <si>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</si>
  <si>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</si>
  <si>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</si>
  <si>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</si>
  <si>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</si>
  <si>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81221</t>
  </si>
  <si>
    <t>POTNÍ TEST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</si>
  <si>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</si>
  <si>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</si>
  <si>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</si>
  <si>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</si>
  <si>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</si>
  <si>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</si>
  <si>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81341</t>
  </si>
  <si>
    <t>AMONIAK</t>
  </si>
  <si>
    <t>81347</t>
  </si>
  <si>
    <t>ANALÝZA MOČI CHEMICKY A MIKROSKOPICKY</t>
  </si>
  <si>
    <t>81351</t>
  </si>
  <si>
    <t>ANDROSTENDION</t>
  </si>
  <si>
    <t>81377</t>
  </si>
  <si>
    <t>SACHARIDY TENKOVRSTEVNOU CHROMATOGRAFIÍ V MOČI</t>
  </si>
  <si>
    <t>81391</t>
  </si>
  <si>
    <t>DISACHARIDY</t>
  </si>
  <si>
    <t>81427</t>
  </si>
  <si>
    <t>FOSFOR ANORGANICKÝ</t>
  </si>
  <si>
    <t>81481</t>
  </si>
  <si>
    <t>AMYLÁZA PANKREATICKÁ</t>
  </si>
  <si>
    <t>81521</t>
  </si>
  <si>
    <t>LAKTÁT (KYSELINA MLÉČNÁ)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</si>
  <si>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</si>
  <si>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</si>
  <si>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</si>
  <si>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</si>
  <si>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</si>
  <si>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</si>
  <si>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</si>
  <si>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</si>
  <si>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</si>
  <si>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</si>
  <si>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</si>
  <si>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</si>
  <si>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</si>
  <si>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</si>
  <si>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</si>
  <si>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</si>
  <si>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</si>
  <si>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</si>
  <si>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91141</t>
  </si>
  <si>
    <t>STANOVENÍ CERULOPLASMINU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</si>
  <si>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</si>
  <si>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</si>
  <si>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</si>
  <si>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</si>
  <si>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</si>
  <si>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</si>
  <si>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</si>
  <si>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</si>
  <si>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</si>
  <si>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</si>
  <si>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</si>
  <si>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</si>
  <si>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</si>
  <si>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</si>
  <si>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</si>
  <si>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</si>
  <si>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</si>
  <si>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</si>
  <si>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</si>
  <si>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</si>
  <si>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</si>
  <si>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</si>
  <si>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</si>
  <si>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</si>
  <si>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</si>
  <si>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</si>
  <si>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93267</t>
  </si>
  <si>
    <t>VOLNÝ TESTOSTERON</t>
  </si>
  <si>
    <t>81119</t>
  </si>
  <si>
    <t>AMONIAK STATIM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</si>
  <si>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</si>
  <si>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</si>
  <si>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</si>
  <si>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</si>
  <si>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</si>
  <si>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</si>
  <si>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</si>
  <si>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</si>
  <si>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</si>
  <si>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</si>
  <si>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</si>
  <si>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</si>
  <si>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</si>
  <si>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</si>
  <si>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</si>
  <si>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</si>
  <si>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</si>
  <si>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</si>
  <si>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</si>
  <si>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</si>
  <si>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</si>
  <si>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</si>
  <si>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</si>
  <si>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</si>
  <si>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</si>
  <si>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</si>
  <si>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</si>
  <si>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</si>
  <si>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</si>
  <si>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</si>
  <si>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</si>
  <si>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</si>
  <si>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</si>
  <si>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</si>
  <si>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</si>
  <si>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</si>
  <si>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</si>
  <si>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</si>
  <si>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</si>
  <si>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</si>
  <si>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</si>
  <si>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</si>
  <si>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</si>
  <si>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</si>
  <si>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</si>
  <si>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</si>
  <si>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</si>
  <si>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</si>
  <si>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93235</t>
  </si>
  <si>
    <t>AUTOPROTILÁTKY PROTI RECEPTORŮM (hTSH)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</si>
  <si>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</si>
  <si>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</si>
  <si>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</si>
  <si>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</si>
  <si>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</si>
  <si>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</si>
  <si>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</si>
  <si>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</si>
  <si>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</si>
  <si>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</si>
  <si>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</si>
  <si>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</si>
  <si>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</si>
  <si>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</si>
  <si>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</si>
  <si>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</si>
  <si>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</si>
  <si>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</si>
  <si>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</si>
  <si>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</si>
  <si>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</si>
  <si>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</si>
  <si>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</si>
  <si>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</si>
  <si>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</si>
  <si>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</si>
  <si>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</si>
  <si>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</si>
  <si>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</si>
  <si>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</si>
  <si>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</si>
  <si>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</si>
  <si>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</si>
  <si>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</si>
  <si>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</si>
  <si>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</si>
  <si>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</si>
  <si>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</si>
  <si>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</si>
  <si>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</si>
  <si>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</si>
  <si>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</si>
  <si>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</si>
  <si>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</si>
  <si>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</si>
  <si>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</si>
  <si>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93183</t>
  </si>
  <si>
    <t>SEXUÁLNÍ HORMONY VÁZAJÍCÍ GLOBULIN (SHBG)</t>
  </si>
  <si>
    <t>81123</t>
  </si>
  <si>
    <t>BILIRUBIN KONJUGOVANÝ STATIM</t>
  </si>
  <si>
    <t>81475</t>
  </si>
  <si>
    <t>CHOLINESTERÁZA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</si>
  <si>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</si>
  <si>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</si>
  <si>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</si>
  <si>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</si>
  <si>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</si>
  <si>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</si>
  <si>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</si>
  <si>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</si>
  <si>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</si>
  <si>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</si>
  <si>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</si>
  <si>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</si>
  <si>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</si>
  <si>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</si>
  <si>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</si>
  <si>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</si>
  <si>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</si>
  <si>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</si>
  <si>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</si>
  <si>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</si>
  <si>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</si>
  <si>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</si>
  <si>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</si>
  <si>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</si>
  <si>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</si>
  <si>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</si>
  <si>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</si>
  <si>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</si>
  <si>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</si>
  <si>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</si>
  <si>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</si>
  <si>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</si>
  <si>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</si>
  <si>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</si>
  <si>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</si>
  <si>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</si>
  <si>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</si>
  <si>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</si>
  <si>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</si>
  <si>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</si>
  <si>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</si>
  <si>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</si>
  <si>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0017039</t>
  </si>
  <si>
    <t>VISIPAQUE 320 MG I/ML</t>
  </si>
  <si>
    <t>0022075</t>
  </si>
  <si>
    <t>IOMERON 400</t>
  </si>
  <si>
    <t>0042433</t>
  </si>
  <si>
    <t>0045119</t>
  </si>
  <si>
    <t>VISIPAQUE 270 MG I/ML</t>
  </si>
  <si>
    <t>0045123</t>
  </si>
  <si>
    <t>0045124</t>
  </si>
  <si>
    <t>0077018</t>
  </si>
  <si>
    <t>ULTRAVIST 370</t>
  </si>
  <si>
    <t>0077019</t>
  </si>
  <si>
    <t>0077024</t>
  </si>
  <si>
    <t>ULTRAVIST 300</t>
  </si>
  <si>
    <t>0093626</t>
  </si>
  <si>
    <t>0151208</t>
  </si>
  <si>
    <t>0038482</t>
  </si>
  <si>
    <t>DRÁT VODÍCÍ GUIDE WIRE M</t>
  </si>
  <si>
    <t>0052140</t>
  </si>
  <si>
    <t>KATETR BALÓNKOVÝ PTA - WANDA; SMASH</t>
  </si>
  <si>
    <t>0053563</t>
  </si>
  <si>
    <t>KATETR DIAGNOSTICKÝ TEMPO4F,5F</t>
  </si>
  <si>
    <t>0059345</t>
  </si>
  <si>
    <t>INDEFLÁTOR - ZAŘÍZENÍ INSUFLAČNÍ - INFLATION DEVIC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</si>
  <si>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</si>
  <si>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</si>
  <si>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</si>
  <si>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</si>
  <si>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</si>
  <si>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</si>
  <si>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</si>
  <si>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</si>
  <si>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</si>
  <si>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</si>
  <si>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</si>
  <si>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</si>
  <si>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</si>
  <si>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</si>
  <si>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</si>
  <si>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</si>
  <si>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</si>
  <si>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</si>
  <si>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</si>
  <si>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</si>
  <si>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</si>
  <si>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</si>
  <si>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</si>
  <si>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</si>
  <si>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</si>
  <si>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</si>
  <si>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</si>
  <si>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</si>
  <si>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</si>
  <si>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</si>
  <si>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</si>
  <si>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</si>
  <si>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</si>
  <si>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</si>
  <si>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</si>
  <si>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</si>
  <si>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</si>
  <si>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</si>
  <si>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</si>
  <si>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</si>
  <si>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</si>
  <si>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</si>
  <si>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</si>
  <si>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</si>
  <si>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89155</t>
  </si>
  <si>
    <t>RTG VYŠETŘENÍ TLUSTÉHO STŘEVA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</si>
  <si>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</si>
  <si>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</si>
  <si>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</si>
  <si>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</si>
  <si>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</si>
  <si>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</si>
  <si>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</si>
  <si>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</si>
  <si>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</si>
  <si>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</si>
  <si>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</si>
  <si>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</si>
  <si>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</si>
  <si>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22319</t>
  </si>
  <si>
    <t>ELUCE ANTIERYTROCYTÁRNÍCH PROTILÁTEK METODOU MRAZO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</si>
  <si>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</si>
  <si>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</si>
  <si>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</si>
  <si>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</si>
  <si>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</si>
  <si>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</si>
  <si>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</si>
  <si>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</si>
  <si>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</si>
  <si>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</si>
  <si>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</si>
  <si>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</si>
  <si>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</si>
  <si>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</si>
  <si>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</si>
  <si>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</si>
  <si>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</si>
  <si>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</si>
  <si>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</si>
  <si>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</si>
  <si>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</si>
  <si>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</si>
  <si>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</si>
  <si>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</si>
  <si>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</si>
  <si>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</si>
  <si>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</si>
  <si>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</si>
  <si>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</si>
  <si>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</si>
  <si>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</si>
  <si>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</si>
  <si>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</si>
  <si>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</si>
  <si>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</si>
  <si>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</si>
  <si>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</si>
  <si>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</si>
  <si>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</si>
  <si>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</si>
  <si>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</si>
  <si>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</si>
  <si>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</si>
  <si>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</si>
  <si>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</si>
  <si>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</si>
  <si>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</si>
  <si>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</si>
  <si>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</si>
  <si>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</si>
  <si>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</si>
  <si>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</si>
  <si>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</si>
  <si>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</si>
  <si>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</si>
  <si>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</si>
  <si>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</si>
  <si>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</si>
  <si>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</si>
  <si>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</si>
  <si>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</si>
  <si>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</si>
  <si>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</si>
  <si>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</si>
  <si>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</si>
  <si>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</si>
  <si>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</si>
  <si>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</si>
  <si>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</si>
  <si>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</si>
  <si>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</si>
  <si>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</si>
  <si>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</si>
  <si>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</si>
  <si>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</si>
  <si>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</si>
  <si>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</si>
  <si>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</si>
  <si>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</si>
  <si>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</si>
  <si>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</si>
  <si>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</si>
  <si>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</si>
  <si>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</si>
  <si>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</si>
  <si>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</si>
  <si>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</si>
  <si>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</si>
  <si>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</si>
  <si>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</si>
  <si>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</si>
  <si>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</si>
  <si>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</si>
  <si>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</si>
  <si>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</si>
  <si>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</si>
  <si>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82059</t>
  </si>
  <si>
    <t>IDENTIFIKACE KMENE PODROBNÁ</t>
  </si>
  <si>
    <t>82015</t>
  </si>
  <si>
    <t>KVANTITATIVNÍ KULTIVAČNÍ VYŠETŘENÍ MOČI</t>
  </si>
  <si>
    <t>82063</t>
  </si>
  <si>
    <t>STANOVENÍ CITLIVOSTI NA ATB KVALITATIVNÍ METODOU</t>
  </si>
  <si>
    <t>82083</t>
  </si>
  <si>
    <t>PRŮKAZ BAKTERIÁLNÍHO TOXINU BIOLOGICKÝM POKUSEM NA</t>
  </si>
  <si>
    <t>82233</t>
  </si>
  <si>
    <t>IDENTIFIKACE MYKOPLASMAT</t>
  </si>
  <si>
    <t>82149</t>
  </si>
  <si>
    <t>SEROTYPIZACE STŘEVNÍCH A JINÝCH PATOGENŮ</t>
  </si>
  <si>
    <t>41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</si>
  <si>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</si>
  <si>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</si>
  <si>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</si>
  <si>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</si>
  <si>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</si>
  <si>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</si>
  <si>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</si>
  <si>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</si>
  <si>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</si>
  <si>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</si>
  <si>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91317</t>
  </si>
  <si>
    <t>PRŮKAZ ANTINUKLEÁRNÍCH PROTILÁTEK - JINÉ SUBSTRÁTY</t>
  </si>
  <si>
    <t>91567</t>
  </si>
  <si>
    <t>IMUNOANALYTICKÉ STANOVENÍ AUTOPROTILÁTEK</t>
  </si>
  <si>
    <t>91355</t>
  </si>
  <si>
    <t>STANOVENÍ CIK METODOU PEG-IKEM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</si>
  <si>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</si>
  <si>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</si>
  <si>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</si>
  <si>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</si>
  <si>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</si>
  <si>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</si>
  <si>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91133</t>
  </si>
  <si>
    <t>STANOVENÍ IgM</t>
  </si>
  <si>
    <t>91265</t>
  </si>
  <si>
    <t>STANOVENÍ ANTI SS-B/La Ab ELISA</t>
  </si>
  <si>
    <t>91263</t>
  </si>
  <si>
    <t>STANOVENÍ ANTI SS-A/Ro Ab ELISA</t>
  </si>
  <si>
    <t>91253</t>
  </si>
  <si>
    <t>STANOVENÍ ANTI ds-DNA Ab ELISA</t>
  </si>
  <si>
    <t>91159</t>
  </si>
  <si>
    <t>STANOVENÍ C3 SLOŽKY KOMPLEMENTU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</si>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</sst>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84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2" xfId="53" applyNumberFormat="1" applyFont="1" applyFill="1" applyBorder="1"/>
    <xf numFmtId="9" fontId="3" fillId="0" borderId="6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7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6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6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7" xfId="33" applyFont="1" applyFill="1" applyBorder="1" applyAlignment="1">
      <alignment horizontal="center" vertical="center"/>
    </xf>
    <xf numFmtId="9" fontId="3" fillId="0" borderId="6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60" xfId="53" applyFont="1" applyFill="1" applyBorder="1" applyAlignment="1">
      <alignment horizontal="right"/>
    </xf>
    <xf numFmtId="164" fontId="34" fillId="0" borderId="65" xfId="53" applyNumberFormat="1" applyFont="1" applyFill="1" applyBorder="1"/>
    <xf numFmtId="164" fontId="34" fillId="0" borderId="66" xfId="53" applyNumberFormat="1" applyFont="1" applyFill="1" applyBorder="1"/>
    <xf numFmtId="9" fontId="34" fillId="0" borderId="67" xfId="83" applyNumberFormat="1" applyFont="1" applyFill="1" applyBorder="1"/>
    <xf numFmtId="3" fontId="34" fillId="0" borderId="6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45" xfId="0" applyFont="1" applyFill="1" applyBorder="1" applyAlignment="1">
      <alignment horizontal="center"/>
    </xf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3" fontId="3" fillId="0" borderId="63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4" xfId="53" applyNumberFormat="1" applyFont="1" applyFill="1" applyBorder="1"/>
    <xf numFmtId="3" fontId="3" fillId="0" borderId="69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1" xfId="26" applyNumberFormat="1" applyFont="1" applyFill="1" applyBorder="1"/>
    <xf numFmtId="3" fontId="32" fillId="7" borderId="54" xfId="26" applyNumberFormat="1" applyFont="1" applyFill="1" applyBorder="1"/>
    <xf numFmtId="167" fontId="34" fillId="7" borderId="59" xfId="86" applyNumberFormat="1" applyFont="1" applyFill="1" applyBorder="1" applyAlignment="1">
      <alignment horizontal="right"/>
    </xf>
    <xf numFmtId="3" fontId="32" fillId="7" borderId="72" xfId="26" applyNumberFormat="1" applyFont="1" applyFill="1" applyBorder="1"/>
    <xf numFmtId="167" fontId="34" fillId="7" borderId="59" xfId="86" applyNumberFormat="1" applyFont="1" applyFill="1" applyBorder="1"/>
    <xf numFmtId="3" fontId="32" fillId="0" borderId="71" xfId="26" applyNumberFormat="1" applyFont="1" applyFill="1" applyBorder="1" applyAlignment="1">
      <alignment horizontal="center"/>
    </xf>
    <xf numFmtId="3" fontId="32" fillId="0" borderId="59" xfId="26" applyNumberFormat="1" applyFont="1" applyFill="1" applyBorder="1" applyAlignment="1">
      <alignment horizontal="center"/>
    </xf>
    <xf numFmtId="3" fontId="32" fillId="7" borderId="71" xfId="26" applyNumberFormat="1" applyFont="1" applyFill="1" applyBorder="1" applyAlignment="1">
      <alignment horizontal="center"/>
    </xf>
    <xf numFmtId="3" fontId="32" fillId="7" borderId="5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5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6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53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3" xfId="0" applyNumberFormat="1" applyFont="1" applyFill="1" applyBorder="1"/>
    <xf numFmtId="3" fontId="60" fillId="9" borderId="74" xfId="0" applyNumberFormat="1" applyFont="1" applyFill="1" applyBorder="1"/>
    <xf numFmtId="3" fontId="60" fillId="9" borderId="73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77" xfId="0" applyNumberFormat="1" applyFont="1" applyFill="1" applyBorder="1" applyAlignment="1">
      <alignment horizontal="center" vertical="center"/>
    </xf>
    <xf numFmtId="0" fontId="42" fillId="2" borderId="78" xfId="0" applyFont="1" applyFill="1" applyBorder="1" applyAlignment="1">
      <alignment horizontal="center" vertical="center"/>
    </xf>
    <xf numFmtId="3" fontId="62" fillId="2" borderId="80" xfId="0" applyNumberFormat="1" applyFont="1" applyFill="1" applyBorder="1" applyAlignment="1">
      <alignment horizontal="center" vertical="center" wrapText="1"/>
    </xf>
    <xf numFmtId="0" fontId="62" fillId="2" borderId="81" xfId="0" applyFont="1" applyFill="1" applyBorder="1" applyAlignment="1">
      <alignment horizontal="center" vertical="center" wrapText="1"/>
    </xf>
    <xf numFmtId="0" fontId="42" fillId="2" borderId="83" xfId="0" applyFont="1" applyFill="1" applyBorder="1" applyAlignment="1"/>
    <xf numFmtId="0" fontId="42" fillId="2" borderId="85" xfId="0" applyFont="1" applyFill="1" applyBorder="1" applyAlignment="1">
      <alignment horizontal="left" indent="1"/>
    </xf>
    <xf numFmtId="0" fontId="42" fillId="2" borderId="91" xfId="0" applyFont="1" applyFill="1" applyBorder="1" applyAlignment="1">
      <alignment horizontal="left" indent="1"/>
    </xf>
    <xf numFmtId="0" fontId="42" fillId="4" borderId="83" xfId="0" applyFont="1" applyFill="1" applyBorder="1" applyAlignment="1"/>
    <xf numFmtId="0" fontId="42" fillId="4" borderId="85" xfId="0" applyFont="1" applyFill="1" applyBorder="1" applyAlignment="1">
      <alignment horizontal="left" indent="1"/>
    </xf>
    <xf numFmtId="0" fontId="42" fillId="4" borderId="96" xfId="0" applyFont="1" applyFill="1" applyBorder="1" applyAlignment="1">
      <alignment horizontal="left" indent="1"/>
    </xf>
    <xf numFmtId="0" fontId="35" fillId="2" borderId="85" xfId="0" quotePrefix="1" applyFont="1" applyFill="1" applyBorder="1" applyAlignment="1">
      <alignment horizontal="left" indent="2"/>
    </xf>
    <xf numFmtId="0" fontId="35" fillId="2" borderId="91" xfId="0" quotePrefix="1" applyFont="1" applyFill="1" applyBorder="1" applyAlignment="1">
      <alignment horizontal="left" indent="2"/>
    </xf>
    <xf numFmtId="0" fontId="42" fillId="2" borderId="83" xfId="0" applyFont="1" applyFill="1" applyBorder="1" applyAlignment="1">
      <alignment horizontal="left" indent="1"/>
    </xf>
    <xf numFmtId="0" fontId="42" fillId="2" borderId="96" xfId="0" applyFont="1" applyFill="1" applyBorder="1" applyAlignment="1">
      <alignment horizontal="left" indent="1"/>
    </xf>
    <xf numFmtId="0" fontId="42" fillId="4" borderId="91" xfId="0" applyFont="1" applyFill="1" applyBorder="1" applyAlignment="1">
      <alignment horizontal="left" indent="1"/>
    </xf>
    <xf numFmtId="0" fontId="35" fillId="0" borderId="101" xfId="0" applyFont="1" applyBorder="1"/>
    <xf numFmtId="3" fontId="35" fillId="0" borderId="101" xfId="0" applyNumberFormat="1" applyFont="1" applyBorder="1"/>
    <xf numFmtId="0" fontId="42" fillId="4" borderId="75" xfId="0" applyFont="1" applyFill="1" applyBorder="1" applyAlignment="1">
      <alignment horizontal="center" vertical="center"/>
    </xf>
    <xf numFmtId="0" fontId="42" fillId="4" borderId="5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00" xfId="0" applyNumberFormat="1" applyFont="1" applyFill="1" applyBorder="1" applyAlignment="1">
      <alignment horizontal="center" vertical="center"/>
    </xf>
    <xf numFmtId="3" fontId="62" fillId="2" borderId="98" xfId="0" applyNumberFormat="1" applyFont="1" applyFill="1" applyBorder="1" applyAlignment="1">
      <alignment horizontal="center" vertical="center" wrapText="1"/>
    </xf>
    <xf numFmtId="173" fontId="42" fillId="4" borderId="84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4" borderId="78" xfId="0" applyNumberFormat="1" applyFont="1" applyFill="1" applyBorder="1" applyAlignment="1"/>
    <xf numFmtId="173" fontId="42" fillId="0" borderId="86" xfId="0" applyNumberFormat="1" applyFont="1" applyBorder="1"/>
    <xf numFmtId="173" fontId="35" fillId="0" borderId="90" xfId="0" applyNumberFormat="1" applyFont="1" applyBorder="1"/>
    <xf numFmtId="173" fontId="35" fillId="0" borderId="88" xfId="0" applyNumberFormat="1" applyFont="1" applyBorder="1"/>
    <xf numFmtId="173" fontId="42" fillId="0" borderId="97" xfId="0" applyNumberFormat="1" applyFont="1" applyBorder="1"/>
    <xf numFmtId="173" fontId="35" fillId="0" borderId="98" xfId="0" applyNumberFormat="1" applyFont="1" applyBorder="1"/>
    <xf numFmtId="173" fontId="35" fillId="0" borderId="81" xfId="0" applyNumberFormat="1" applyFont="1" applyBorder="1"/>
    <xf numFmtId="173" fontId="42" fillId="2" borderId="99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2" borderId="78" xfId="0" applyNumberFormat="1" applyFont="1" applyFill="1" applyBorder="1" applyAlignment="1"/>
    <xf numFmtId="173" fontId="42" fillId="0" borderId="92" xfId="0" applyNumberFormat="1" applyFont="1" applyBorder="1"/>
    <xf numFmtId="173" fontId="35" fillId="0" borderId="93" xfId="0" applyNumberFormat="1" applyFont="1" applyBorder="1"/>
    <xf numFmtId="173" fontId="35" fillId="0" borderId="94" xfId="0" applyNumberFormat="1" applyFont="1" applyBorder="1"/>
    <xf numFmtId="173" fontId="42" fillId="0" borderId="84" xfId="0" applyNumberFormat="1" applyFont="1" applyBorder="1"/>
    <xf numFmtId="173" fontId="35" fillId="0" borderId="100" xfId="0" applyNumberFormat="1" applyFont="1" applyBorder="1"/>
    <xf numFmtId="173" fontId="35" fillId="0" borderId="78" xfId="0" applyNumberFormat="1" applyFont="1" applyBorder="1"/>
    <xf numFmtId="174" fontId="42" fillId="2" borderId="84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35" fillId="2" borderId="78" xfId="0" applyNumberFormat="1" applyFont="1" applyFill="1" applyBorder="1" applyAlignment="1"/>
    <xf numFmtId="174" fontId="42" fillId="0" borderId="86" xfId="0" applyNumberFormat="1" applyFont="1" applyBorder="1"/>
    <xf numFmtId="174" fontId="35" fillId="0" borderId="87" xfId="0" applyNumberFormat="1" applyFont="1" applyBorder="1"/>
    <xf numFmtId="174" fontId="35" fillId="0" borderId="88" xfId="0" applyNumberFormat="1" applyFont="1" applyBorder="1"/>
    <xf numFmtId="174" fontId="35" fillId="0" borderId="90" xfId="0" applyNumberFormat="1" applyFont="1" applyBorder="1"/>
    <xf numFmtId="174" fontId="42" fillId="0" borderId="92" xfId="0" applyNumberFormat="1" applyFont="1" applyBorder="1"/>
    <xf numFmtId="174" fontId="35" fillId="0" borderId="93" xfId="0" applyNumberFormat="1" applyFont="1" applyBorder="1"/>
    <xf numFmtId="174" fontId="35" fillId="0" borderId="94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84" xfId="0" applyNumberFormat="1" applyFont="1" applyFill="1" applyBorder="1" applyAlignment="1">
      <alignment horizontal="center"/>
    </xf>
    <xf numFmtId="175" fontId="42" fillId="0" borderId="92" xfId="0" applyNumberFormat="1" applyFont="1" applyBorder="1"/>
    <xf numFmtId="0" fontId="34" fillId="2" borderId="109" xfId="74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5" xfId="53" applyNumberFormat="1" applyFont="1" applyFill="1" applyBorder="1"/>
    <xf numFmtId="3" fontId="34" fillId="0" borderId="66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9" xfId="0" applyFont="1" applyFill="1" applyBorder="1"/>
    <xf numFmtId="0" fontId="35" fillId="0" borderId="90" xfId="0" applyFont="1" applyBorder="1" applyAlignment="1"/>
    <xf numFmtId="9" fontId="35" fillId="0" borderId="88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01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86" xfId="0" applyNumberFormat="1" applyFont="1" applyBorder="1"/>
    <xf numFmtId="9" fontId="35" fillId="0" borderId="90" xfId="0" applyNumberFormat="1" applyFont="1" applyBorder="1"/>
    <xf numFmtId="9" fontId="35" fillId="0" borderId="88" xfId="0" applyNumberFormat="1" applyFont="1" applyBorder="1"/>
    <xf numFmtId="0" fontId="43" fillId="0" borderId="101" xfId="0" applyFont="1" applyFill="1" applyBorder="1" applyAlignment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70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9" xfId="81" applyFont="1" applyFill="1" applyBorder="1" applyAlignment="1">
      <alignment horizontal="center"/>
    </xf>
    <xf numFmtId="0" fontId="34" fillId="2" borderId="105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8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8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2" xfId="80" applyFont="1" applyFill="1" applyBorder="1" applyAlignment="1">
      <alignment horizontal="left"/>
    </xf>
    <xf numFmtId="166" fontId="42" fillId="2" borderId="7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56" xfId="0" applyFont="1" applyFill="1" applyBorder="1" applyAlignment="1">
      <alignment vertical="center"/>
    </xf>
    <xf numFmtId="3" fontId="34" fillId="2" borderId="58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110" xfId="26" applyNumberFormat="1" applyFont="1" applyFill="1" applyBorder="1" applyAlignment="1">
      <alignment horizontal="center"/>
    </xf>
    <xf numFmtId="3" fontId="34" fillId="2" borderId="101" xfId="26" applyNumberFormat="1" applyFont="1" applyFill="1" applyBorder="1" applyAlignment="1">
      <alignment horizontal="center"/>
    </xf>
    <xf numFmtId="3" fontId="34" fillId="2" borderId="7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8" xfId="0" quotePrefix="1" applyFont="1" applyFill="1" applyBorder="1" applyAlignment="1">
      <alignment horizontal="center"/>
    </xf>
    <xf numFmtId="0" fontId="34" fillId="2" borderId="46" xfId="0" applyFont="1" applyFill="1" applyBorder="1" applyAlignment="1">
      <alignment horizontal="center"/>
    </xf>
    <xf numFmtId="9" fontId="47" fillId="2" borderId="46" xfId="0" applyNumberFormat="1" applyFont="1" applyFill="1" applyBorder="1" applyAlignment="1">
      <alignment horizontal="center" vertical="top"/>
    </xf>
    <xf numFmtId="0" fontId="34" fillId="2" borderId="75" xfId="0" applyNumberFormat="1" applyFont="1" applyFill="1" applyBorder="1" applyAlignment="1">
      <alignment horizontal="center" vertical="top"/>
    </xf>
    <xf numFmtId="0" fontId="34" fillId="2" borderId="75" xfId="0" applyFont="1" applyFill="1" applyBorder="1" applyAlignment="1">
      <alignment horizontal="center" vertical="top" wrapText="1"/>
    </xf>
    <xf numFmtId="0" fontId="34" fillId="2" borderId="58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8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8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 vertical="center" wrapText="1"/>
    </xf>
    <xf numFmtId="3" fontId="34" fillId="3" borderId="58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7" xfId="26" applyNumberFormat="1" applyFont="1" applyFill="1" applyBorder="1" applyAlignment="1">
      <alignment horizontal="center" vertical="center"/>
    </xf>
    <xf numFmtId="3" fontId="3" fillId="2" borderId="58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8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8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8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4" xfId="0" applyNumberFormat="1" applyFont="1" applyFill="1" applyBorder="1" applyAlignment="1">
      <alignment horizontal="right" vertical="top"/>
    </xf>
    <xf numFmtId="3" fontId="36" fillId="10" borderId="115" xfId="0" applyNumberFormat="1" applyFont="1" applyFill="1" applyBorder="1" applyAlignment="1">
      <alignment horizontal="right" vertical="top"/>
    </xf>
    <xf numFmtId="176" fontId="36" fillId="10" borderId="116" xfId="0" applyNumberFormat="1" applyFont="1" applyFill="1" applyBorder="1" applyAlignment="1">
      <alignment horizontal="right" vertical="top"/>
    </xf>
    <xf numFmtId="3" fontId="36" fillId="0" borderId="114" xfId="0" applyNumberFormat="1" applyFont="1" applyBorder="1" applyAlignment="1">
      <alignment horizontal="right" vertical="top"/>
    </xf>
    <xf numFmtId="176" fontId="36" fillId="10" borderId="117" xfId="0" applyNumberFormat="1" applyFont="1" applyFill="1" applyBorder="1" applyAlignment="1">
      <alignment horizontal="right" vertical="top"/>
    </xf>
    <xf numFmtId="3" fontId="38" fillId="10" borderId="119" xfId="0" applyNumberFormat="1" applyFont="1" applyFill="1" applyBorder="1" applyAlignment="1">
      <alignment horizontal="right" vertical="top"/>
    </xf>
    <xf numFmtId="3" fontId="38" fillId="10" borderId="120" xfId="0" applyNumberFormat="1" applyFont="1" applyFill="1" applyBorder="1" applyAlignment="1">
      <alignment horizontal="right" vertical="top"/>
    </xf>
    <xf numFmtId="0" fontId="38" fillId="10" borderId="121" xfId="0" applyFont="1" applyFill="1" applyBorder="1" applyAlignment="1">
      <alignment horizontal="right" vertical="top"/>
    </xf>
    <xf numFmtId="3" fontId="38" fillId="0" borderId="119" xfId="0" applyNumberFormat="1" applyFont="1" applyBorder="1" applyAlignment="1">
      <alignment horizontal="right" vertical="top"/>
    </xf>
    <xf numFmtId="0" fontId="38" fillId="10" borderId="122" xfId="0" applyFont="1" applyFill="1" applyBorder="1" applyAlignment="1">
      <alignment horizontal="right" vertical="top"/>
    </xf>
    <xf numFmtId="0" fontId="36" fillId="10" borderId="116" xfId="0" applyFont="1" applyFill="1" applyBorder="1" applyAlignment="1">
      <alignment horizontal="right" vertical="top"/>
    </xf>
    <xf numFmtId="0" fontId="36" fillId="10" borderId="117" xfId="0" applyFont="1" applyFill="1" applyBorder="1" applyAlignment="1">
      <alignment horizontal="right" vertical="top"/>
    </xf>
    <xf numFmtId="176" fontId="38" fillId="10" borderId="121" xfId="0" applyNumberFormat="1" applyFont="1" applyFill="1" applyBorder="1" applyAlignment="1">
      <alignment horizontal="right" vertical="top"/>
    </xf>
    <xf numFmtId="176" fontId="38" fillId="10" borderId="122" xfId="0" applyNumberFormat="1" applyFont="1" applyFill="1" applyBorder="1" applyAlignment="1">
      <alignment horizontal="right" vertical="top"/>
    </xf>
    <xf numFmtId="3" fontId="38" fillId="0" borderId="123" xfId="0" applyNumberFormat="1" applyFont="1" applyBorder="1" applyAlignment="1">
      <alignment horizontal="right" vertical="top"/>
    </xf>
    <xf numFmtId="3" fontId="38" fillId="0" borderId="124" xfId="0" applyNumberFormat="1" applyFont="1" applyBorder="1" applyAlignment="1">
      <alignment horizontal="right" vertical="top"/>
    </xf>
    <xf numFmtId="0" fontId="38" fillId="0" borderId="125" xfId="0" applyFont="1" applyBorder="1" applyAlignment="1">
      <alignment horizontal="right" vertical="top"/>
    </xf>
    <xf numFmtId="176" fontId="38" fillId="10" borderId="126" xfId="0" applyNumberFormat="1" applyFont="1" applyFill="1" applyBorder="1" applyAlignment="1">
      <alignment horizontal="right" vertical="top"/>
    </xf>
    <xf numFmtId="0" fontId="40" fillId="11" borderId="113" xfId="0" applyFont="1" applyFill="1" applyBorder="1" applyAlignment="1">
      <alignment vertical="top"/>
    </xf>
    <xf numFmtId="0" fontId="40" fillId="11" borderId="113" xfId="0" applyFont="1" applyFill="1" applyBorder="1" applyAlignment="1">
      <alignment vertical="top" indent="2"/>
    </xf>
    <xf numFmtId="0" fontId="40" fillId="11" borderId="113" xfId="0" applyFont="1" applyFill="1" applyBorder="1" applyAlignment="1">
      <alignment vertical="top" indent="4"/>
    </xf>
    <xf numFmtId="0" fontId="41" fillId="11" borderId="118" xfId="0" applyFont="1" applyFill="1" applyBorder="1" applyAlignment="1">
      <alignment vertical="top" indent="6"/>
    </xf>
    <xf numFmtId="0" fontId="40" fillId="11" borderId="113" xfId="0" applyFont="1" applyFill="1" applyBorder="1" applyAlignment="1">
      <alignment vertical="top" indent="8"/>
    </xf>
    <xf numFmtId="0" fontId="41" fillId="11" borderId="118" xfId="0" applyFont="1" applyFill="1" applyBorder="1" applyAlignment="1">
      <alignment vertical="top" indent="2"/>
    </xf>
    <xf numFmtId="0" fontId="40" fillId="11" borderId="113" xfId="0" applyFont="1" applyFill="1" applyBorder="1" applyAlignment="1">
      <alignment vertical="top" indent="6"/>
    </xf>
    <xf numFmtId="0" fontId="41" fillId="11" borderId="118" xfId="0" applyFont="1" applyFill="1" applyBorder="1" applyAlignment="1">
      <alignment vertical="top" indent="4"/>
    </xf>
    <xf numFmtId="0" fontId="41" fillId="11" borderId="118" xfId="0" applyFont="1" applyFill="1" applyBorder="1" applyAlignment="1">
      <alignment vertical="top"/>
    </xf>
    <xf numFmtId="0" fontId="35" fillId="11" borderId="11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7" xfId="53" applyNumberFormat="1" applyFont="1" applyFill="1" applyBorder="1" applyAlignment="1">
      <alignment horizontal="left"/>
    </xf>
    <xf numFmtId="164" fontId="34" fillId="2" borderId="128" xfId="53" applyNumberFormat="1" applyFont="1" applyFill="1" applyBorder="1" applyAlignment="1">
      <alignment horizontal="left"/>
    </xf>
    <xf numFmtId="164" fontId="34" fillId="2" borderId="54" xfId="53" applyNumberFormat="1" applyFont="1" applyFill="1" applyBorder="1" applyAlignment="1">
      <alignment horizontal="left"/>
    </xf>
    <xf numFmtId="3" fontId="34" fillId="2" borderId="54" xfId="53" applyNumberFormat="1" applyFont="1" applyFill="1" applyBorder="1" applyAlignment="1">
      <alignment horizontal="left"/>
    </xf>
    <xf numFmtId="3" fontId="34" fillId="2" borderId="59" xfId="53" applyNumberFormat="1" applyFont="1" applyFill="1" applyBorder="1" applyAlignment="1">
      <alignment horizontal="left"/>
    </xf>
    <xf numFmtId="3" fontId="35" fillId="0" borderId="128" xfId="0" applyNumberFormat="1" applyFont="1" applyFill="1" applyBorder="1"/>
    <xf numFmtId="3" fontId="35" fillId="0" borderId="130" xfId="0" applyNumberFormat="1" applyFont="1" applyFill="1" applyBorder="1"/>
    <xf numFmtId="0" fontId="35" fillId="0" borderId="77" xfId="0" applyFont="1" applyFill="1" applyBorder="1"/>
    <xf numFmtId="0" fontId="35" fillId="0" borderId="78" xfId="0" applyFont="1" applyFill="1" applyBorder="1"/>
    <xf numFmtId="164" fontId="35" fillId="0" borderId="78" xfId="0" applyNumberFormat="1" applyFont="1" applyFill="1" applyBorder="1"/>
    <xf numFmtId="164" fontId="35" fillId="0" borderId="78" xfId="0" applyNumberFormat="1" applyFont="1" applyFill="1" applyBorder="1" applyAlignment="1">
      <alignment horizontal="right"/>
    </xf>
    <xf numFmtId="3" fontId="35" fillId="0" borderId="78" xfId="0" applyNumberFormat="1" applyFont="1" applyFill="1" applyBorder="1"/>
    <xf numFmtId="3" fontId="35" fillId="0" borderId="79" xfId="0" applyNumberFormat="1" applyFont="1" applyFill="1" applyBorder="1"/>
    <xf numFmtId="0" fontId="35" fillId="0" borderId="87" xfId="0" applyFont="1" applyFill="1" applyBorder="1"/>
    <xf numFmtId="0" fontId="35" fillId="0" borderId="88" xfId="0" applyFont="1" applyFill="1" applyBorder="1"/>
    <xf numFmtId="164" fontId="35" fillId="0" borderId="88" xfId="0" applyNumberFormat="1" applyFont="1" applyFill="1" applyBorder="1"/>
    <xf numFmtId="164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80" xfId="0" applyFont="1" applyFill="1" applyBorder="1"/>
    <xf numFmtId="0" fontId="35" fillId="0" borderId="81" xfId="0" applyFont="1" applyFill="1" applyBorder="1"/>
    <xf numFmtId="164" fontId="35" fillId="0" borderId="81" xfId="0" applyNumberFormat="1" applyFont="1" applyFill="1" applyBorder="1"/>
    <xf numFmtId="164" fontId="35" fillId="0" borderId="81" xfId="0" applyNumberFormat="1" applyFont="1" applyFill="1" applyBorder="1" applyAlignment="1">
      <alignment horizontal="right"/>
    </xf>
    <xf numFmtId="3" fontId="35" fillId="0" borderId="81" xfId="0" applyNumberFormat="1" applyFont="1" applyFill="1" applyBorder="1"/>
    <xf numFmtId="3" fontId="35" fillId="0" borderId="82" xfId="0" applyNumberFormat="1" applyFont="1" applyFill="1" applyBorder="1"/>
    <xf numFmtId="0" fontId="42" fillId="2" borderId="127" xfId="0" applyFont="1" applyFill="1" applyBorder="1"/>
    <xf numFmtId="3" fontId="42" fillId="2" borderId="129" xfId="0" applyNumberFormat="1" applyFont="1" applyFill="1" applyBorder="1"/>
    <xf numFmtId="9" fontId="42" fillId="2" borderId="72" xfId="0" applyNumberFormat="1" applyFont="1" applyFill="1" applyBorder="1"/>
    <xf numFmtId="3" fontId="42" fillId="2" borderId="59" xfId="0" applyNumberFormat="1" applyFont="1" applyFill="1" applyBorder="1"/>
    <xf numFmtId="9" fontId="35" fillId="0" borderId="128" xfId="0" applyNumberFormat="1" applyFont="1" applyFill="1" applyBorder="1"/>
    <xf numFmtId="9" fontId="35" fillId="0" borderId="78" xfId="0" applyNumberFormat="1" applyFont="1" applyFill="1" applyBorder="1"/>
    <xf numFmtId="9" fontId="35" fillId="0" borderId="88" xfId="0" applyNumberFormat="1" applyFont="1" applyFill="1" applyBorder="1"/>
    <xf numFmtId="9" fontId="35" fillId="0" borderId="81" xfId="0" applyNumberFormat="1" applyFont="1" applyFill="1" applyBorder="1"/>
    <xf numFmtId="3" fontId="35" fillId="0" borderId="94" xfId="0" applyNumberFormat="1" applyFont="1" applyFill="1" applyBorder="1"/>
    <xf numFmtId="9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77" xfId="0" applyFont="1" applyFill="1" applyBorder="1"/>
    <xf numFmtId="0" fontId="42" fillId="0" borderId="87" xfId="0" applyFont="1" applyFill="1" applyBorder="1"/>
    <xf numFmtId="0" fontId="42" fillId="0" borderId="13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2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0" fontId="42" fillId="0" borderId="127" xfId="0" applyFont="1" applyFill="1" applyBorder="1"/>
    <xf numFmtId="9" fontId="35" fillId="0" borderId="79" xfId="0" applyNumberFormat="1" applyFont="1" applyFill="1" applyBorder="1"/>
    <xf numFmtId="9" fontId="35" fillId="0" borderId="89" xfId="0" applyNumberFormat="1" applyFont="1" applyFill="1" applyBorder="1"/>
    <xf numFmtId="9" fontId="35" fillId="0" borderId="82" xfId="0" applyNumberFormat="1" applyFont="1" applyFill="1" applyBorder="1"/>
    <xf numFmtId="0" fontId="42" fillId="0" borderId="109" xfId="0" applyFont="1" applyFill="1" applyBorder="1"/>
    <xf numFmtId="0" fontId="42" fillId="0" borderId="107" xfId="0" applyFont="1" applyFill="1" applyBorder="1" applyAlignment="1">
      <alignment horizontal="left" indent="1"/>
    </xf>
    <xf numFmtId="0" fontId="42" fillId="0" borderId="108" xfId="0" applyFont="1" applyFill="1" applyBorder="1" applyAlignment="1">
      <alignment horizontal="left" indent="1"/>
    </xf>
    <xf numFmtId="9" fontId="35" fillId="0" borderId="100" xfId="0" applyNumberFormat="1" applyFont="1" applyFill="1" applyBorder="1"/>
    <xf numFmtId="9" fontId="35" fillId="0" borderId="90" xfId="0" applyNumberFormat="1" applyFont="1" applyFill="1" applyBorder="1"/>
    <xf numFmtId="9" fontId="35" fillId="0" borderId="98" xfId="0" applyNumberFormat="1" applyFont="1" applyFill="1" applyBorder="1"/>
    <xf numFmtId="3" fontId="35" fillId="0" borderId="77" xfId="0" applyNumberFormat="1" applyFont="1" applyFill="1" applyBorder="1"/>
    <xf numFmtId="3" fontId="35" fillId="0" borderId="87" xfId="0" applyNumberFormat="1" applyFont="1" applyFill="1" applyBorder="1"/>
    <xf numFmtId="3" fontId="35" fillId="0" borderId="80" xfId="0" applyNumberFormat="1" applyFont="1" applyFill="1" applyBorder="1"/>
    <xf numFmtId="9" fontId="35" fillId="0" borderId="104" xfId="0" applyNumberFormat="1" applyFont="1" applyFill="1" applyBorder="1"/>
    <xf numFmtId="9" fontId="35" fillId="0" borderId="102" xfId="0" applyNumberFormat="1" applyFont="1" applyFill="1" applyBorder="1"/>
    <xf numFmtId="9" fontId="35" fillId="0" borderId="103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09" xfId="0" applyFont="1" applyFill="1" applyBorder="1"/>
    <xf numFmtId="0" fontId="42" fillId="11" borderId="107" xfId="0" applyFont="1" applyFill="1" applyBorder="1"/>
    <xf numFmtId="0" fontId="42" fillId="11" borderId="108" xfId="0" applyFont="1" applyFill="1" applyBorder="1"/>
    <xf numFmtId="0" fontId="3" fillId="2" borderId="94" xfId="80" applyFont="1" applyFill="1" applyBorder="1"/>
    <xf numFmtId="3" fontId="35" fillId="0" borderId="104" xfId="0" applyNumberFormat="1" applyFont="1" applyFill="1" applyBorder="1"/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109" xfId="0" applyFont="1" applyFill="1" applyBorder="1"/>
    <xf numFmtId="0" fontId="35" fillId="0" borderId="107" xfId="0" applyFont="1" applyFill="1" applyBorder="1"/>
    <xf numFmtId="0" fontId="35" fillId="0" borderId="108" xfId="0" applyFont="1" applyFill="1" applyBorder="1"/>
    <xf numFmtId="3" fontId="35" fillId="0" borderId="100" xfId="0" applyNumberFormat="1" applyFont="1" applyFill="1" applyBorder="1"/>
    <xf numFmtId="3" fontId="35" fillId="0" borderId="90" xfId="0" applyNumberFormat="1" applyFont="1" applyFill="1" applyBorder="1"/>
    <xf numFmtId="3" fontId="35" fillId="0" borderId="98" xfId="0" applyNumberFormat="1" applyFont="1" applyFill="1" applyBorder="1"/>
    <xf numFmtId="173" fontId="42" fillId="4" borderId="133" xfId="0" applyNumberFormat="1" applyFont="1" applyFill="1" applyBorder="1" applyAlignment="1">
      <alignment horizontal="center"/>
    </xf>
    <xf numFmtId="173" fontId="42" fillId="4" borderId="134" xfId="0" applyNumberFormat="1" applyFont="1" applyFill="1" applyBorder="1" applyAlignment="1">
      <alignment horizontal="center"/>
    </xf>
    <xf numFmtId="0" fontId="0" fillId="0" borderId="134" xfId="0" applyBorder="1" applyAlignment="1"/>
    <xf numFmtId="0" fontId="0" fillId="0" borderId="134" xfId="0" applyBorder="1" applyAlignment="1">
      <alignment horizontal="center"/>
    </xf>
    <xf numFmtId="173" fontId="35" fillId="0" borderId="135" xfId="0" applyNumberFormat="1" applyFont="1" applyBorder="1" applyAlignment="1">
      <alignment horizontal="right"/>
    </xf>
    <xf numFmtId="173" fontId="35" fillId="0" borderId="136" xfId="0" applyNumberFormat="1" applyFont="1" applyBorder="1" applyAlignment="1">
      <alignment horizontal="right"/>
    </xf>
    <xf numFmtId="0" fontId="0" fillId="0" borderId="136" xfId="0" applyBorder="1" applyAlignment="1">
      <alignment horizontal="right"/>
    </xf>
    <xf numFmtId="173" fontId="35" fillId="0" borderId="136" xfId="0" applyNumberFormat="1" applyFont="1" applyBorder="1" applyAlignment="1">
      <alignment horizontal="right" wrapText="1"/>
    </xf>
    <xf numFmtId="0" fontId="0" fillId="0" borderId="136" xfId="0" applyBorder="1" applyAlignment="1">
      <alignment horizontal="right" wrapText="1"/>
    </xf>
    <xf numFmtId="175" fontId="35" fillId="0" borderId="135" xfId="0" applyNumberFormat="1" applyFont="1" applyBorder="1" applyAlignment="1">
      <alignment horizontal="right"/>
    </xf>
    <xf numFmtId="175" fontId="35" fillId="0" borderId="136" xfId="0" applyNumberFormat="1" applyFont="1" applyBorder="1" applyAlignment="1">
      <alignment horizontal="right"/>
    </xf>
    <xf numFmtId="173" fontId="35" fillId="0" borderId="137" xfId="0" applyNumberFormat="1" applyFont="1" applyBorder="1" applyAlignment="1">
      <alignment horizontal="right"/>
    </xf>
    <xf numFmtId="173" fontId="35" fillId="0" borderId="138" xfId="0" applyNumberFormat="1" applyFont="1" applyBorder="1" applyAlignment="1">
      <alignment horizontal="right"/>
    </xf>
    <xf numFmtId="0" fontId="0" fillId="0" borderId="138" xfId="0" applyBorder="1" applyAlignment="1">
      <alignment horizontal="right"/>
    </xf>
    <xf numFmtId="0" fontId="42" fillId="2" borderId="104" xfId="0" applyFont="1" applyFill="1" applyBorder="1" applyAlignment="1">
      <alignment horizontal="center" vertical="center"/>
    </xf>
    <xf numFmtId="0" fontId="62" fillId="2" borderId="103" xfId="0" applyFont="1" applyFill="1" applyBorder="1" applyAlignment="1">
      <alignment horizontal="center" vertical="center" wrapText="1"/>
    </xf>
    <xf numFmtId="174" fontId="35" fillId="2" borderId="104" xfId="0" applyNumberFormat="1" applyFont="1" applyFill="1" applyBorder="1" applyAlignment="1"/>
    <xf numFmtId="174" fontId="35" fillId="0" borderId="102" xfId="0" applyNumberFormat="1" applyFont="1" applyBorder="1"/>
    <xf numFmtId="174" fontId="35" fillId="0" borderId="140" xfId="0" applyNumberFormat="1" applyFont="1" applyBorder="1"/>
    <xf numFmtId="173" fontId="42" fillId="4" borderId="104" xfId="0" applyNumberFormat="1" applyFont="1" applyFill="1" applyBorder="1" applyAlignment="1"/>
    <xf numFmtId="173" fontId="35" fillId="0" borderId="102" xfId="0" applyNumberFormat="1" applyFont="1" applyBorder="1"/>
    <xf numFmtId="173" fontId="35" fillId="0" borderId="103" xfId="0" applyNumberFormat="1" applyFont="1" applyBorder="1"/>
    <xf numFmtId="173" fontId="42" fillId="2" borderId="104" xfId="0" applyNumberFormat="1" applyFont="1" applyFill="1" applyBorder="1" applyAlignment="1"/>
    <xf numFmtId="173" fontId="35" fillId="0" borderId="140" xfId="0" applyNumberFormat="1" applyFont="1" applyBorder="1"/>
    <xf numFmtId="173" fontId="35" fillId="0" borderId="104" xfId="0" applyNumberFormat="1" applyFont="1" applyBorder="1"/>
    <xf numFmtId="173" fontId="42" fillId="4" borderId="141" xfId="0" applyNumberFormat="1" applyFont="1" applyFill="1" applyBorder="1" applyAlignment="1">
      <alignment horizontal="center"/>
    </xf>
    <xf numFmtId="173" fontId="35" fillId="0" borderId="142" xfId="0" applyNumberFormat="1" applyFont="1" applyBorder="1" applyAlignment="1">
      <alignment horizontal="right"/>
    </xf>
    <xf numFmtId="175" fontId="35" fillId="0" borderId="142" xfId="0" applyNumberFormat="1" applyFont="1" applyBorder="1" applyAlignment="1">
      <alignment horizontal="right"/>
    </xf>
    <xf numFmtId="173" fontId="35" fillId="0" borderId="143" xfId="0" applyNumberFormat="1" applyFont="1" applyBorder="1" applyAlignment="1">
      <alignment horizontal="right"/>
    </xf>
    <xf numFmtId="0" fontId="0" fillId="0" borderId="139" xfId="0" applyBorder="1"/>
    <xf numFmtId="173" fontId="42" fillId="4" borderId="83" xfId="0" applyNumberFormat="1" applyFont="1" applyFill="1" applyBorder="1" applyAlignment="1">
      <alignment horizontal="center"/>
    </xf>
    <xf numFmtId="173" fontId="35" fillId="0" borderId="85" xfId="0" applyNumberFormat="1" applyFont="1" applyBorder="1" applyAlignment="1">
      <alignment horizontal="right"/>
    </xf>
    <xf numFmtId="175" fontId="35" fillId="0" borderId="85" xfId="0" applyNumberFormat="1" applyFont="1" applyBorder="1" applyAlignment="1">
      <alignment horizontal="right"/>
    </xf>
    <xf numFmtId="173" fontId="35" fillId="0" borderId="96" xfId="0" applyNumberFormat="1" applyFont="1" applyBorder="1" applyAlignment="1">
      <alignment horizontal="right"/>
    </xf>
    <xf numFmtId="0" fontId="35" fillId="2" borderId="5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8" xfId="0" applyNumberFormat="1" applyFont="1" applyFill="1" applyBorder="1"/>
    <xf numFmtId="169" fontId="35" fillId="0" borderId="81" xfId="0" applyNumberFormat="1" applyFont="1" applyFill="1" applyBorder="1"/>
    <xf numFmtId="0" fontId="42" fillId="0" borderId="80" xfId="0" applyFont="1" applyFill="1" applyBorder="1"/>
    <xf numFmtId="169" fontId="35" fillId="0" borderId="79" xfId="0" applyNumberFormat="1" applyFont="1" applyFill="1" applyBorder="1"/>
    <xf numFmtId="169" fontId="35" fillId="0" borderId="88" xfId="0" applyNumberFormat="1" applyFont="1" applyFill="1" applyBorder="1"/>
    <xf numFmtId="169" fontId="35" fillId="0" borderId="89" xfId="0" applyNumberFormat="1" applyFont="1" applyFill="1" applyBorder="1"/>
    <xf numFmtId="169" fontId="35" fillId="0" borderId="82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166" fontId="5" fillId="0" borderId="132" xfId="0" applyNumberFormat="1" applyFont="1" applyBorder="1" applyAlignment="1">
      <alignment horizontal="right"/>
    </xf>
    <xf numFmtId="166" fontId="5" fillId="0" borderId="92" xfId="0" applyNumberFormat="1" applyFont="1" applyBorder="1" applyAlignment="1">
      <alignment horizontal="right"/>
    </xf>
    <xf numFmtId="3" fontId="12" fillId="0" borderId="132" xfId="0" applyNumberFormat="1" applyFont="1" applyBorder="1" applyAlignment="1">
      <alignment horizontal="right"/>
    </xf>
    <xf numFmtId="166" fontId="12" fillId="0" borderId="132" xfId="0" applyNumberFormat="1" applyFont="1" applyBorder="1" applyAlignment="1">
      <alignment horizontal="right"/>
    </xf>
    <xf numFmtId="166" fontId="12" fillId="0" borderId="92" xfId="0" applyNumberFormat="1" applyFont="1" applyBorder="1" applyAlignment="1">
      <alignment horizontal="right"/>
    </xf>
    <xf numFmtId="177" fontId="5" fillId="0" borderId="132" xfId="0" applyNumberFormat="1" applyFont="1" applyBorder="1" applyAlignment="1">
      <alignment horizontal="right"/>
    </xf>
    <xf numFmtId="3" fontId="5" fillId="0" borderId="132" xfId="0" applyNumberFormat="1" applyFont="1" applyBorder="1" applyAlignment="1">
      <alignment horizontal="right"/>
    </xf>
    <xf numFmtId="4" fontId="5" fillId="0" borderId="132" xfId="0" applyNumberFormat="1" applyFont="1" applyBorder="1" applyAlignment="1">
      <alignment horizontal="right"/>
    </xf>
    <xf numFmtId="3" fontId="5" fillId="0" borderId="132" xfId="0" applyNumberFormat="1" applyFont="1" applyBorder="1"/>
    <xf numFmtId="3" fontId="11" fillId="0" borderId="91" xfId="0" applyNumberFormat="1" applyFont="1" applyBorder="1" applyAlignment="1">
      <alignment horizontal="center"/>
    </xf>
    <xf numFmtId="166" fontId="11" fillId="0" borderId="92" xfId="0" applyNumberFormat="1" applyFont="1" applyBorder="1" applyAlignment="1">
      <alignment horizontal="right"/>
    </xf>
    <xf numFmtId="3" fontId="12" fillId="0" borderId="132" xfId="0" applyNumberFormat="1" applyFont="1" applyBorder="1"/>
    <xf numFmtId="166" fontId="12" fillId="0" borderId="132" xfId="0" applyNumberFormat="1" applyFont="1" applyBorder="1"/>
    <xf numFmtId="166" fontId="12" fillId="0" borderId="92" xfId="0" applyNumberFormat="1" applyFont="1" applyBorder="1"/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166" fontId="12" fillId="0" borderId="18" xfId="0" applyNumberFormat="1" applyFont="1" applyBorder="1"/>
    <xf numFmtId="3" fontId="35" fillId="0" borderId="132" xfId="0" applyNumberFormat="1" applyFont="1" applyBorder="1"/>
    <xf numFmtId="166" fontId="35" fillId="0" borderId="132" xfId="0" applyNumberFormat="1" applyFont="1" applyBorder="1"/>
    <xf numFmtId="166" fontId="35" fillId="0" borderId="92" xfId="0" applyNumberFormat="1" applyFont="1" applyBorder="1"/>
    <xf numFmtId="3" fontId="35" fillId="0" borderId="132" xfId="0" applyNumberFormat="1" applyFont="1" applyBorder="1" applyAlignment="1">
      <alignment horizontal="right"/>
    </xf>
    <xf numFmtId="0" fontId="5" fillId="0" borderId="132" xfId="0" applyFont="1" applyBorder="1"/>
    <xf numFmtId="9" fontId="35" fillId="0" borderId="132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1" xfId="0" applyNumberFormat="1" applyFont="1" applyBorder="1"/>
    <xf numFmtId="166" fontId="35" fillId="0" borderId="76" xfId="0" applyNumberFormat="1" applyFont="1" applyBorder="1"/>
    <xf numFmtId="3" fontId="35" fillId="0" borderId="101" xfId="0" applyNumberFormat="1" applyFont="1" applyBorder="1" applyAlignment="1">
      <alignment horizontal="right"/>
    </xf>
    <xf numFmtId="166" fontId="5" fillId="0" borderId="101" xfId="0" applyNumberFormat="1" applyFont="1" applyBorder="1" applyAlignment="1">
      <alignment horizontal="right"/>
    </xf>
    <xf numFmtId="166" fontId="5" fillId="0" borderId="76" xfId="0" applyNumberFormat="1" applyFont="1" applyBorder="1" applyAlignment="1">
      <alignment horizontal="right"/>
    </xf>
    <xf numFmtId="3" fontId="12" fillId="0" borderId="101" xfId="0" applyNumberFormat="1" applyFont="1" applyBorder="1" applyAlignment="1">
      <alignment horizontal="right"/>
    </xf>
    <xf numFmtId="166" fontId="12" fillId="0" borderId="101" xfId="0" applyNumberFormat="1" applyFont="1" applyBorder="1" applyAlignment="1">
      <alignment horizontal="right"/>
    </xf>
    <xf numFmtId="166" fontId="12" fillId="0" borderId="76" xfId="0" applyNumberFormat="1" applyFont="1" applyBorder="1" applyAlignment="1">
      <alignment horizontal="right"/>
    </xf>
    <xf numFmtId="177" fontId="5" fillId="0" borderId="101" xfId="0" applyNumberFormat="1" applyFont="1" applyBorder="1" applyAlignment="1">
      <alignment horizontal="right"/>
    </xf>
    <xf numFmtId="3" fontId="5" fillId="0" borderId="101" xfId="0" applyNumberFormat="1" applyFont="1" applyBorder="1" applyAlignment="1">
      <alignment horizontal="right"/>
    </xf>
    <xf numFmtId="4" fontId="5" fillId="0" borderId="101" xfId="0" applyNumberFormat="1" applyFont="1" applyBorder="1" applyAlignment="1">
      <alignment horizontal="right"/>
    </xf>
    <xf numFmtId="0" fontId="5" fillId="0" borderId="101" xfId="0" applyFont="1" applyBorder="1"/>
    <xf numFmtId="3" fontId="5" fillId="0" borderId="101" xfId="0" applyNumberFormat="1" applyFont="1" applyBorder="1"/>
    <xf numFmtId="9" fontId="35" fillId="0" borderId="101" xfId="0" applyNumberFormat="1" applyFont="1" applyBorder="1"/>
    <xf numFmtId="3" fontId="11" fillId="0" borderId="75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75" xfId="0" applyNumberFormat="1" applyFont="1" applyBorder="1" applyAlignment="1">
      <alignment horizontal="center"/>
    </xf>
    <xf numFmtId="49" fontId="3" fillId="0" borderId="9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6" xfId="0" applyNumberFormat="1" applyFont="1" applyBorder="1" applyAlignment="1">
      <alignment horizontal="center"/>
    </xf>
    <xf numFmtId="3" fontId="12" fillId="0" borderId="106" xfId="0" applyNumberFormat="1" applyFont="1" applyBorder="1"/>
    <xf numFmtId="166" fontId="12" fillId="0" borderId="106" xfId="0" applyNumberFormat="1" applyFont="1" applyBorder="1"/>
    <xf numFmtId="166" fontId="12" fillId="0" borderId="97" xfId="0" applyNumberFormat="1" applyFont="1" applyBorder="1"/>
    <xf numFmtId="3" fontId="35" fillId="0" borderId="106" xfId="0" applyNumberFormat="1" applyFont="1" applyBorder="1" applyAlignment="1">
      <alignment horizontal="right"/>
    </xf>
    <xf numFmtId="166" fontId="5" fillId="0" borderId="106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3" fontId="5" fillId="0" borderId="106" xfId="0" applyNumberFormat="1" applyFont="1" applyBorder="1" applyAlignment="1">
      <alignment horizontal="right"/>
    </xf>
    <xf numFmtId="177" fontId="5" fillId="0" borderId="106" xfId="0" applyNumberFormat="1" applyFont="1" applyBorder="1" applyAlignment="1">
      <alignment horizontal="right"/>
    </xf>
    <xf numFmtId="4" fontId="5" fillId="0" borderId="106" xfId="0" applyNumberFormat="1" applyFont="1" applyBorder="1" applyAlignment="1">
      <alignment horizontal="right"/>
    </xf>
    <xf numFmtId="0" fontId="5" fillId="0" borderId="106" xfId="0" applyFont="1" applyBorder="1"/>
    <xf numFmtId="3" fontId="5" fillId="0" borderId="106" xfId="0" applyNumberFormat="1" applyFont="1" applyBorder="1"/>
    <xf numFmtId="3" fontId="35" fillId="0" borderId="106" xfId="0" applyNumberFormat="1" applyFont="1" applyBorder="1"/>
    <xf numFmtId="9" fontId="35" fillId="0" borderId="106" xfId="0" applyNumberFormat="1" applyFont="1" applyBorder="1"/>
    <xf numFmtId="3" fontId="11" fillId="0" borderId="96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71" xfId="76" applyNumberFormat="1" applyFont="1" applyFill="1" applyBorder="1" applyAlignment="1">
      <alignment horizontal="center" vertical="center"/>
    </xf>
    <xf numFmtId="3" fontId="34" fillId="2" borderId="54" xfId="76" applyNumberFormat="1" applyFont="1" applyFill="1" applyBorder="1" applyAlignment="1">
      <alignment horizontal="center" vertical="center"/>
    </xf>
    <xf numFmtId="0" fontId="32" fillId="0" borderId="77" xfId="76" applyFont="1" applyFill="1" applyBorder="1"/>
    <xf numFmtId="0" fontId="32" fillId="0" borderId="87" xfId="76" applyFont="1" applyFill="1" applyBorder="1"/>
    <xf numFmtId="0" fontId="32" fillId="0" borderId="80" xfId="76" applyFont="1" applyFill="1" applyBorder="1"/>
    <xf numFmtId="0" fontId="32" fillId="0" borderId="104" xfId="76" applyFont="1" applyFill="1" applyBorder="1"/>
    <xf numFmtId="0" fontId="32" fillId="0" borderId="102" xfId="76" applyFont="1" applyFill="1" applyBorder="1"/>
    <xf numFmtId="0" fontId="32" fillId="0" borderId="103" xfId="76" applyFont="1" applyFill="1" applyBorder="1"/>
    <xf numFmtId="0" fontId="34" fillId="2" borderId="94" xfId="76" applyNumberFormat="1" applyFont="1" applyFill="1" applyBorder="1" applyAlignment="1">
      <alignment horizontal="left"/>
    </xf>
    <xf numFmtId="0" fontId="34" fillId="2" borderId="144" xfId="76" applyNumberFormat="1" applyFont="1" applyFill="1" applyBorder="1" applyAlignment="1">
      <alignment horizontal="left"/>
    </xf>
    <xf numFmtId="3" fontId="32" fillId="0" borderId="77" xfId="76" applyNumberFormat="1" applyFont="1" applyFill="1" applyBorder="1"/>
    <xf numFmtId="3" fontId="32" fillId="0" borderId="78" xfId="76" applyNumberFormat="1" applyFont="1" applyFill="1" applyBorder="1"/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80" xfId="76" applyNumberFormat="1" applyFont="1" applyFill="1" applyBorder="1"/>
    <xf numFmtId="3" fontId="32" fillId="0" borderId="81" xfId="76" applyNumberFormat="1" applyFont="1" applyFill="1" applyBorder="1"/>
    <xf numFmtId="9" fontId="32" fillId="0" borderId="104" xfId="76" applyNumberFormat="1" applyFont="1" applyFill="1" applyBorder="1"/>
    <xf numFmtId="9" fontId="32" fillId="0" borderId="102" xfId="76" applyNumberFormat="1" applyFont="1" applyFill="1" applyBorder="1"/>
    <xf numFmtId="9" fontId="32" fillId="0" borderId="103" xfId="76" applyNumberFormat="1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95" xfId="76" applyNumberFormat="1" applyFont="1" applyFill="1" applyBorder="1" applyAlignment="1">
      <alignment horizontal="left"/>
    </xf>
    <xf numFmtId="3" fontId="32" fillId="0" borderId="79" xfId="76" applyNumberFormat="1" applyFont="1" applyFill="1" applyBorder="1"/>
    <xf numFmtId="3" fontId="32" fillId="0" borderId="89" xfId="76" applyNumberFormat="1" applyFont="1" applyFill="1" applyBorder="1"/>
    <xf numFmtId="3" fontId="32" fillId="0" borderId="8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0.92407282367320764</c:v>
                </c:pt>
                <c:pt idx="1">
                  <c:v>0.83760205992276693</c:v>
                </c:pt>
                <c:pt idx="2">
                  <c:v>1.1046924145957431</c:v>
                </c:pt>
                <c:pt idx="3">
                  <c:v>1.138513825073477</c:v>
                </c:pt>
                <c:pt idx="4">
                  <c:v>1.2111866814535064</c:v>
                </c:pt>
                <c:pt idx="5">
                  <c:v>1.2058688477698412</c:v>
                </c:pt>
                <c:pt idx="6">
                  <c:v>1.1795281544622536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18368"/>
        <c:axId val="524018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1.3117905927004014</c:v>
                </c:pt>
                <c:pt idx="1">
                  <c:v>1.3117905927004014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20000"/>
        <c:axId val="524013472"/>
      </c:scatterChart>
      <c:catAx>
        <c:axId val="52401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401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018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4018368"/>
        <c:crosses val="autoZero"/>
        <c:crossBetween val="between"/>
      </c:valAx>
      <c:valAx>
        <c:axId val="5240200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524013472"/>
        <c:crosses val="max"/>
        <c:crossBetween val="midCat"/>
      </c:valAx>
      <c:valAx>
        <c:axId val="524013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240200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0.940080971659919</c:v>
                </c:pt>
                <c:pt idx="1">
                  <c:v>0.95024671052631582</c:v>
                </c:pt>
                <c:pt idx="2">
                  <c:v>0.97795497185741087</c:v>
                </c:pt>
                <c:pt idx="3">
                  <c:v>0.97336907953529939</c:v>
                </c:pt>
                <c:pt idx="4">
                  <c:v>0.96738832556864895</c:v>
                </c:pt>
                <c:pt idx="5">
                  <c:v>0.956130355515041</c:v>
                </c:pt>
                <c:pt idx="6">
                  <c:v>0.95185007208073047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112"/>
        <c:axId val="317857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785200"/>
        <c:axId val="31780848"/>
      </c:scatterChart>
      <c:catAx>
        <c:axId val="3178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178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857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1784112"/>
        <c:crosses val="autoZero"/>
        <c:crossBetween val="between"/>
      </c:valAx>
      <c:valAx>
        <c:axId val="317852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1780848"/>
        <c:crosses val="max"/>
        <c:crossBetween val="midCat"/>
      </c:valAx>
      <c:valAx>
        <c:axId val="3178084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317852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4" bestFit="1" customWidth="1"/>
    <col min="2" max="2" width="102.21875" style="244" bestFit="1" customWidth="1"/>
    <col min="3" max="3" width="16.109375" style="51" hidden="1" customWidth="1"/>
    <col min="4" max="16384" width="8.88671875" style="244"/>
  </cols>
  <sheetData>
    <row r="1" spans="1:3" ht="18.600000000000001" customHeight="1" thickBot="1" x14ac:dyDescent="0.4">
      <c r="A1" s="464" t="s">
        <v>125</v>
      </c>
      <c r="B1" s="464"/>
    </row>
    <row r="2" spans="1:3" ht="14.4" customHeight="1" thickBot="1" x14ac:dyDescent="0.35">
      <c r="A2" s="368" t="s">
        <v>301</v>
      </c>
      <c r="B2" s="50"/>
    </row>
    <row r="3" spans="1:3" ht="14.4" customHeight="1" thickBot="1" x14ac:dyDescent="0.35">
      <c r="A3" s="460" t="s">
        <v>174</v>
      </c>
      <c r="B3" s="461"/>
    </row>
    <row r="4" spans="1:3" ht="14.4" customHeight="1" x14ac:dyDescent="0.3">
      <c r="A4" s="261" t="str">
        <f t="shared" ref="A4:A8" si="0">HYPERLINK("#'"&amp;C4&amp;"'!A1",C4)</f>
        <v>Motivace</v>
      </c>
      <c r="B4" s="172" t="s">
        <v>143</v>
      </c>
      <c r="C4" s="51" t="s">
        <v>144</v>
      </c>
    </row>
    <row r="5" spans="1:3" ht="14.4" customHeight="1" x14ac:dyDescent="0.3">
      <c r="A5" s="262" t="str">
        <f t="shared" si="0"/>
        <v>HI</v>
      </c>
      <c r="B5" s="173" t="s">
        <v>167</v>
      </c>
      <c r="C5" s="51" t="s">
        <v>129</v>
      </c>
    </row>
    <row r="6" spans="1:3" ht="14.4" customHeight="1" x14ac:dyDescent="0.3">
      <c r="A6" s="263" t="str">
        <f t="shared" si="0"/>
        <v>HI Graf</v>
      </c>
      <c r="B6" s="174" t="s">
        <v>121</v>
      </c>
      <c r="C6" s="51" t="s">
        <v>130</v>
      </c>
    </row>
    <row r="7" spans="1:3" ht="14.4" customHeight="1" x14ac:dyDescent="0.3">
      <c r="A7" s="263" t="str">
        <f t="shared" si="0"/>
        <v>Man Tab</v>
      </c>
      <c r="B7" s="174" t="s">
        <v>303</v>
      </c>
      <c r="C7" s="51" t="s">
        <v>131</v>
      </c>
    </row>
    <row r="8" spans="1:3" ht="14.4" customHeight="1" thickBot="1" x14ac:dyDescent="0.35">
      <c r="A8" s="264" t="str">
        <f t="shared" si="0"/>
        <v>HV</v>
      </c>
      <c r="B8" s="175" t="s">
        <v>54</v>
      </c>
      <c r="C8" s="51" t="s">
        <v>59</v>
      </c>
    </row>
    <row r="9" spans="1:3" ht="14.4" customHeight="1" thickBot="1" x14ac:dyDescent="0.35">
      <c r="A9" s="176"/>
      <c r="B9" s="176"/>
    </row>
    <row r="10" spans="1:3" ht="14.4" customHeight="1" thickBot="1" x14ac:dyDescent="0.35">
      <c r="A10" s="462" t="s">
        <v>126</v>
      </c>
      <c r="B10" s="461"/>
    </row>
    <row r="11" spans="1:3" ht="14.4" customHeight="1" x14ac:dyDescent="0.3">
      <c r="A11" s="265" t="str">
        <f t="shared" ref="A11" si="1">HYPERLINK("#'"&amp;C11&amp;"'!A1",C11)</f>
        <v>Léky Žádanky</v>
      </c>
      <c r="B11" s="173" t="s">
        <v>168</v>
      </c>
      <c r="C11" s="51" t="s">
        <v>132</v>
      </c>
    </row>
    <row r="12" spans="1:3" ht="14.4" customHeight="1" x14ac:dyDescent="0.3">
      <c r="A12" s="263" t="str">
        <f t="shared" ref="A12:A22" si="2">HYPERLINK("#'"&amp;C12&amp;"'!A1",C12)</f>
        <v>LŽ Detail</v>
      </c>
      <c r="B12" s="174" t="s">
        <v>196</v>
      </c>
      <c r="C12" s="51" t="s">
        <v>133</v>
      </c>
    </row>
    <row r="13" spans="1:3" ht="28.8" customHeight="1" x14ac:dyDescent="0.3">
      <c r="A13" s="263" t="str">
        <f t="shared" si="2"/>
        <v>LŽ PL</v>
      </c>
      <c r="B13" s="668" t="s">
        <v>197</v>
      </c>
      <c r="C13" s="51" t="s">
        <v>178</v>
      </c>
    </row>
    <row r="14" spans="1:3" ht="14.4" customHeight="1" x14ac:dyDescent="0.3">
      <c r="A14" s="263" t="str">
        <f t="shared" si="2"/>
        <v>LŽ PL Detail</v>
      </c>
      <c r="B14" s="174" t="s">
        <v>1199</v>
      </c>
      <c r="C14" s="51" t="s">
        <v>180</v>
      </c>
    </row>
    <row r="15" spans="1:3" ht="14.4" customHeight="1" x14ac:dyDescent="0.3">
      <c r="A15" s="263" t="str">
        <f t="shared" si="2"/>
        <v>LŽ Statim</v>
      </c>
      <c r="B15" s="447" t="s">
        <v>250</v>
      </c>
      <c r="C15" s="51" t="s">
        <v>260</v>
      </c>
    </row>
    <row r="16" spans="1:3" ht="14.4" customHeight="1" x14ac:dyDescent="0.3">
      <c r="A16" s="263" t="str">
        <f t="shared" si="2"/>
        <v>Léky Recepty</v>
      </c>
      <c r="B16" s="174" t="s">
        <v>169</v>
      </c>
      <c r="C16" s="51" t="s">
        <v>134</v>
      </c>
    </row>
    <row r="17" spans="1:3" ht="14.4" customHeight="1" x14ac:dyDescent="0.3">
      <c r="A17" s="263" t="str">
        <f t="shared" si="2"/>
        <v>LRp Lékaři</v>
      </c>
      <c r="B17" s="174" t="s">
        <v>183</v>
      </c>
      <c r="C17" s="51" t="s">
        <v>184</v>
      </c>
    </row>
    <row r="18" spans="1:3" ht="28.8" customHeight="1" x14ac:dyDescent="0.3">
      <c r="A18" s="263" t="str">
        <f t="shared" si="2"/>
        <v>LRp PL</v>
      </c>
      <c r="B18" s="668" t="s">
        <v>1220</v>
      </c>
      <c r="C18" s="51" t="s">
        <v>179</v>
      </c>
    </row>
    <row r="19" spans="1:3" ht="14.4" customHeight="1" x14ac:dyDescent="0.3">
      <c r="A19" s="263" t="str">
        <f>HYPERLINK("#'"&amp;C19&amp;"'!A1",C19)</f>
        <v>LRp PL Detail</v>
      </c>
      <c r="B19" s="174" t="s">
        <v>1225</v>
      </c>
      <c r="C19" s="51" t="s">
        <v>181</v>
      </c>
    </row>
    <row r="20" spans="1:3" ht="14.4" customHeight="1" x14ac:dyDescent="0.3">
      <c r="A20" s="265" t="str">
        <f t="shared" ref="A20" si="3">HYPERLINK("#'"&amp;C20&amp;"'!A1",C20)</f>
        <v>Materiál Žádanky</v>
      </c>
      <c r="B20" s="174" t="s">
        <v>170</v>
      </c>
      <c r="C20" s="51" t="s">
        <v>135</v>
      </c>
    </row>
    <row r="21" spans="1:3" ht="14.4" customHeight="1" x14ac:dyDescent="0.3">
      <c r="A21" s="263" t="str">
        <f t="shared" si="2"/>
        <v>MŽ Detail</v>
      </c>
      <c r="B21" s="174" t="s">
        <v>1706</v>
      </c>
      <c r="C21" s="51" t="s">
        <v>136</v>
      </c>
    </row>
    <row r="22" spans="1:3" ht="14.4" customHeight="1" thickBot="1" x14ac:dyDescent="0.35">
      <c r="A22" s="265" t="str">
        <f t="shared" si="2"/>
        <v>Osobní náklady</v>
      </c>
      <c r="B22" s="174" t="s">
        <v>123</v>
      </c>
      <c r="C22" s="51" t="s">
        <v>137</v>
      </c>
    </row>
    <row r="23" spans="1:3" ht="14.4" customHeight="1" thickBot="1" x14ac:dyDescent="0.35">
      <c r="A23" s="177"/>
      <c r="B23" s="177"/>
    </row>
    <row r="24" spans="1:3" ht="14.4" customHeight="1" thickBot="1" x14ac:dyDescent="0.35">
      <c r="A24" s="463" t="s">
        <v>127</v>
      </c>
      <c r="B24" s="461"/>
    </row>
    <row r="25" spans="1:3" ht="14.4" customHeight="1" x14ac:dyDescent="0.3">
      <c r="A25" s="266" t="str">
        <f t="shared" ref="A25:A35" si="4">HYPERLINK("#'"&amp;C25&amp;"'!A1",C25)</f>
        <v>ZV Vykáz.-A</v>
      </c>
      <c r="B25" s="173" t="s">
        <v>1710</v>
      </c>
      <c r="C25" s="51" t="s">
        <v>145</v>
      </c>
    </row>
    <row r="26" spans="1:3" ht="14.4" customHeight="1" x14ac:dyDescent="0.3">
      <c r="A26" s="263" t="str">
        <f t="shared" ref="A26" si="5">HYPERLINK("#'"&amp;C26&amp;"'!A1",C26)</f>
        <v>ZV Vykáz.-A Lékaři</v>
      </c>
      <c r="B26" s="174" t="s">
        <v>1721</v>
      </c>
      <c r="C26" s="51" t="s">
        <v>263</v>
      </c>
    </row>
    <row r="27" spans="1:3" ht="14.4" customHeight="1" x14ac:dyDescent="0.3">
      <c r="A27" s="263" t="str">
        <f t="shared" si="4"/>
        <v>ZV Vykáz.-A Detail</v>
      </c>
      <c r="B27" s="174" t="s">
        <v>1758</v>
      </c>
      <c r="C27" s="51" t="s">
        <v>146</v>
      </c>
    </row>
    <row r="28" spans="1:3" ht="14.4" customHeight="1" x14ac:dyDescent="0.3">
      <c r="A28" s="263" t="str">
        <f t="shared" si="4"/>
        <v>ZV Vykáz.-H</v>
      </c>
      <c r="B28" s="174" t="s">
        <v>149</v>
      </c>
      <c r="C28" s="51" t="s">
        <v>147</v>
      </c>
    </row>
    <row r="29" spans="1:3" ht="14.4" customHeight="1" x14ac:dyDescent="0.3">
      <c r="A29" s="263" t="str">
        <f t="shared" si="4"/>
        <v>ZV Vykáz.-H Detail</v>
      </c>
      <c r="B29" s="174" t="s">
        <v>1936</v>
      </c>
      <c r="C29" s="51" t="s">
        <v>148</v>
      </c>
    </row>
    <row r="30" spans="1:3" ht="14.4" customHeight="1" x14ac:dyDescent="0.3">
      <c r="A30" s="266" t="str">
        <f t="shared" si="4"/>
        <v>CaseMix</v>
      </c>
      <c r="B30" s="174" t="s">
        <v>128</v>
      </c>
      <c r="C30" s="51" t="s">
        <v>138</v>
      </c>
    </row>
    <row r="31" spans="1:3" ht="14.4" customHeight="1" x14ac:dyDescent="0.3">
      <c r="A31" s="263" t="str">
        <f t="shared" si="4"/>
        <v>ALOS</v>
      </c>
      <c r="B31" s="174" t="s">
        <v>108</v>
      </c>
      <c r="C31" s="51" t="s">
        <v>79</v>
      </c>
    </row>
    <row r="32" spans="1:3" ht="14.4" customHeight="1" x14ac:dyDescent="0.3">
      <c r="A32" s="263" t="str">
        <f t="shared" si="4"/>
        <v>Total</v>
      </c>
      <c r="B32" s="174" t="s">
        <v>2002</v>
      </c>
      <c r="C32" s="51" t="s">
        <v>139</v>
      </c>
    </row>
    <row r="33" spans="1:3" ht="14.4" customHeight="1" x14ac:dyDescent="0.3">
      <c r="A33" s="263" t="str">
        <f t="shared" si="4"/>
        <v>ZV Vyžád.</v>
      </c>
      <c r="B33" s="174" t="s">
        <v>150</v>
      </c>
      <c r="C33" s="51" t="s">
        <v>142</v>
      </c>
    </row>
    <row r="34" spans="1:3" ht="14.4" customHeight="1" x14ac:dyDescent="0.3">
      <c r="A34" s="263" t="str">
        <f t="shared" si="4"/>
        <v>ZV Vyžád. Detail</v>
      </c>
      <c r="B34" s="174" t="s">
        <v>2539</v>
      </c>
      <c r="C34" s="51" t="s">
        <v>141</v>
      </c>
    </row>
    <row r="35" spans="1:3" ht="14.4" customHeight="1" x14ac:dyDescent="0.3">
      <c r="A35" s="263" t="str">
        <f t="shared" si="4"/>
        <v>OD TISS</v>
      </c>
      <c r="B35" s="174" t="s">
        <v>173</v>
      </c>
      <c r="C35" s="51" t="s">
        <v>140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4" bestFit="1" customWidth="1"/>
    <col min="2" max="2" width="8.88671875" style="244" bestFit="1" customWidth="1"/>
    <col min="3" max="3" width="7" style="244" bestFit="1" customWidth="1"/>
    <col min="4" max="4" width="53.44140625" style="244" bestFit="1" customWidth="1"/>
    <col min="5" max="5" width="28.44140625" style="244" bestFit="1" customWidth="1"/>
    <col min="6" max="6" width="6.6640625" style="326" customWidth="1"/>
    <col min="7" max="7" width="10" style="326" customWidth="1"/>
    <col min="8" max="8" width="6.77734375" style="329" bestFit="1" customWidth="1"/>
    <col min="9" max="9" width="6.6640625" style="326" customWidth="1"/>
    <col min="10" max="10" width="10" style="326" customWidth="1"/>
    <col min="11" max="11" width="6.77734375" style="329" bestFit="1" customWidth="1"/>
    <col min="12" max="12" width="6.6640625" style="326" customWidth="1"/>
    <col min="13" max="13" width="10" style="326" customWidth="1"/>
    <col min="14" max="16384" width="8.88671875" style="244"/>
  </cols>
  <sheetData>
    <row r="1" spans="1:13" ht="18.600000000000001" customHeight="1" thickBot="1" x14ac:dyDescent="0.4">
      <c r="A1" s="502" t="s">
        <v>1199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464"/>
      <c r="M1" s="464"/>
    </row>
    <row r="2" spans="1:13" ht="14.4" customHeight="1" thickBot="1" x14ac:dyDescent="0.35">
      <c r="A2" s="368" t="s">
        <v>301</v>
      </c>
      <c r="B2" s="325"/>
      <c r="C2" s="325"/>
      <c r="D2" s="325"/>
      <c r="E2" s="325"/>
      <c r="F2" s="333"/>
      <c r="G2" s="333"/>
      <c r="H2" s="334"/>
      <c r="I2" s="333"/>
      <c r="J2" s="333"/>
      <c r="K2" s="334"/>
      <c r="L2" s="333"/>
    </row>
    <row r="3" spans="1:13" ht="14.4" customHeight="1" thickBot="1" x14ac:dyDescent="0.35">
      <c r="E3" s="96" t="s">
        <v>151</v>
      </c>
      <c r="F3" s="47">
        <f>SUBTOTAL(9,F6:F1048576)</f>
        <v>64</v>
      </c>
      <c r="G3" s="47">
        <f>SUBTOTAL(9,G6:G1048576)</f>
        <v>8623.3331058937583</v>
      </c>
      <c r="H3" s="48">
        <f>IF(M3=0,0,G3/M3)</f>
        <v>0.19710215202718129</v>
      </c>
      <c r="I3" s="47">
        <f>SUBTOTAL(9,I6:I1048576)</f>
        <v>388.6</v>
      </c>
      <c r="J3" s="47">
        <f>SUBTOTAL(9,J6:J1048576)</f>
        <v>35127.24504459017</v>
      </c>
      <c r="K3" s="48">
        <f>IF(M3=0,0,J3/M3)</f>
        <v>0.80289784797281882</v>
      </c>
      <c r="L3" s="47">
        <f>SUBTOTAL(9,L6:L1048576)</f>
        <v>452.6</v>
      </c>
      <c r="M3" s="49">
        <f>SUBTOTAL(9,M6:M1048576)</f>
        <v>43750.578150483925</v>
      </c>
    </row>
    <row r="4" spans="1:13" ht="14.4" customHeight="1" thickBot="1" x14ac:dyDescent="0.35">
      <c r="A4" s="45"/>
      <c r="B4" s="45"/>
      <c r="C4" s="45"/>
      <c r="D4" s="45"/>
      <c r="E4" s="46"/>
      <c r="F4" s="506" t="s">
        <v>153</v>
      </c>
      <c r="G4" s="507"/>
      <c r="H4" s="508"/>
      <c r="I4" s="509" t="s">
        <v>152</v>
      </c>
      <c r="J4" s="507"/>
      <c r="K4" s="508"/>
      <c r="L4" s="510" t="s">
        <v>3</v>
      </c>
      <c r="M4" s="511"/>
    </row>
    <row r="5" spans="1:13" ht="14.4" customHeight="1" thickBot="1" x14ac:dyDescent="0.35">
      <c r="A5" s="650" t="s">
        <v>154</v>
      </c>
      <c r="B5" s="669" t="s">
        <v>155</v>
      </c>
      <c r="C5" s="669" t="s">
        <v>83</v>
      </c>
      <c r="D5" s="669" t="s">
        <v>156</v>
      </c>
      <c r="E5" s="669" t="s">
        <v>157</v>
      </c>
      <c r="F5" s="670" t="s">
        <v>21</v>
      </c>
      <c r="G5" s="670" t="s">
        <v>14</v>
      </c>
      <c r="H5" s="652" t="s">
        <v>158</v>
      </c>
      <c r="I5" s="651" t="s">
        <v>21</v>
      </c>
      <c r="J5" s="670" t="s">
        <v>14</v>
      </c>
      <c r="K5" s="652" t="s">
        <v>158</v>
      </c>
      <c r="L5" s="651" t="s">
        <v>21</v>
      </c>
      <c r="M5" s="671" t="s">
        <v>14</v>
      </c>
    </row>
    <row r="6" spans="1:13" ht="14.4" customHeight="1" x14ac:dyDescent="0.3">
      <c r="A6" s="632" t="s">
        <v>542</v>
      </c>
      <c r="B6" s="633" t="s">
        <v>1159</v>
      </c>
      <c r="C6" s="633" t="s">
        <v>670</v>
      </c>
      <c r="D6" s="633" t="s">
        <v>671</v>
      </c>
      <c r="E6" s="633" t="s">
        <v>1160</v>
      </c>
      <c r="F6" s="636"/>
      <c r="G6" s="636"/>
      <c r="H6" s="655">
        <v>0</v>
      </c>
      <c r="I6" s="636">
        <v>4</v>
      </c>
      <c r="J6" s="636">
        <v>444.43999999999994</v>
      </c>
      <c r="K6" s="655">
        <v>1</v>
      </c>
      <c r="L6" s="636">
        <v>4</v>
      </c>
      <c r="M6" s="637">
        <v>444.43999999999994</v>
      </c>
    </row>
    <row r="7" spans="1:13" ht="14.4" customHeight="1" x14ac:dyDescent="0.3">
      <c r="A7" s="638" t="s">
        <v>542</v>
      </c>
      <c r="B7" s="639" t="s">
        <v>1159</v>
      </c>
      <c r="C7" s="639" t="s">
        <v>696</v>
      </c>
      <c r="D7" s="639" t="s">
        <v>1161</v>
      </c>
      <c r="E7" s="639" t="s">
        <v>1162</v>
      </c>
      <c r="F7" s="642"/>
      <c r="G7" s="642"/>
      <c r="H7" s="656">
        <v>0</v>
      </c>
      <c r="I7" s="642">
        <v>1</v>
      </c>
      <c r="J7" s="642">
        <v>49.529648524841342</v>
      </c>
      <c r="K7" s="656">
        <v>1</v>
      </c>
      <c r="L7" s="642">
        <v>1</v>
      </c>
      <c r="M7" s="643">
        <v>49.529648524841342</v>
      </c>
    </row>
    <row r="8" spans="1:13" ht="14.4" customHeight="1" x14ac:dyDescent="0.3">
      <c r="A8" s="638" t="s">
        <v>542</v>
      </c>
      <c r="B8" s="639" t="s">
        <v>1163</v>
      </c>
      <c r="C8" s="639" t="s">
        <v>674</v>
      </c>
      <c r="D8" s="639" t="s">
        <v>1164</v>
      </c>
      <c r="E8" s="639" t="s">
        <v>1165</v>
      </c>
      <c r="F8" s="642"/>
      <c r="G8" s="642"/>
      <c r="H8" s="656">
        <v>0</v>
      </c>
      <c r="I8" s="642">
        <v>2</v>
      </c>
      <c r="J8" s="642">
        <v>119.68</v>
      </c>
      <c r="K8" s="656">
        <v>1</v>
      </c>
      <c r="L8" s="642">
        <v>2</v>
      </c>
      <c r="M8" s="643">
        <v>119.68</v>
      </c>
    </row>
    <row r="9" spans="1:13" ht="14.4" customHeight="1" x14ac:dyDescent="0.3">
      <c r="A9" s="638" t="s">
        <v>547</v>
      </c>
      <c r="B9" s="639" t="s">
        <v>1166</v>
      </c>
      <c r="C9" s="639" t="s">
        <v>778</v>
      </c>
      <c r="D9" s="639" t="s">
        <v>692</v>
      </c>
      <c r="E9" s="639" t="s">
        <v>693</v>
      </c>
      <c r="F9" s="642"/>
      <c r="G9" s="642"/>
      <c r="H9" s="656">
        <v>0</v>
      </c>
      <c r="I9" s="642">
        <v>4</v>
      </c>
      <c r="J9" s="642">
        <v>542.5200000000001</v>
      </c>
      <c r="K9" s="656">
        <v>1</v>
      </c>
      <c r="L9" s="642">
        <v>4</v>
      </c>
      <c r="M9" s="643">
        <v>542.5200000000001</v>
      </c>
    </row>
    <row r="10" spans="1:13" ht="14.4" customHeight="1" x14ac:dyDescent="0.3">
      <c r="A10" s="638" t="s">
        <v>547</v>
      </c>
      <c r="B10" s="639" t="s">
        <v>1159</v>
      </c>
      <c r="C10" s="639" t="s">
        <v>696</v>
      </c>
      <c r="D10" s="639" t="s">
        <v>1161</v>
      </c>
      <c r="E10" s="639" t="s">
        <v>1162</v>
      </c>
      <c r="F10" s="642"/>
      <c r="G10" s="642"/>
      <c r="H10" s="656">
        <v>0</v>
      </c>
      <c r="I10" s="642">
        <v>1</v>
      </c>
      <c r="J10" s="642">
        <v>49.52999999999998</v>
      </c>
      <c r="K10" s="656">
        <v>1</v>
      </c>
      <c r="L10" s="642">
        <v>1</v>
      </c>
      <c r="M10" s="643">
        <v>49.52999999999998</v>
      </c>
    </row>
    <row r="11" spans="1:13" ht="14.4" customHeight="1" x14ac:dyDescent="0.3">
      <c r="A11" s="638" t="s">
        <v>547</v>
      </c>
      <c r="B11" s="639" t="s">
        <v>1163</v>
      </c>
      <c r="C11" s="639" t="s">
        <v>674</v>
      </c>
      <c r="D11" s="639" t="s">
        <v>1164</v>
      </c>
      <c r="E11" s="639" t="s">
        <v>1165</v>
      </c>
      <c r="F11" s="642"/>
      <c r="G11" s="642"/>
      <c r="H11" s="656">
        <v>0</v>
      </c>
      <c r="I11" s="642">
        <v>1</v>
      </c>
      <c r="J11" s="642">
        <v>59.839999999999996</v>
      </c>
      <c r="K11" s="656">
        <v>1</v>
      </c>
      <c r="L11" s="642">
        <v>1</v>
      </c>
      <c r="M11" s="643">
        <v>59.839999999999996</v>
      </c>
    </row>
    <row r="12" spans="1:13" ht="14.4" customHeight="1" x14ac:dyDescent="0.3">
      <c r="A12" s="638" t="s">
        <v>550</v>
      </c>
      <c r="B12" s="639" t="s">
        <v>1167</v>
      </c>
      <c r="C12" s="639" t="s">
        <v>1015</v>
      </c>
      <c r="D12" s="639" t="s">
        <v>1168</v>
      </c>
      <c r="E12" s="639" t="s">
        <v>1169</v>
      </c>
      <c r="F12" s="642"/>
      <c r="G12" s="642"/>
      <c r="H12" s="656">
        <v>0</v>
      </c>
      <c r="I12" s="642">
        <v>1</v>
      </c>
      <c r="J12" s="642">
        <v>67.110000000000014</v>
      </c>
      <c r="K12" s="656">
        <v>1</v>
      </c>
      <c r="L12" s="642">
        <v>1</v>
      </c>
      <c r="M12" s="643">
        <v>67.110000000000014</v>
      </c>
    </row>
    <row r="13" spans="1:13" ht="14.4" customHeight="1" x14ac:dyDescent="0.3">
      <c r="A13" s="638" t="s">
        <v>550</v>
      </c>
      <c r="B13" s="639" t="s">
        <v>1170</v>
      </c>
      <c r="C13" s="639" t="s">
        <v>790</v>
      </c>
      <c r="D13" s="639" t="s">
        <v>1171</v>
      </c>
      <c r="E13" s="639" t="s">
        <v>1172</v>
      </c>
      <c r="F13" s="642">
        <v>14</v>
      </c>
      <c r="G13" s="642">
        <v>1017.5200000000002</v>
      </c>
      <c r="H13" s="656">
        <v>1</v>
      </c>
      <c r="I13" s="642"/>
      <c r="J13" s="642"/>
      <c r="K13" s="656">
        <v>0</v>
      </c>
      <c r="L13" s="642">
        <v>14</v>
      </c>
      <c r="M13" s="643">
        <v>1017.5200000000002</v>
      </c>
    </row>
    <row r="14" spans="1:13" ht="14.4" customHeight="1" x14ac:dyDescent="0.3">
      <c r="A14" s="638" t="s">
        <v>550</v>
      </c>
      <c r="B14" s="639" t="s">
        <v>1166</v>
      </c>
      <c r="C14" s="639" t="s">
        <v>778</v>
      </c>
      <c r="D14" s="639" t="s">
        <v>692</v>
      </c>
      <c r="E14" s="639" t="s">
        <v>693</v>
      </c>
      <c r="F14" s="642"/>
      <c r="G14" s="642"/>
      <c r="H14" s="656">
        <v>0</v>
      </c>
      <c r="I14" s="642">
        <v>16</v>
      </c>
      <c r="J14" s="642">
        <v>2170.08</v>
      </c>
      <c r="K14" s="656">
        <v>1</v>
      </c>
      <c r="L14" s="642">
        <v>16</v>
      </c>
      <c r="M14" s="643">
        <v>2170.08</v>
      </c>
    </row>
    <row r="15" spans="1:13" ht="14.4" customHeight="1" x14ac:dyDescent="0.3">
      <c r="A15" s="638" t="s">
        <v>550</v>
      </c>
      <c r="B15" s="639" t="s">
        <v>1159</v>
      </c>
      <c r="C15" s="639" t="s">
        <v>670</v>
      </c>
      <c r="D15" s="639" t="s">
        <v>671</v>
      </c>
      <c r="E15" s="639" t="s">
        <v>1160</v>
      </c>
      <c r="F15" s="642"/>
      <c r="G15" s="642"/>
      <c r="H15" s="656">
        <v>0</v>
      </c>
      <c r="I15" s="642">
        <v>11</v>
      </c>
      <c r="J15" s="642">
        <v>1061.17</v>
      </c>
      <c r="K15" s="656">
        <v>1</v>
      </c>
      <c r="L15" s="642">
        <v>11</v>
      </c>
      <c r="M15" s="643">
        <v>1061.17</v>
      </c>
    </row>
    <row r="16" spans="1:13" ht="14.4" customHeight="1" x14ac:dyDescent="0.3">
      <c r="A16" s="638" t="s">
        <v>550</v>
      </c>
      <c r="B16" s="639" t="s">
        <v>1173</v>
      </c>
      <c r="C16" s="639" t="s">
        <v>1060</v>
      </c>
      <c r="D16" s="639" t="s">
        <v>1174</v>
      </c>
      <c r="E16" s="639" t="s">
        <v>1062</v>
      </c>
      <c r="F16" s="642"/>
      <c r="G16" s="642"/>
      <c r="H16" s="656">
        <v>0</v>
      </c>
      <c r="I16" s="642">
        <v>1</v>
      </c>
      <c r="J16" s="642">
        <v>264</v>
      </c>
      <c r="K16" s="656">
        <v>1</v>
      </c>
      <c r="L16" s="642">
        <v>1</v>
      </c>
      <c r="M16" s="643">
        <v>264</v>
      </c>
    </row>
    <row r="17" spans="1:13" ht="14.4" customHeight="1" x14ac:dyDescent="0.3">
      <c r="A17" s="638" t="s">
        <v>550</v>
      </c>
      <c r="B17" s="639" t="s">
        <v>1175</v>
      </c>
      <c r="C17" s="639" t="s">
        <v>1050</v>
      </c>
      <c r="D17" s="639" t="s">
        <v>1051</v>
      </c>
      <c r="E17" s="639" t="s">
        <v>1052</v>
      </c>
      <c r="F17" s="642">
        <v>1</v>
      </c>
      <c r="G17" s="642">
        <v>869</v>
      </c>
      <c r="H17" s="656">
        <v>1</v>
      </c>
      <c r="I17" s="642"/>
      <c r="J17" s="642"/>
      <c r="K17" s="656">
        <v>0</v>
      </c>
      <c r="L17" s="642">
        <v>1</v>
      </c>
      <c r="M17" s="643">
        <v>869</v>
      </c>
    </row>
    <row r="18" spans="1:13" ht="14.4" customHeight="1" x14ac:dyDescent="0.3">
      <c r="A18" s="638" t="s">
        <v>550</v>
      </c>
      <c r="B18" s="639" t="s">
        <v>1175</v>
      </c>
      <c r="C18" s="639" t="s">
        <v>1089</v>
      </c>
      <c r="D18" s="639" t="s">
        <v>1090</v>
      </c>
      <c r="E18" s="639" t="s">
        <v>1052</v>
      </c>
      <c r="F18" s="642"/>
      <c r="G18" s="642"/>
      <c r="H18" s="656">
        <v>0</v>
      </c>
      <c r="I18" s="642">
        <v>-2.2000000000000002</v>
      </c>
      <c r="J18" s="642">
        <v>-1211.93</v>
      </c>
      <c r="K18" s="656">
        <v>1</v>
      </c>
      <c r="L18" s="642">
        <v>-2.2000000000000002</v>
      </c>
      <c r="M18" s="643">
        <v>-1211.93</v>
      </c>
    </row>
    <row r="19" spans="1:13" ht="14.4" customHeight="1" x14ac:dyDescent="0.3">
      <c r="A19" s="638" t="s">
        <v>550</v>
      </c>
      <c r="B19" s="639" t="s">
        <v>1176</v>
      </c>
      <c r="C19" s="639" t="s">
        <v>780</v>
      </c>
      <c r="D19" s="639" t="s">
        <v>781</v>
      </c>
      <c r="E19" s="639" t="s">
        <v>1177</v>
      </c>
      <c r="F19" s="642"/>
      <c r="G19" s="642"/>
      <c r="H19" s="656">
        <v>0</v>
      </c>
      <c r="I19" s="642">
        <v>3</v>
      </c>
      <c r="J19" s="642">
        <v>2316.2399999999998</v>
      </c>
      <c r="K19" s="656">
        <v>1</v>
      </c>
      <c r="L19" s="642">
        <v>3</v>
      </c>
      <c r="M19" s="643">
        <v>2316.2399999999998</v>
      </c>
    </row>
    <row r="20" spans="1:13" ht="14.4" customHeight="1" x14ac:dyDescent="0.3">
      <c r="A20" s="638" t="s">
        <v>550</v>
      </c>
      <c r="B20" s="639" t="s">
        <v>1178</v>
      </c>
      <c r="C20" s="639" t="s">
        <v>1076</v>
      </c>
      <c r="D20" s="639" t="s">
        <v>1077</v>
      </c>
      <c r="E20" s="639" t="s">
        <v>1078</v>
      </c>
      <c r="F20" s="642"/>
      <c r="G20" s="642"/>
      <c r="H20" s="656">
        <v>0</v>
      </c>
      <c r="I20" s="642">
        <v>26</v>
      </c>
      <c r="J20" s="642">
        <v>3736.8551498949346</v>
      </c>
      <c r="K20" s="656">
        <v>1</v>
      </c>
      <c r="L20" s="642">
        <v>26</v>
      </c>
      <c r="M20" s="643">
        <v>3736.8551498949346</v>
      </c>
    </row>
    <row r="21" spans="1:13" ht="14.4" customHeight="1" x14ac:dyDescent="0.3">
      <c r="A21" s="638" t="s">
        <v>550</v>
      </c>
      <c r="B21" s="639" t="s">
        <v>1163</v>
      </c>
      <c r="C21" s="639" t="s">
        <v>674</v>
      </c>
      <c r="D21" s="639" t="s">
        <v>1164</v>
      </c>
      <c r="E21" s="639" t="s">
        <v>1165</v>
      </c>
      <c r="F21" s="642"/>
      <c r="G21" s="642"/>
      <c r="H21" s="656">
        <v>0</v>
      </c>
      <c r="I21" s="642">
        <v>10</v>
      </c>
      <c r="J21" s="642">
        <v>598.32399999999996</v>
      </c>
      <c r="K21" s="656">
        <v>1</v>
      </c>
      <c r="L21" s="642">
        <v>10</v>
      </c>
      <c r="M21" s="643">
        <v>598.32399999999996</v>
      </c>
    </row>
    <row r="22" spans="1:13" ht="14.4" customHeight="1" x14ac:dyDescent="0.3">
      <c r="A22" s="638" t="s">
        <v>550</v>
      </c>
      <c r="B22" s="639" t="s">
        <v>1179</v>
      </c>
      <c r="C22" s="639" t="s">
        <v>1087</v>
      </c>
      <c r="D22" s="639" t="s">
        <v>1088</v>
      </c>
      <c r="E22" s="639" t="s">
        <v>1078</v>
      </c>
      <c r="F22" s="642"/>
      <c r="G22" s="642"/>
      <c r="H22" s="656">
        <v>0</v>
      </c>
      <c r="I22" s="642">
        <v>27</v>
      </c>
      <c r="J22" s="642">
        <v>935.82</v>
      </c>
      <c r="K22" s="656">
        <v>1</v>
      </c>
      <c r="L22" s="642">
        <v>27</v>
      </c>
      <c r="M22" s="643">
        <v>935.82</v>
      </c>
    </row>
    <row r="23" spans="1:13" ht="14.4" customHeight="1" x14ac:dyDescent="0.3">
      <c r="A23" s="638" t="s">
        <v>550</v>
      </c>
      <c r="B23" s="639" t="s">
        <v>1180</v>
      </c>
      <c r="C23" s="639" t="s">
        <v>1084</v>
      </c>
      <c r="D23" s="639" t="s">
        <v>1181</v>
      </c>
      <c r="E23" s="639" t="s">
        <v>1182</v>
      </c>
      <c r="F23" s="642"/>
      <c r="G23" s="642"/>
      <c r="H23" s="656">
        <v>0</v>
      </c>
      <c r="I23" s="642">
        <v>30</v>
      </c>
      <c r="J23" s="642">
        <v>866.69999999999993</v>
      </c>
      <c r="K23" s="656">
        <v>1</v>
      </c>
      <c r="L23" s="642">
        <v>30</v>
      </c>
      <c r="M23" s="643">
        <v>866.69999999999993</v>
      </c>
    </row>
    <row r="24" spans="1:13" ht="14.4" customHeight="1" x14ac:dyDescent="0.3">
      <c r="A24" s="638" t="s">
        <v>550</v>
      </c>
      <c r="B24" s="639" t="s">
        <v>1183</v>
      </c>
      <c r="C24" s="639" t="s">
        <v>1095</v>
      </c>
      <c r="D24" s="639" t="s">
        <v>1096</v>
      </c>
      <c r="E24" s="639" t="s">
        <v>1184</v>
      </c>
      <c r="F24" s="642"/>
      <c r="G24" s="642"/>
      <c r="H24" s="656">
        <v>0</v>
      </c>
      <c r="I24" s="642">
        <v>4.8</v>
      </c>
      <c r="J24" s="642">
        <v>765.6</v>
      </c>
      <c r="K24" s="656">
        <v>1</v>
      </c>
      <c r="L24" s="642">
        <v>4.8</v>
      </c>
      <c r="M24" s="643">
        <v>765.6</v>
      </c>
    </row>
    <row r="25" spans="1:13" ht="14.4" customHeight="1" x14ac:dyDescent="0.3">
      <c r="A25" s="638" t="s">
        <v>550</v>
      </c>
      <c r="B25" s="639" t="s">
        <v>1185</v>
      </c>
      <c r="C25" s="639" t="s">
        <v>1023</v>
      </c>
      <c r="D25" s="639" t="s">
        <v>1186</v>
      </c>
      <c r="E25" s="639" t="s">
        <v>1187</v>
      </c>
      <c r="F25" s="642"/>
      <c r="G25" s="642"/>
      <c r="H25" s="656">
        <v>0</v>
      </c>
      <c r="I25" s="642">
        <v>240</v>
      </c>
      <c r="J25" s="642">
        <v>20133.608310946362</v>
      </c>
      <c r="K25" s="656">
        <v>1</v>
      </c>
      <c r="L25" s="642">
        <v>240</v>
      </c>
      <c r="M25" s="643">
        <v>20133.608310946362</v>
      </c>
    </row>
    <row r="26" spans="1:13" ht="14.4" customHeight="1" x14ac:dyDescent="0.3">
      <c r="A26" s="638" t="s">
        <v>550</v>
      </c>
      <c r="B26" s="639" t="s">
        <v>1188</v>
      </c>
      <c r="C26" s="639" t="s">
        <v>1011</v>
      </c>
      <c r="D26" s="639" t="s">
        <v>1012</v>
      </c>
      <c r="E26" s="639" t="s">
        <v>1189</v>
      </c>
      <c r="F26" s="642"/>
      <c r="G26" s="642"/>
      <c r="H26" s="656">
        <v>0</v>
      </c>
      <c r="I26" s="642">
        <v>3</v>
      </c>
      <c r="J26" s="642">
        <v>90</v>
      </c>
      <c r="K26" s="656">
        <v>1</v>
      </c>
      <c r="L26" s="642">
        <v>3</v>
      </c>
      <c r="M26" s="643">
        <v>90</v>
      </c>
    </row>
    <row r="27" spans="1:13" ht="14.4" customHeight="1" x14ac:dyDescent="0.3">
      <c r="A27" s="638" t="s">
        <v>550</v>
      </c>
      <c r="B27" s="639" t="s">
        <v>1190</v>
      </c>
      <c r="C27" s="639" t="s">
        <v>793</v>
      </c>
      <c r="D27" s="639" t="s">
        <v>1191</v>
      </c>
      <c r="E27" s="639" t="s">
        <v>1192</v>
      </c>
      <c r="F27" s="642">
        <v>43</v>
      </c>
      <c r="G27" s="642">
        <v>5522.0631127497882</v>
      </c>
      <c r="H27" s="656">
        <v>1</v>
      </c>
      <c r="I27" s="642"/>
      <c r="J27" s="642"/>
      <c r="K27" s="656">
        <v>0</v>
      </c>
      <c r="L27" s="642">
        <v>43</v>
      </c>
      <c r="M27" s="643">
        <v>5522.0631127497882</v>
      </c>
    </row>
    <row r="28" spans="1:13" ht="14.4" customHeight="1" x14ac:dyDescent="0.3">
      <c r="A28" s="638" t="s">
        <v>550</v>
      </c>
      <c r="B28" s="639" t="s">
        <v>1193</v>
      </c>
      <c r="C28" s="639" t="s">
        <v>1019</v>
      </c>
      <c r="D28" s="639" t="s">
        <v>1020</v>
      </c>
      <c r="E28" s="639" t="s">
        <v>1194</v>
      </c>
      <c r="F28" s="642"/>
      <c r="G28" s="642"/>
      <c r="H28" s="656">
        <v>0</v>
      </c>
      <c r="I28" s="642">
        <v>4</v>
      </c>
      <c r="J28" s="642">
        <v>195.34000000000003</v>
      </c>
      <c r="K28" s="656">
        <v>1</v>
      </c>
      <c r="L28" s="642">
        <v>4</v>
      </c>
      <c r="M28" s="643">
        <v>195.34000000000003</v>
      </c>
    </row>
    <row r="29" spans="1:13" ht="14.4" customHeight="1" x14ac:dyDescent="0.3">
      <c r="A29" s="638" t="s">
        <v>550</v>
      </c>
      <c r="B29" s="639" t="s">
        <v>1195</v>
      </c>
      <c r="C29" s="639" t="s">
        <v>1031</v>
      </c>
      <c r="D29" s="639" t="s">
        <v>1196</v>
      </c>
      <c r="E29" s="639" t="s">
        <v>1197</v>
      </c>
      <c r="F29" s="642">
        <v>1</v>
      </c>
      <c r="G29" s="642">
        <v>188.54999314396946</v>
      </c>
      <c r="H29" s="656">
        <v>1</v>
      </c>
      <c r="I29" s="642"/>
      <c r="J29" s="642"/>
      <c r="K29" s="656">
        <v>0</v>
      </c>
      <c r="L29" s="642">
        <v>1</v>
      </c>
      <c r="M29" s="643">
        <v>188.54999314396946</v>
      </c>
    </row>
    <row r="30" spans="1:13" ht="14.4" customHeight="1" x14ac:dyDescent="0.3">
      <c r="A30" s="638" t="s">
        <v>550</v>
      </c>
      <c r="B30" s="639" t="s">
        <v>1195</v>
      </c>
      <c r="C30" s="639" t="s">
        <v>1027</v>
      </c>
      <c r="D30" s="639" t="s">
        <v>1198</v>
      </c>
      <c r="E30" s="639" t="s">
        <v>1029</v>
      </c>
      <c r="F30" s="642">
        <v>5</v>
      </c>
      <c r="G30" s="642">
        <v>1026.2</v>
      </c>
      <c r="H30" s="656">
        <v>1</v>
      </c>
      <c r="I30" s="642"/>
      <c r="J30" s="642"/>
      <c r="K30" s="656">
        <v>0</v>
      </c>
      <c r="L30" s="642">
        <v>5</v>
      </c>
      <c r="M30" s="643">
        <v>1026.2</v>
      </c>
    </row>
    <row r="31" spans="1:13" ht="14.4" customHeight="1" thickBot="1" x14ac:dyDescent="0.35">
      <c r="A31" s="644" t="s">
        <v>550</v>
      </c>
      <c r="B31" s="645" t="s">
        <v>1195</v>
      </c>
      <c r="C31" s="645" t="s">
        <v>1047</v>
      </c>
      <c r="D31" s="645" t="s">
        <v>1048</v>
      </c>
      <c r="E31" s="645" t="s">
        <v>1049</v>
      </c>
      <c r="F31" s="648"/>
      <c r="G31" s="648"/>
      <c r="H31" s="657">
        <v>0</v>
      </c>
      <c r="I31" s="648">
        <v>1</v>
      </c>
      <c r="J31" s="648">
        <v>1872.7879352240332</v>
      </c>
      <c r="K31" s="657">
        <v>1</v>
      </c>
      <c r="L31" s="648">
        <v>1</v>
      </c>
      <c r="M31" s="649">
        <v>1872.7879352240332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1" customWidth="1"/>
    <col min="2" max="2" width="5.44140625" style="326" bestFit="1" customWidth="1"/>
    <col min="3" max="3" width="6.109375" style="326" bestFit="1" customWidth="1"/>
    <col min="4" max="4" width="7.44140625" style="326" bestFit="1" customWidth="1"/>
    <col min="5" max="5" width="6.21875" style="326" bestFit="1" customWidth="1"/>
    <col min="6" max="6" width="6.33203125" style="329" bestFit="1" customWidth="1"/>
    <col min="7" max="7" width="6.109375" style="329" bestFit="1" customWidth="1"/>
    <col min="8" max="8" width="7.44140625" style="329" bestFit="1" customWidth="1"/>
    <col min="9" max="9" width="6.21875" style="329" bestFit="1" customWidth="1"/>
    <col min="10" max="10" width="5.44140625" style="326" bestFit="1" customWidth="1"/>
    <col min="11" max="11" width="6.109375" style="326" bestFit="1" customWidth="1"/>
    <col min="12" max="12" width="7.44140625" style="326" bestFit="1" customWidth="1"/>
    <col min="13" max="13" width="6.21875" style="326" bestFit="1" customWidth="1"/>
    <col min="14" max="14" width="5.33203125" style="329" bestFit="1" customWidth="1"/>
    <col min="15" max="15" width="6.109375" style="329" bestFit="1" customWidth="1"/>
    <col min="16" max="16" width="7.44140625" style="329" bestFit="1" customWidth="1"/>
    <col min="17" max="17" width="6.21875" style="329" bestFit="1" customWidth="1"/>
    <col min="18" max="16384" width="8.88671875" style="244"/>
  </cols>
  <sheetData>
    <row r="1" spans="1:17" ht="18.600000000000001" customHeight="1" thickBot="1" x14ac:dyDescent="0.4">
      <c r="A1" s="502" t="s">
        <v>250</v>
      </c>
      <c r="B1" s="502"/>
      <c r="C1" s="502"/>
      <c r="D1" s="502"/>
      <c r="E1" s="502"/>
      <c r="F1" s="465"/>
      <c r="G1" s="465"/>
      <c r="H1" s="465"/>
      <c r="I1" s="465"/>
      <c r="J1" s="495"/>
      <c r="K1" s="495"/>
      <c r="L1" s="495"/>
      <c r="M1" s="495"/>
      <c r="N1" s="495"/>
      <c r="O1" s="495"/>
      <c r="P1" s="495"/>
      <c r="Q1" s="495"/>
    </row>
    <row r="2" spans="1:17" ht="14.4" customHeight="1" thickBot="1" x14ac:dyDescent="0.35">
      <c r="A2" s="368" t="s">
        <v>301</v>
      </c>
      <c r="B2" s="333"/>
      <c r="C2" s="333"/>
      <c r="D2" s="333"/>
      <c r="E2" s="333"/>
    </row>
    <row r="3" spans="1:17" ht="14.4" customHeight="1" thickBot="1" x14ac:dyDescent="0.35">
      <c r="A3" s="440" t="s">
        <v>3</v>
      </c>
      <c r="B3" s="444">
        <f>SUM(B6:B1048576)</f>
        <v>1851</v>
      </c>
      <c r="C3" s="445">
        <f>SUM(C6:C1048576)</f>
        <v>294</v>
      </c>
      <c r="D3" s="445">
        <f>SUM(D6:D1048576)</f>
        <v>103</v>
      </c>
      <c r="E3" s="446">
        <f>SUM(E6:E1048576)</f>
        <v>16</v>
      </c>
      <c r="F3" s="443">
        <f>IF(SUM($B3:$E3)=0,"",B3/SUM($B3:$E3))</f>
        <v>0.81757950530035339</v>
      </c>
      <c r="G3" s="441">
        <f t="shared" ref="G3:I3" si="0">IF(SUM($B3:$E3)=0,"",C3/SUM($B3:$E3))</f>
        <v>0.12985865724381626</v>
      </c>
      <c r="H3" s="441">
        <f t="shared" si="0"/>
        <v>4.5494699646643107E-2</v>
      </c>
      <c r="I3" s="442">
        <f t="shared" si="0"/>
        <v>7.0671378091872791E-3</v>
      </c>
      <c r="J3" s="445">
        <f>SUM(J6:J1048576)</f>
        <v>300</v>
      </c>
      <c r="K3" s="445">
        <f>SUM(K6:K1048576)</f>
        <v>175</v>
      </c>
      <c r="L3" s="445">
        <f>SUM(L6:L1048576)</f>
        <v>103</v>
      </c>
      <c r="M3" s="446">
        <f>SUM(M6:M1048576)</f>
        <v>10</v>
      </c>
      <c r="N3" s="443">
        <f>IF(SUM($J3:$M3)=0,"",J3/SUM($J3:$M3))</f>
        <v>0.51020408163265307</v>
      </c>
      <c r="O3" s="441">
        <f t="shared" ref="O3:Q3" si="1">IF(SUM($J3:$M3)=0,"",K3/SUM($J3:$M3))</f>
        <v>0.29761904761904762</v>
      </c>
      <c r="P3" s="441">
        <f t="shared" si="1"/>
        <v>0.17517006802721088</v>
      </c>
      <c r="Q3" s="442">
        <f t="shared" si="1"/>
        <v>1.7006802721088437E-2</v>
      </c>
    </row>
    <row r="4" spans="1:17" ht="14.4" customHeight="1" thickBot="1" x14ac:dyDescent="0.35">
      <c r="A4" s="439"/>
      <c r="B4" s="515" t="s">
        <v>252</v>
      </c>
      <c r="C4" s="516"/>
      <c r="D4" s="516"/>
      <c r="E4" s="517"/>
      <c r="F4" s="512" t="s">
        <v>257</v>
      </c>
      <c r="G4" s="513"/>
      <c r="H4" s="513"/>
      <c r="I4" s="514"/>
      <c r="J4" s="515" t="s">
        <v>258</v>
      </c>
      <c r="K4" s="516"/>
      <c r="L4" s="516"/>
      <c r="M4" s="517"/>
      <c r="N4" s="512" t="s">
        <v>259</v>
      </c>
      <c r="O4" s="513"/>
      <c r="P4" s="513"/>
      <c r="Q4" s="514"/>
    </row>
    <row r="5" spans="1:17" ht="14.4" customHeight="1" thickBot="1" x14ac:dyDescent="0.35">
      <c r="A5" s="672" t="s">
        <v>251</v>
      </c>
      <c r="B5" s="673" t="s">
        <v>253</v>
      </c>
      <c r="C5" s="673" t="s">
        <v>254</v>
      </c>
      <c r="D5" s="673" t="s">
        <v>255</v>
      </c>
      <c r="E5" s="674" t="s">
        <v>256</v>
      </c>
      <c r="F5" s="675" t="s">
        <v>253</v>
      </c>
      <c r="G5" s="676" t="s">
        <v>254</v>
      </c>
      <c r="H5" s="676" t="s">
        <v>255</v>
      </c>
      <c r="I5" s="677" t="s">
        <v>256</v>
      </c>
      <c r="J5" s="673" t="s">
        <v>253</v>
      </c>
      <c r="K5" s="673" t="s">
        <v>254</v>
      </c>
      <c r="L5" s="673" t="s">
        <v>255</v>
      </c>
      <c r="M5" s="674" t="s">
        <v>256</v>
      </c>
      <c r="N5" s="675" t="s">
        <v>253</v>
      </c>
      <c r="O5" s="676" t="s">
        <v>254</v>
      </c>
      <c r="P5" s="676" t="s">
        <v>255</v>
      </c>
      <c r="Q5" s="677" t="s">
        <v>256</v>
      </c>
    </row>
    <row r="6" spans="1:17" ht="14.4" customHeight="1" x14ac:dyDescent="0.3">
      <c r="A6" s="682" t="s">
        <v>1200</v>
      </c>
      <c r="B6" s="688"/>
      <c r="C6" s="636"/>
      <c r="D6" s="636"/>
      <c r="E6" s="637"/>
      <c r="F6" s="685"/>
      <c r="G6" s="655"/>
      <c r="H6" s="655"/>
      <c r="I6" s="691"/>
      <c r="J6" s="688"/>
      <c r="K6" s="636"/>
      <c r="L6" s="636"/>
      <c r="M6" s="637"/>
      <c r="N6" s="685"/>
      <c r="O6" s="655"/>
      <c r="P6" s="655"/>
      <c r="Q6" s="679"/>
    </row>
    <row r="7" spans="1:17" ht="14.4" customHeight="1" x14ac:dyDescent="0.3">
      <c r="A7" s="683" t="s">
        <v>1201</v>
      </c>
      <c r="B7" s="689">
        <v>351</v>
      </c>
      <c r="C7" s="642">
        <v>19</v>
      </c>
      <c r="D7" s="642">
        <v>8</v>
      </c>
      <c r="E7" s="643"/>
      <c r="F7" s="686">
        <v>0.9285714285714286</v>
      </c>
      <c r="G7" s="656">
        <v>5.0264550264550262E-2</v>
      </c>
      <c r="H7" s="656">
        <v>2.1164021164021163E-2</v>
      </c>
      <c r="I7" s="692">
        <v>0</v>
      </c>
      <c r="J7" s="689">
        <v>81</v>
      </c>
      <c r="K7" s="642">
        <v>13</v>
      </c>
      <c r="L7" s="642">
        <v>8</v>
      </c>
      <c r="M7" s="643"/>
      <c r="N7" s="686">
        <v>0.79411764705882348</v>
      </c>
      <c r="O7" s="656">
        <v>0.12745098039215685</v>
      </c>
      <c r="P7" s="656">
        <v>7.8431372549019607E-2</v>
      </c>
      <c r="Q7" s="680">
        <v>0</v>
      </c>
    </row>
    <row r="8" spans="1:17" ht="14.4" customHeight="1" x14ac:dyDescent="0.3">
      <c r="A8" s="683" t="s">
        <v>1202</v>
      </c>
      <c r="B8" s="689">
        <v>465</v>
      </c>
      <c r="C8" s="642">
        <v>82</v>
      </c>
      <c r="D8" s="642">
        <v>7</v>
      </c>
      <c r="E8" s="643"/>
      <c r="F8" s="686">
        <v>0.83935018050541521</v>
      </c>
      <c r="G8" s="656">
        <v>0.14801444043321299</v>
      </c>
      <c r="H8" s="656">
        <v>1.263537906137184E-2</v>
      </c>
      <c r="I8" s="692">
        <v>0</v>
      </c>
      <c r="J8" s="689">
        <v>98</v>
      </c>
      <c r="K8" s="642">
        <v>61</v>
      </c>
      <c r="L8" s="642">
        <v>7</v>
      </c>
      <c r="M8" s="643"/>
      <c r="N8" s="686">
        <v>0.59036144578313254</v>
      </c>
      <c r="O8" s="656">
        <v>0.36746987951807231</v>
      </c>
      <c r="P8" s="656">
        <v>4.2168674698795178E-2</v>
      </c>
      <c r="Q8" s="680">
        <v>0</v>
      </c>
    </row>
    <row r="9" spans="1:17" ht="14.4" customHeight="1" x14ac:dyDescent="0.3">
      <c r="A9" s="683" t="s">
        <v>1203</v>
      </c>
      <c r="B9" s="689">
        <v>1035</v>
      </c>
      <c r="C9" s="642">
        <v>193</v>
      </c>
      <c r="D9" s="642">
        <v>88</v>
      </c>
      <c r="E9" s="643"/>
      <c r="F9" s="686">
        <v>0.78647416413373861</v>
      </c>
      <c r="G9" s="656">
        <v>0.14665653495440731</v>
      </c>
      <c r="H9" s="656">
        <v>6.6869300911854099E-2</v>
      </c>
      <c r="I9" s="692">
        <v>0</v>
      </c>
      <c r="J9" s="689">
        <v>121</v>
      </c>
      <c r="K9" s="642">
        <v>101</v>
      </c>
      <c r="L9" s="642">
        <v>88</v>
      </c>
      <c r="M9" s="643"/>
      <c r="N9" s="686">
        <v>0.39032258064516129</v>
      </c>
      <c r="O9" s="656">
        <v>0.32580645161290323</v>
      </c>
      <c r="P9" s="656">
        <v>0.28387096774193549</v>
      </c>
      <c r="Q9" s="680">
        <v>0</v>
      </c>
    </row>
    <row r="10" spans="1:17" ht="14.4" customHeight="1" thickBot="1" x14ac:dyDescent="0.35">
      <c r="A10" s="684" t="s">
        <v>1204</v>
      </c>
      <c r="B10" s="690"/>
      <c r="C10" s="648"/>
      <c r="D10" s="648"/>
      <c r="E10" s="649">
        <v>16</v>
      </c>
      <c r="F10" s="687">
        <v>0</v>
      </c>
      <c r="G10" s="657">
        <v>0</v>
      </c>
      <c r="H10" s="657">
        <v>0</v>
      </c>
      <c r="I10" s="693">
        <v>1</v>
      </c>
      <c r="J10" s="690"/>
      <c r="K10" s="648"/>
      <c r="L10" s="648"/>
      <c r="M10" s="649">
        <v>10</v>
      </c>
      <c r="N10" s="687">
        <v>0</v>
      </c>
      <c r="O10" s="657">
        <v>0</v>
      </c>
      <c r="P10" s="657">
        <v>0</v>
      </c>
      <c r="Q10" s="68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4" customWidth="1"/>
    <col min="2" max="2" width="34.21875" style="244" customWidth="1"/>
    <col min="3" max="3" width="11.109375" style="244" bestFit="1" customWidth="1"/>
    <col min="4" max="4" width="7.33203125" style="244" bestFit="1" customWidth="1"/>
    <col min="5" max="5" width="11.109375" style="244" bestFit="1" customWidth="1"/>
    <col min="6" max="6" width="5.33203125" style="244" customWidth="1"/>
    <col min="7" max="7" width="7.33203125" style="244" bestFit="1" customWidth="1"/>
    <col min="8" max="8" width="5.33203125" style="244" customWidth="1"/>
    <col min="9" max="9" width="11.109375" style="244" customWidth="1"/>
    <col min="10" max="10" width="5.33203125" style="244" customWidth="1"/>
    <col min="11" max="11" width="7.33203125" style="244" customWidth="1"/>
    <col min="12" max="12" width="5.33203125" style="244" customWidth="1"/>
    <col min="13" max="13" width="0" style="244" hidden="1" customWidth="1"/>
    <col min="14" max="16384" width="8.88671875" style="244"/>
  </cols>
  <sheetData>
    <row r="1" spans="1:14" ht="18.600000000000001" customHeight="1" thickBot="1" x14ac:dyDescent="0.4">
      <c r="A1" s="502" t="s">
        <v>169</v>
      </c>
      <c r="B1" s="502"/>
      <c r="C1" s="502"/>
      <c r="D1" s="502"/>
      <c r="E1" s="502"/>
      <c r="F1" s="502"/>
      <c r="G1" s="502"/>
      <c r="H1" s="502"/>
      <c r="I1" s="465"/>
      <c r="J1" s="465"/>
      <c r="K1" s="465"/>
      <c r="L1" s="465"/>
    </row>
    <row r="2" spans="1:14" ht="14.4" customHeight="1" thickBot="1" x14ac:dyDescent="0.35">
      <c r="A2" s="368" t="s">
        <v>301</v>
      </c>
      <c r="B2" s="325"/>
      <c r="C2" s="325"/>
      <c r="D2" s="325"/>
      <c r="E2" s="325"/>
      <c r="F2" s="325"/>
      <c r="G2" s="325"/>
      <c r="H2" s="325"/>
    </row>
    <row r="3" spans="1:14" ht="14.4" customHeight="1" thickBot="1" x14ac:dyDescent="0.35">
      <c r="A3" s="259"/>
      <c r="B3" s="259"/>
      <c r="C3" s="519" t="s">
        <v>15</v>
      </c>
      <c r="D3" s="518"/>
      <c r="E3" s="518" t="s">
        <v>16</v>
      </c>
      <c r="F3" s="518"/>
      <c r="G3" s="518"/>
      <c r="H3" s="518"/>
      <c r="I3" s="518" t="s">
        <v>182</v>
      </c>
      <c r="J3" s="518"/>
      <c r="K3" s="518"/>
      <c r="L3" s="520"/>
    </row>
    <row r="4" spans="1:14" ht="14.4" customHeight="1" thickBot="1" x14ac:dyDescent="0.35">
      <c r="A4" s="98" t="s">
        <v>17</v>
      </c>
      <c r="B4" s="99" t="s">
        <v>18</v>
      </c>
      <c r="C4" s="100" t="s">
        <v>19</v>
      </c>
      <c r="D4" s="100" t="s">
        <v>20</v>
      </c>
      <c r="E4" s="100" t="s">
        <v>19</v>
      </c>
      <c r="F4" s="100" t="s">
        <v>2</v>
      </c>
      <c r="G4" s="100" t="s">
        <v>20</v>
      </c>
      <c r="H4" s="100" t="s">
        <v>2</v>
      </c>
      <c r="I4" s="100" t="s">
        <v>19</v>
      </c>
      <c r="J4" s="100" t="s">
        <v>2</v>
      </c>
      <c r="K4" s="100" t="s">
        <v>20</v>
      </c>
      <c r="L4" s="101" t="s">
        <v>2</v>
      </c>
    </row>
    <row r="5" spans="1:14" ht="14.4" customHeight="1" x14ac:dyDescent="0.3">
      <c r="A5" s="620">
        <v>9</v>
      </c>
      <c r="B5" s="621" t="s">
        <v>538</v>
      </c>
      <c r="C5" s="624">
        <v>23866.720000000001</v>
      </c>
      <c r="D5" s="624">
        <v>52</v>
      </c>
      <c r="E5" s="624">
        <v>17727.36</v>
      </c>
      <c r="F5" s="694">
        <v>0.74276482063727234</v>
      </c>
      <c r="G5" s="624">
        <v>38</v>
      </c>
      <c r="H5" s="694">
        <v>0.73076923076923073</v>
      </c>
      <c r="I5" s="624">
        <v>6139.36</v>
      </c>
      <c r="J5" s="694">
        <v>0.25723517936272766</v>
      </c>
      <c r="K5" s="624">
        <v>14</v>
      </c>
      <c r="L5" s="694">
        <v>0.26923076923076922</v>
      </c>
      <c r="M5" s="624" t="s">
        <v>67</v>
      </c>
      <c r="N5" s="267"/>
    </row>
    <row r="6" spans="1:14" ht="14.4" customHeight="1" x14ac:dyDescent="0.3">
      <c r="A6" s="620">
        <v>9</v>
      </c>
      <c r="B6" s="621" t="s">
        <v>1205</v>
      </c>
      <c r="C6" s="624">
        <v>23866.720000000001</v>
      </c>
      <c r="D6" s="624">
        <v>49</v>
      </c>
      <c r="E6" s="624">
        <v>17727.36</v>
      </c>
      <c r="F6" s="694">
        <v>0.74276482063727234</v>
      </c>
      <c r="G6" s="624">
        <v>35</v>
      </c>
      <c r="H6" s="694">
        <v>0.7142857142857143</v>
      </c>
      <c r="I6" s="624">
        <v>6139.36</v>
      </c>
      <c r="J6" s="694">
        <v>0.25723517936272766</v>
      </c>
      <c r="K6" s="624">
        <v>14</v>
      </c>
      <c r="L6" s="694">
        <v>0.2857142857142857</v>
      </c>
      <c r="M6" s="624" t="s">
        <v>1</v>
      </c>
      <c r="N6" s="267"/>
    </row>
    <row r="7" spans="1:14" ht="14.4" customHeight="1" x14ac:dyDescent="0.3">
      <c r="A7" s="620">
        <v>9</v>
      </c>
      <c r="B7" s="621" t="s">
        <v>1206</v>
      </c>
      <c r="C7" s="624">
        <v>0</v>
      </c>
      <c r="D7" s="624">
        <v>3</v>
      </c>
      <c r="E7" s="624">
        <v>0</v>
      </c>
      <c r="F7" s="694" t="s">
        <v>539</v>
      </c>
      <c r="G7" s="624">
        <v>3</v>
      </c>
      <c r="H7" s="694">
        <v>1</v>
      </c>
      <c r="I7" s="624" t="s">
        <v>539</v>
      </c>
      <c r="J7" s="694" t="s">
        <v>539</v>
      </c>
      <c r="K7" s="624" t="s">
        <v>539</v>
      </c>
      <c r="L7" s="694">
        <v>0</v>
      </c>
      <c r="M7" s="624" t="s">
        <v>1</v>
      </c>
      <c r="N7" s="267"/>
    </row>
    <row r="8" spans="1:14" ht="14.4" customHeight="1" x14ac:dyDescent="0.3">
      <c r="A8" s="620" t="s">
        <v>1207</v>
      </c>
      <c r="B8" s="621" t="s">
        <v>3</v>
      </c>
      <c r="C8" s="624">
        <v>23866.720000000001</v>
      </c>
      <c r="D8" s="624">
        <v>52</v>
      </c>
      <c r="E8" s="624">
        <v>17727.36</v>
      </c>
      <c r="F8" s="694">
        <v>0.74276482063727234</v>
      </c>
      <c r="G8" s="624">
        <v>38</v>
      </c>
      <c r="H8" s="694">
        <v>0.73076923076923073</v>
      </c>
      <c r="I8" s="624">
        <v>6139.36</v>
      </c>
      <c r="J8" s="694">
        <v>0.25723517936272766</v>
      </c>
      <c r="K8" s="624">
        <v>14</v>
      </c>
      <c r="L8" s="694">
        <v>0.26923076923076922</v>
      </c>
      <c r="M8" s="624" t="s">
        <v>541</v>
      </c>
      <c r="N8" s="267"/>
    </row>
    <row r="10" spans="1:14" ht="14.4" customHeight="1" x14ac:dyDescent="0.3">
      <c r="A10" s="620">
        <v>9</v>
      </c>
      <c r="B10" s="621" t="s">
        <v>538</v>
      </c>
      <c r="C10" s="624" t="s">
        <v>539</v>
      </c>
      <c r="D10" s="624" t="s">
        <v>539</v>
      </c>
      <c r="E10" s="624" t="s">
        <v>539</v>
      </c>
      <c r="F10" s="694" t="s">
        <v>539</v>
      </c>
      <c r="G10" s="624" t="s">
        <v>539</v>
      </c>
      <c r="H10" s="694" t="s">
        <v>539</v>
      </c>
      <c r="I10" s="624" t="s">
        <v>539</v>
      </c>
      <c r="J10" s="694" t="s">
        <v>539</v>
      </c>
      <c r="K10" s="624" t="s">
        <v>539</v>
      </c>
      <c r="L10" s="694" t="s">
        <v>539</v>
      </c>
      <c r="M10" s="624" t="s">
        <v>67</v>
      </c>
      <c r="N10" s="267"/>
    </row>
    <row r="11" spans="1:14" ht="14.4" customHeight="1" x14ac:dyDescent="0.3">
      <c r="A11" s="620" t="s">
        <v>1208</v>
      </c>
      <c r="B11" s="621" t="s">
        <v>1205</v>
      </c>
      <c r="C11" s="624">
        <v>23866.720000000001</v>
      </c>
      <c r="D11" s="624">
        <v>49</v>
      </c>
      <c r="E11" s="624">
        <v>17727.36</v>
      </c>
      <c r="F11" s="694">
        <v>0.74276482063727234</v>
      </c>
      <c r="G11" s="624">
        <v>35</v>
      </c>
      <c r="H11" s="694">
        <v>0.7142857142857143</v>
      </c>
      <c r="I11" s="624">
        <v>6139.36</v>
      </c>
      <c r="J11" s="694">
        <v>0.25723517936272766</v>
      </c>
      <c r="K11" s="624">
        <v>14</v>
      </c>
      <c r="L11" s="694">
        <v>0.2857142857142857</v>
      </c>
      <c r="M11" s="624" t="s">
        <v>1</v>
      </c>
      <c r="N11" s="267"/>
    </row>
    <row r="12" spans="1:14" ht="14.4" customHeight="1" x14ac:dyDescent="0.3">
      <c r="A12" s="620" t="s">
        <v>1208</v>
      </c>
      <c r="B12" s="621" t="s">
        <v>1206</v>
      </c>
      <c r="C12" s="624">
        <v>0</v>
      </c>
      <c r="D12" s="624">
        <v>3</v>
      </c>
      <c r="E12" s="624">
        <v>0</v>
      </c>
      <c r="F12" s="694" t="s">
        <v>539</v>
      </c>
      <c r="G12" s="624">
        <v>3</v>
      </c>
      <c r="H12" s="694">
        <v>1</v>
      </c>
      <c r="I12" s="624" t="s">
        <v>539</v>
      </c>
      <c r="J12" s="694" t="s">
        <v>539</v>
      </c>
      <c r="K12" s="624" t="s">
        <v>539</v>
      </c>
      <c r="L12" s="694">
        <v>0</v>
      </c>
      <c r="M12" s="624" t="s">
        <v>1</v>
      </c>
      <c r="N12" s="267"/>
    </row>
    <row r="13" spans="1:14" ht="14.4" customHeight="1" x14ac:dyDescent="0.3">
      <c r="A13" s="620" t="s">
        <v>1208</v>
      </c>
      <c r="B13" s="621" t="s">
        <v>1209</v>
      </c>
      <c r="C13" s="624">
        <v>23866.720000000001</v>
      </c>
      <c r="D13" s="624">
        <v>52</v>
      </c>
      <c r="E13" s="624">
        <v>17727.36</v>
      </c>
      <c r="F13" s="694">
        <v>0.74276482063727234</v>
      </c>
      <c r="G13" s="624">
        <v>38</v>
      </c>
      <c r="H13" s="694">
        <v>0.73076923076923073</v>
      </c>
      <c r="I13" s="624">
        <v>6139.36</v>
      </c>
      <c r="J13" s="694">
        <v>0.25723517936272766</v>
      </c>
      <c r="K13" s="624">
        <v>14</v>
      </c>
      <c r="L13" s="694">
        <v>0.26923076923076922</v>
      </c>
      <c r="M13" s="624" t="s">
        <v>545</v>
      </c>
      <c r="N13" s="267"/>
    </row>
    <row r="14" spans="1:14" ht="14.4" customHeight="1" x14ac:dyDescent="0.3">
      <c r="A14" s="620" t="s">
        <v>539</v>
      </c>
      <c r="B14" s="621" t="s">
        <v>539</v>
      </c>
      <c r="C14" s="624" t="s">
        <v>539</v>
      </c>
      <c r="D14" s="624" t="s">
        <v>539</v>
      </c>
      <c r="E14" s="624" t="s">
        <v>539</v>
      </c>
      <c r="F14" s="694" t="s">
        <v>539</v>
      </c>
      <c r="G14" s="624" t="s">
        <v>539</v>
      </c>
      <c r="H14" s="694" t="s">
        <v>539</v>
      </c>
      <c r="I14" s="624" t="s">
        <v>539</v>
      </c>
      <c r="J14" s="694" t="s">
        <v>539</v>
      </c>
      <c r="K14" s="624" t="s">
        <v>539</v>
      </c>
      <c r="L14" s="694" t="s">
        <v>539</v>
      </c>
      <c r="M14" s="624" t="s">
        <v>546</v>
      </c>
      <c r="N14" s="267"/>
    </row>
    <row r="15" spans="1:14" ht="14.4" customHeight="1" x14ac:dyDescent="0.3">
      <c r="A15" s="620" t="s">
        <v>1207</v>
      </c>
      <c r="B15" s="621" t="s">
        <v>540</v>
      </c>
      <c r="C15" s="624">
        <v>23866.720000000001</v>
      </c>
      <c r="D15" s="624">
        <v>52</v>
      </c>
      <c r="E15" s="624">
        <v>17727.36</v>
      </c>
      <c r="F15" s="694">
        <v>0.74276482063727234</v>
      </c>
      <c r="G15" s="624">
        <v>38</v>
      </c>
      <c r="H15" s="694">
        <v>0.73076923076923073</v>
      </c>
      <c r="I15" s="624">
        <v>6139.36</v>
      </c>
      <c r="J15" s="694">
        <v>0.25723517936272766</v>
      </c>
      <c r="K15" s="624">
        <v>14</v>
      </c>
      <c r="L15" s="694">
        <v>0.26923076923076922</v>
      </c>
      <c r="M15" s="624" t="s">
        <v>541</v>
      </c>
      <c r="N15" s="267"/>
    </row>
    <row r="16" spans="1:14" ht="14.4" customHeight="1" x14ac:dyDescent="0.3">
      <c r="A16" s="695" t="s">
        <v>1210</v>
      </c>
    </row>
    <row r="17" spans="1:1" ht="14.4" customHeight="1" x14ac:dyDescent="0.3">
      <c r="A17" s="696" t="s">
        <v>1211</v>
      </c>
    </row>
    <row r="18" spans="1:1" ht="14.4" customHeight="1" x14ac:dyDescent="0.3">
      <c r="A18" s="695" t="s">
        <v>1212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15">
    <cfRule type="expression" dxfId="50" priority="4">
      <formula>AND(LEFT(M10,6)&lt;&gt;"mezera",M10&lt;&gt;"")</formula>
    </cfRule>
  </conditionalFormatting>
  <conditionalFormatting sqref="A10:A15">
    <cfRule type="expression" dxfId="49" priority="2">
      <formula>AND(M10&lt;&gt;"",M10&lt;&gt;"mezeraKL")</formula>
    </cfRule>
  </conditionalFormatting>
  <conditionalFormatting sqref="F10:F15">
    <cfRule type="cellIs" dxfId="48" priority="1" operator="lessThan">
      <formula>0.6</formula>
    </cfRule>
  </conditionalFormatting>
  <conditionalFormatting sqref="B10:L15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15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4" customWidth="1"/>
    <col min="2" max="2" width="11.109375" style="326" bestFit="1" customWidth="1"/>
    <col min="3" max="3" width="11.109375" style="244" hidden="1" customWidth="1"/>
    <col min="4" max="4" width="7.33203125" style="326" bestFit="1" customWidth="1"/>
    <col min="5" max="5" width="7.33203125" style="244" hidden="1" customWidth="1"/>
    <col min="6" max="6" width="11.109375" style="326" bestFit="1" customWidth="1"/>
    <col min="7" max="7" width="5.33203125" style="329" customWidth="1"/>
    <col min="8" max="8" width="7.33203125" style="326" bestFit="1" customWidth="1"/>
    <col min="9" max="9" width="5.33203125" style="329" customWidth="1"/>
    <col min="10" max="10" width="11.109375" style="326" customWidth="1"/>
    <col min="11" max="11" width="5.33203125" style="329" customWidth="1"/>
    <col min="12" max="12" width="7.33203125" style="326" customWidth="1"/>
    <col min="13" max="13" width="5.33203125" style="329" customWidth="1"/>
    <col min="14" max="14" width="0" style="244" hidden="1" customWidth="1"/>
    <col min="15" max="16384" width="8.88671875" style="244"/>
  </cols>
  <sheetData>
    <row r="1" spans="1:13" ht="18.600000000000001" customHeight="1" thickBot="1" x14ac:dyDescent="0.4">
      <c r="A1" s="502" t="s">
        <v>183</v>
      </c>
      <c r="B1" s="502"/>
      <c r="C1" s="502"/>
      <c r="D1" s="502"/>
      <c r="E1" s="502"/>
      <c r="F1" s="502"/>
      <c r="G1" s="502"/>
      <c r="H1" s="502"/>
      <c r="I1" s="502"/>
      <c r="J1" s="465"/>
      <c r="K1" s="465"/>
      <c r="L1" s="465"/>
      <c r="M1" s="465"/>
    </row>
    <row r="2" spans="1:13" ht="14.4" customHeight="1" thickBot="1" x14ac:dyDescent="0.35">
      <c r="A2" s="368" t="s">
        <v>301</v>
      </c>
      <c r="B2" s="333"/>
      <c r="C2" s="325"/>
      <c r="D2" s="333"/>
      <c r="E2" s="325"/>
      <c r="F2" s="333"/>
      <c r="G2" s="334"/>
      <c r="H2" s="333"/>
      <c r="I2" s="334"/>
    </row>
    <row r="3" spans="1:13" ht="14.4" customHeight="1" thickBot="1" x14ac:dyDescent="0.35">
      <c r="A3" s="259"/>
      <c r="B3" s="519" t="s">
        <v>15</v>
      </c>
      <c r="C3" s="521"/>
      <c r="D3" s="518"/>
      <c r="E3" s="258"/>
      <c r="F3" s="518" t="s">
        <v>16</v>
      </c>
      <c r="G3" s="518"/>
      <c r="H3" s="518"/>
      <c r="I3" s="518"/>
      <c r="J3" s="518" t="s">
        <v>182</v>
      </c>
      <c r="K3" s="518"/>
      <c r="L3" s="518"/>
      <c r="M3" s="520"/>
    </row>
    <row r="4" spans="1:13" ht="14.4" customHeight="1" thickBot="1" x14ac:dyDescent="0.35">
      <c r="A4" s="672" t="s">
        <v>159</v>
      </c>
      <c r="B4" s="673" t="s">
        <v>19</v>
      </c>
      <c r="C4" s="700"/>
      <c r="D4" s="673" t="s">
        <v>20</v>
      </c>
      <c r="E4" s="700"/>
      <c r="F4" s="673" t="s">
        <v>19</v>
      </c>
      <c r="G4" s="676" t="s">
        <v>2</v>
      </c>
      <c r="H4" s="673" t="s">
        <v>20</v>
      </c>
      <c r="I4" s="676" t="s">
        <v>2</v>
      </c>
      <c r="J4" s="673" t="s">
        <v>19</v>
      </c>
      <c r="K4" s="676" t="s">
        <v>2</v>
      </c>
      <c r="L4" s="673" t="s">
        <v>20</v>
      </c>
      <c r="M4" s="677" t="s">
        <v>2</v>
      </c>
    </row>
    <row r="5" spans="1:13" ht="14.4" customHeight="1" x14ac:dyDescent="0.3">
      <c r="A5" s="697" t="s">
        <v>1213</v>
      </c>
      <c r="B5" s="688">
        <v>1474.05</v>
      </c>
      <c r="C5" s="633">
        <v>1</v>
      </c>
      <c r="D5" s="701">
        <v>1</v>
      </c>
      <c r="E5" s="704" t="s">
        <v>1213</v>
      </c>
      <c r="F5" s="688">
        <v>1474.05</v>
      </c>
      <c r="G5" s="655">
        <v>1</v>
      </c>
      <c r="H5" s="636">
        <v>1</v>
      </c>
      <c r="I5" s="679">
        <v>1</v>
      </c>
      <c r="J5" s="707"/>
      <c r="K5" s="655">
        <v>0</v>
      </c>
      <c r="L5" s="636"/>
      <c r="M5" s="679">
        <v>0</v>
      </c>
    </row>
    <row r="6" spans="1:13" ht="14.4" customHeight="1" x14ac:dyDescent="0.3">
      <c r="A6" s="698" t="s">
        <v>1214</v>
      </c>
      <c r="B6" s="689">
        <v>4217.72</v>
      </c>
      <c r="C6" s="639">
        <v>1</v>
      </c>
      <c r="D6" s="702">
        <v>7</v>
      </c>
      <c r="E6" s="705" t="s">
        <v>1214</v>
      </c>
      <c r="F6" s="689">
        <v>3298.69</v>
      </c>
      <c r="G6" s="656">
        <v>0.78210265261800216</v>
      </c>
      <c r="H6" s="642">
        <v>4</v>
      </c>
      <c r="I6" s="680">
        <v>0.5714285714285714</v>
      </c>
      <c r="J6" s="708">
        <v>919.03000000000009</v>
      </c>
      <c r="K6" s="656">
        <v>0.21789734738199787</v>
      </c>
      <c r="L6" s="642">
        <v>3</v>
      </c>
      <c r="M6" s="680">
        <v>0.42857142857142855</v>
      </c>
    </row>
    <row r="7" spans="1:13" ht="14.4" customHeight="1" x14ac:dyDescent="0.3">
      <c r="A7" s="698" t="s">
        <v>1215</v>
      </c>
      <c r="B7" s="689">
        <v>10347.570000000002</v>
      </c>
      <c r="C7" s="639">
        <v>1</v>
      </c>
      <c r="D7" s="702">
        <v>22</v>
      </c>
      <c r="E7" s="705" t="s">
        <v>1215</v>
      </c>
      <c r="F7" s="689">
        <v>8511.2900000000009</v>
      </c>
      <c r="G7" s="656">
        <v>0.82253997798516942</v>
      </c>
      <c r="H7" s="642">
        <v>17</v>
      </c>
      <c r="I7" s="680">
        <v>0.77272727272727271</v>
      </c>
      <c r="J7" s="708">
        <v>1836.2800000000002</v>
      </c>
      <c r="K7" s="656">
        <v>0.17746002201483052</v>
      </c>
      <c r="L7" s="642">
        <v>5</v>
      </c>
      <c r="M7" s="680">
        <v>0.22727272727272727</v>
      </c>
    </row>
    <row r="8" spans="1:13" ht="14.4" customHeight="1" x14ac:dyDescent="0.3">
      <c r="A8" s="698" t="s">
        <v>1216</v>
      </c>
      <c r="B8" s="689">
        <v>2653.29</v>
      </c>
      <c r="C8" s="639">
        <v>1</v>
      </c>
      <c r="D8" s="702">
        <v>6</v>
      </c>
      <c r="E8" s="705" t="s">
        <v>1216</v>
      </c>
      <c r="F8" s="689">
        <v>1179.24</v>
      </c>
      <c r="G8" s="656">
        <v>0.44444444444444448</v>
      </c>
      <c r="H8" s="642">
        <v>3</v>
      </c>
      <c r="I8" s="680">
        <v>0.5</v>
      </c>
      <c r="J8" s="708">
        <v>1474.0500000000002</v>
      </c>
      <c r="K8" s="656">
        <v>0.55555555555555558</v>
      </c>
      <c r="L8" s="642">
        <v>3</v>
      </c>
      <c r="M8" s="680">
        <v>0.5</v>
      </c>
    </row>
    <row r="9" spans="1:13" ht="14.4" customHeight="1" x14ac:dyDescent="0.3">
      <c r="A9" s="698" t="s">
        <v>1217</v>
      </c>
      <c r="B9" s="689">
        <v>1768.8600000000001</v>
      </c>
      <c r="C9" s="639">
        <v>1</v>
      </c>
      <c r="D9" s="702">
        <v>2</v>
      </c>
      <c r="E9" s="705" t="s">
        <v>1217</v>
      </c>
      <c r="F9" s="689"/>
      <c r="G9" s="656">
        <v>0</v>
      </c>
      <c r="H9" s="642"/>
      <c r="I9" s="680">
        <v>0</v>
      </c>
      <c r="J9" s="708">
        <v>1768.8600000000001</v>
      </c>
      <c r="K9" s="656">
        <v>1</v>
      </c>
      <c r="L9" s="642">
        <v>2</v>
      </c>
      <c r="M9" s="680">
        <v>1</v>
      </c>
    </row>
    <row r="10" spans="1:13" ht="14.4" customHeight="1" x14ac:dyDescent="0.3">
      <c r="A10" s="698" t="s">
        <v>1218</v>
      </c>
      <c r="B10" s="689">
        <v>2225.9899999999998</v>
      </c>
      <c r="C10" s="639">
        <v>1</v>
      </c>
      <c r="D10" s="702">
        <v>12</v>
      </c>
      <c r="E10" s="705" t="s">
        <v>1218</v>
      </c>
      <c r="F10" s="689">
        <v>2084.85</v>
      </c>
      <c r="G10" s="656">
        <v>0.9365945040184368</v>
      </c>
      <c r="H10" s="642">
        <v>11</v>
      </c>
      <c r="I10" s="680">
        <v>0.91666666666666663</v>
      </c>
      <c r="J10" s="708">
        <v>141.14000000000001</v>
      </c>
      <c r="K10" s="656">
        <v>6.3405495981563267E-2</v>
      </c>
      <c r="L10" s="642">
        <v>1</v>
      </c>
      <c r="M10" s="680">
        <v>8.3333333333333329E-2</v>
      </c>
    </row>
    <row r="11" spans="1:13" ht="14.4" customHeight="1" thickBot="1" x14ac:dyDescent="0.35">
      <c r="A11" s="699" t="s">
        <v>1219</v>
      </c>
      <c r="B11" s="690">
        <v>1179.24</v>
      </c>
      <c r="C11" s="645">
        <v>1</v>
      </c>
      <c r="D11" s="703">
        <v>2</v>
      </c>
      <c r="E11" s="706" t="s">
        <v>1219</v>
      </c>
      <c r="F11" s="690">
        <v>1179.24</v>
      </c>
      <c r="G11" s="657">
        <v>1</v>
      </c>
      <c r="H11" s="648">
        <v>2</v>
      </c>
      <c r="I11" s="681">
        <v>1</v>
      </c>
      <c r="J11" s="709"/>
      <c r="K11" s="657">
        <v>0</v>
      </c>
      <c r="L11" s="648"/>
      <c r="M11" s="68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4" customWidth="1"/>
    <col min="2" max="2" width="10" style="326" customWidth="1"/>
    <col min="3" max="3" width="5.5546875" style="329" customWidth="1"/>
    <col min="4" max="4" width="10" style="326" customWidth="1"/>
    <col min="5" max="5" width="5.5546875" style="329" customWidth="1"/>
    <col min="6" max="6" width="10" style="326" customWidth="1"/>
    <col min="7" max="7" width="8.88671875" style="244" customWidth="1"/>
    <col min="8" max="16384" width="8.88671875" style="244"/>
  </cols>
  <sheetData>
    <row r="1" spans="1:6" ht="37.799999999999997" customHeight="1" thickBot="1" x14ac:dyDescent="0.4">
      <c r="A1" s="501" t="s">
        <v>1220</v>
      </c>
      <c r="B1" s="502"/>
      <c r="C1" s="502"/>
      <c r="D1" s="502"/>
      <c r="E1" s="502"/>
      <c r="F1" s="502"/>
    </row>
    <row r="2" spans="1:6" ht="14.4" customHeight="1" thickBot="1" x14ac:dyDescent="0.35">
      <c r="A2" s="368" t="s">
        <v>301</v>
      </c>
      <c r="B2" s="67"/>
      <c r="C2" s="68"/>
      <c r="D2" s="69"/>
      <c r="E2" s="68"/>
      <c r="F2" s="69"/>
    </row>
    <row r="3" spans="1:6" ht="14.4" customHeight="1" thickBot="1" x14ac:dyDescent="0.35">
      <c r="A3" s="199"/>
      <c r="B3" s="503" t="s">
        <v>153</v>
      </c>
      <c r="C3" s="504"/>
      <c r="D3" s="505" t="s">
        <v>152</v>
      </c>
      <c r="E3" s="504"/>
      <c r="F3" s="97" t="s">
        <v>3</v>
      </c>
    </row>
    <row r="4" spans="1:6" ht="14.4" customHeight="1" thickBot="1" x14ac:dyDescent="0.35">
      <c r="A4" s="650" t="s">
        <v>203</v>
      </c>
      <c r="B4" s="651" t="s">
        <v>14</v>
      </c>
      <c r="C4" s="652" t="s">
        <v>2</v>
      </c>
      <c r="D4" s="651" t="s">
        <v>14</v>
      </c>
      <c r="E4" s="652" t="s">
        <v>2</v>
      </c>
      <c r="F4" s="653" t="s">
        <v>14</v>
      </c>
    </row>
    <row r="5" spans="1:6" ht="14.4" customHeight="1" x14ac:dyDescent="0.3">
      <c r="A5" s="665" t="s">
        <v>1214</v>
      </c>
      <c r="B5" s="636">
        <v>3832.5299999999997</v>
      </c>
      <c r="C5" s="655">
        <v>1</v>
      </c>
      <c r="D5" s="636"/>
      <c r="E5" s="655">
        <v>0</v>
      </c>
      <c r="F5" s="637">
        <v>3832.5299999999997</v>
      </c>
    </row>
    <row r="6" spans="1:6" ht="14.4" customHeight="1" x14ac:dyDescent="0.3">
      <c r="A6" s="666" t="s">
        <v>1215</v>
      </c>
      <c r="B6" s="642">
        <v>2948.1</v>
      </c>
      <c r="C6" s="656">
        <v>0.29411764705882354</v>
      </c>
      <c r="D6" s="642">
        <v>7075.44</v>
      </c>
      <c r="E6" s="656">
        <v>0.70588235294117652</v>
      </c>
      <c r="F6" s="643">
        <v>10023.539999999999</v>
      </c>
    </row>
    <row r="7" spans="1:6" ht="14.4" customHeight="1" x14ac:dyDescent="0.3">
      <c r="A7" s="666" t="s">
        <v>1219</v>
      </c>
      <c r="B7" s="642">
        <v>1179.24</v>
      </c>
      <c r="C7" s="656">
        <v>1</v>
      </c>
      <c r="D7" s="642"/>
      <c r="E7" s="656">
        <v>0</v>
      </c>
      <c r="F7" s="643">
        <v>1179.24</v>
      </c>
    </row>
    <row r="8" spans="1:6" ht="14.4" customHeight="1" x14ac:dyDescent="0.3">
      <c r="A8" s="666" t="s">
        <v>1213</v>
      </c>
      <c r="B8" s="642"/>
      <c r="C8" s="656">
        <v>0</v>
      </c>
      <c r="D8" s="642">
        <v>1474.05</v>
      </c>
      <c r="E8" s="656">
        <v>1</v>
      </c>
      <c r="F8" s="643">
        <v>1474.05</v>
      </c>
    </row>
    <row r="9" spans="1:6" ht="14.4" customHeight="1" x14ac:dyDescent="0.3">
      <c r="A9" s="666" t="s">
        <v>1218</v>
      </c>
      <c r="B9" s="642"/>
      <c r="C9" s="656">
        <v>0</v>
      </c>
      <c r="D9" s="642">
        <v>1768.8600000000001</v>
      </c>
      <c r="E9" s="656">
        <v>1</v>
      </c>
      <c r="F9" s="643">
        <v>1768.8600000000001</v>
      </c>
    </row>
    <row r="10" spans="1:6" ht="14.4" customHeight="1" x14ac:dyDescent="0.3">
      <c r="A10" s="666" t="s">
        <v>1216</v>
      </c>
      <c r="B10" s="642"/>
      <c r="C10" s="656">
        <v>0</v>
      </c>
      <c r="D10" s="642">
        <v>2653.29</v>
      </c>
      <c r="E10" s="656">
        <v>1</v>
      </c>
      <c r="F10" s="643">
        <v>2653.29</v>
      </c>
    </row>
    <row r="11" spans="1:6" ht="14.4" customHeight="1" thickBot="1" x14ac:dyDescent="0.35">
      <c r="A11" s="667" t="s">
        <v>1217</v>
      </c>
      <c r="B11" s="658"/>
      <c r="C11" s="659">
        <v>0</v>
      </c>
      <c r="D11" s="658">
        <v>1768.8600000000001</v>
      </c>
      <c r="E11" s="659">
        <v>1</v>
      </c>
      <c r="F11" s="660">
        <v>1768.8600000000001</v>
      </c>
    </row>
    <row r="12" spans="1:6" ht="14.4" customHeight="1" thickBot="1" x14ac:dyDescent="0.35">
      <c r="A12" s="661" t="s">
        <v>3</v>
      </c>
      <c r="B12" s="662">
        <v>7959.87</v>
      </c>
      <c r="C12" s="663">
        <v>0.35064935064935066</v>
      </c>
      <c r="D12" s="662">
        <v>14740.5</v>
      </c>
      <c r="E12" s="663">
        <v>0.64935064935064934</v>
      </c>
      <c r="F12" s="664">
        <v>22700.37</v>
      </c>
    </row>
    <row r="13" spans="1:6" ht="14.4" customHeight="1" thickBot="1" x14ac:dyDescent="0.35"/>
    <row r="14" spans="1:6" ht="14.4" customHeight="1" thickBot="1" x14ac:dyDescent="0.35">
      <c r="A14" s="678" t="s">
        <v>1143</v>
      </c>
      <c r="B14" s="630">
        <v>7959.869999999999</v>
      </c>
      <c r="C14" s="654">
        <v>0.3506493506493506</v>
      </c>
      <c r="D14" s="630">
        <v>14740.5</v>
      </c>
      <c r="E14" s="654">
        <v>0.64935064935064934</v>
      </c>
      <c r="F14" s="631">
        <v>22700.37</v>
      </c>
    </row>
    <row r="15" spans="1:6" ht="14.4" customHeight="1" thickBot="1" x14ac:dyDescent="0.35">
      <c r="A15" s="661" t="s">
        <v>3</v>
      </c>
      <c r="B15" s="662">
        <v>7959.869999999999</v>
      </c>
      <c r="C15" s="663">
        <v>0.3506493506493506</v>
      </c>
      <c r="D15" s="662">
        <v>14740.5</v>
      </c>
      <c r="E15" s="663">
        <v>0.64935064935064934</v>
      </c>
      <c r="F15" s="664">
        <v>22700.37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{5320BDAC-E746-4945-B50A-DAC1335E848C}</x14:id>
        </ext>
      </extLst>
    </cfRule>
  </conditionalFormatting>
  <conditionalFormatting sqref="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{99CE4FE7-A959-4F6D-90B0-70D632C3DC0E}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20BDAC-E746-4945-B50A-DAC1335E84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99CE4FE7-A959-4F6D-90B0-70D632C3DC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4" customWidth="1"/>
    <col min="2" max="2" width="8.88671875" style="244" bestFit="1" customWidth="1"/>
    <col min="3" max="3" width="7" style="244" bestFit="1" customWidth="1"/>
    <col min="4" max="5" width="22.21875" style="244" customWidth="1"/>
    <col min="6" max="6" width="6.6640625" style="326" customWidth="1"/>
    <col min="7" max="7" width="10" style="326" customWidth="1"/>
    <col min="8" max="8" width="6.77734375" style="329" customWidth="1"/>
    <col min="9" max="9" width="6.6640625" style="326" customWidth="1"/>
    <col min="10" max="10" width="10" style="326" customWidth="1"/>
    <col min="11" max="11" width="6.77734375" style="329" customWidth="1"/>
    <col min="12" max="12" width="6.6640625" style="326" customWidth="1"/>
    <col min="13" max="13" width="10" style="326" customWidth="1"/>
    <col min="14" max="16384" width="8.88671875" style="244"/>
  </cols>
  <sheetData>
    <row r="1" spans="1:13" ht="18.600000000000001" customHeight="1" thickBot="1" x14ac:dyDescent="0.4">
      <c r="A1" s="502" t="s">
        <v>1225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464"/>
      <c r="M1" s="464"/>
    </row>
    <row r="2" spans="1:13" ht="14.4" customHeight="1" thickBot="1" x14ac:dyDescent="0.35">
      <c r="A2" s="368" t="s">
        <v>301</v>
      </c>
      <c r="B2" s="325"/>
      <c r="C2" s="325"/>
      <c r="D2" s="325"/>
      <c r="E2" s="325"/>
      <c r="F2" s="333"/>
      <c r="G2" s="333"/>
      <c r="H2" s="334"/>
      <c r="I2" s="333"/>
      <c r="J2" s="333"/>
      <c r="K2" s="334"/>
      <c r="L2" s="333"/>
    </row>
    <row r="3" spans="1:13" ht="14.4" customHeight="1" thickBot="1" x14ac:dyDescent="0.35">
      <c r="E3" s="96" t="s">
        <v>151</v>
      </c>
      <c r="F3" s="47">
        <f>SUBTOTAL(9,F6:F1048576)</f>
        <v>27</v>
      </c>
      <c r="G3" s="47">
        <f>SUBTOTAL(9,G6:G1048576)</f>
        <v>7959.869999999999</v>
      </c>
      <c r="H3" s="48">
        <f>IF(M3=0,0,G3/M3)</f>
        <v>0.35064935064935054</v>
      </c>
      <c r="I3" s="47">
        <f>SUBTOTAL(9,I6:I1048576)</f>
        <v>50</v>
      </c>
      <c r="J3" s="47">
        <f>SUBTOTAL(9,J6:J1048576)</f>
        <v>14740.5</v>
      </c>
      <c r="K3" s="48">
        <f>IF(M3=0,0,J3/M3)</f>
        <v>0.64935064935064923</v>
      </c>
      <c r="L3" s="47">
        <f>SUBTOTAL(9,L6:L1048576)</f>
        <v>77</v>
      </c>
      <c r="M3" s="49">
        <f>SUBTOTAL(9,M6:M1048576)</f>
        <v>22700.370000000003</v>
      </c>
    </row>
    <row r="4" spans="1:13" ht="14.4" customHeight="1" thickBot="1" x14ac:dyDescent="0.35">
      <c r="A4" s="45"/>
      <c r="B4" s="45"/>
      <c r="C4" s="45"/>
      <c r="D4" s="45"/>
      <c r="E4" s="46"/>
      <c r="F4" s="506" t="s">
        <v>153</v>
      </c>
      <c r="G4" s="507"/>
      <c r="H4" s="508"/>
      <c r="I4" s="509" t="s">
        <v>152</v>
      </c>
      <c r="J4" s="507"/>
      <c r="K4" s="508"/>
      <c r="L4" s="510" t="s">
        <v>3</v>
      </c>
      <c r="M4" s="511"/>
    </row>
    <row r="5" spans="1:13" ht="14.4" customHeight="1" thickBot="1" x14ac:dyDescent="0.35">
      <c r="A5" s="650" t="s">
        <v>159</v>
      </c>
      <c r="B5" s="669" t="s">
        <v>155</v>
      </c>
      <c r="C5" s="669" t="s">
        <v>83</v>
      </c>
      <c r="D5" s="669" t="s">
        <v>156</v>
      </c>
      <c r="E5" s="669" t="s">
        <v>157</v>
      </c>
      <c r="F5" s="670" t="s">
        <v>21</v>
      </c>
      <c r="G5" s="670" t="s">
        <v>14</v>
      </c>
      <c r="H5" s="652" t="s">
        <v>158</v>
      </c>
      <c r="I5" s="651" t="s">
        <v>21</v>
      </c>
      <c r="J5" s="670" t="s">
        <v>14</v>
      </c>
      <c r="K5" s="652" t="s">
        <v>158</v>
      </c>
      <c r="L5" s="651" t="s">
        <v>21</v>
      </c>
      <c r="M5" s="671" t="s">
        <v>14</v>
      </c>
    </row>
    <row r="6" spans="1:13" ht="14.4" customHeight="1" x14ac:dyDescent="0.3">
      <c r="A6" s="632" t="s">
        <v>1213</v>
      </c>
      <c r="B6" s="633" t="s">
        <v>1195</v>
      </c>
      <c r="C6" s="633" t="s">
        <v>1221</v>
      </c>
      <c r="D6" s="633" t="s">
        <v>1222</v>
      </c>
      <c r="E6" s="633" t="s">
        <v>1029</v>
      </c>
      <c r="F6" s="636"/>
      <c r="G6" s="636"/>
      <c r="H6" s="655">
        <v>0</v>
      </c>
      <c r="I6" s="636">
        <v>5</v>
      </c>
      <c r="J6" s="636">
        <v>1474.05</v>
      </c>
      <c r="K6" s="655">
        <v>1</v>
      </c>
      <c r="L6" s="636">
        <v>5</v>
      </c>
      <c r="M6" s="637">
        <v>1474.05</v>
      </c>
    </row>
    <row r="7" spans="1:13" ht="14.4" customHeight="1" x14ac:dyDescent="0.3">
      <c r="A7" s="638" t="s">
        <v>1214</v>
      </c>
      <c r="B7" s="639" t="s">
        <v>1195</v>
      </c>
      <c r="C7" s="639" t="s">
        <v>1223</v>
      </c>
      <c r="D7" s="639" t="s">
        <v>1224</v>
      </c>
      <c r="E7" s="639" t="s">
        <v>1029</v>
      </c>
      <c r="F7" s="642">
        <v>13</v>
      </c>
      <c r="G7" s="642">
        <v>3832.5299999999997</v>
      </c>
      <c r="H7" s="656">
        <v>1</v>
      </c>
      <c r="I7" s="642"/>
      <c r="J7" s="642"/>
      <c r="K7" s="656">
        <v>0</v>
      </c>
      <c r="L7" s="642">
        <v>13</v>
      </c>
      <c r="M7" s="643">
        <v>3832.5299999999997</v>
      </c>
    </row>
    <row r="8" spans="1:13" ht="14.4" customHeight="1" x14ac:dyDescent="0.3">
      <c r="A8" s="638" t="s">
        <v>1215</v>
      </c>
      <c r="B8" s="639" t="s">
        <v>1195</v>
      </c>
      <c r="C8" s="639" t="s">
        <v>1223</v>
      </c>
      <c r="D8" s="639" t="s">
        <v>1224</v>
      </c>
      <c r="E8" s="639" t="s">
        <v>1029</v>
      </c>
      <c r="F8" s="642">
        <v>10</v>
      </c>
      <c r="G8" s="642">
        <v>2948.1</v>
      </c>
      <c r="H8" s="656">
        <v>1</v>
      </c>
      <c r="I8" s="642"/>
      <c r="J8" s="642"/>
      <c r="K8" s="656">
        <v>0</v>
      </c>
      <c r="L8" s="642">
        <v>10</v>
      </c>
      <c r="M8" s="643">
        <v>2948.1</v>
      </c>
    </row>
    <row r="9" spans="1:13" ht="14.4" customHeight="1" x14ac:dyDescent="0.3">
      <c r="A9" s="638" t="s">
        <v>1215</v>
      </c>
      <c r="B9" s="639" t="s">
        <v>1195</v>
      </c>
      <c r="C9" s="639" t="s">
        <v>1221</v>
      </c>
      <c r="D9" s="639" t="s">
        <v>1222</v>
      </c>
      <c r="E9" s="639" t="s">
        <v>1029</v>
      </c>
      <c r="F9" s="642"/>
      <c r="G9" s="642"/>
      <c r="H9" s="656">
        <v>0</v>
      </c>
      <c r="I9" s="642">
        <v>24</v>
      </c>
      <c r="J9" s="642">
        <v>7075.44</v>
      </c>
      <c r="K9" s="656">
        <v>1</v>
      </c>
      <c r="L9" s="642">
        <v>24</v>
      </c>
      <c r="M9" s="643">
        <v>7075.44</v>
      </c>
    </row>
    <row r="10" spans="1:13" ht="14.4" customHeight="1" x14ac:dyDescent="0.3">
      <c r="A10" s="638" t="s">
        <v>1216</v>
      </c>
      <c r="B10" s="639" t="s">
        <v>1195</v>
      </c>
      <c r="C10" s="639" t="s">
        <v>1221</v>
      </c>
      <c r="D10" s="639" t="s">
        <v>1222</v>
      </c>
      <c r="E10" s="639" t="s">
        <v>1029</v>
      </c>
      <c r="F10" s="642"/>
      <c r="G10" s="642"/>
      <c r="H10" s="656">
        <v>0</v>
      </c>
      <c r="I10" s="642">
        <v>9</v>
      </c>
      <c r="J10" s="642">
        <v>2653.29</v>
      </c>
      <c r="K10" s="656">
        <v>1</v>
      </c>
      <c r="L10" s="642">
        <v>9</v>
      </c>
      <c r="M10" s="643">
        <v>2653.29</v>
      </c>
    </row>
    <row r="11" spans="1:13" ht="14.4" customHeight="1" x14ac:dyDescent="0.3">
      <c r="A11" s="638" t="s">
        <v>1217</v>
      </c>
      <c r="B11" s="639" t="s">
        <v>1195</v>
      </c>
      <c r="C11" s="639" t="s">
        <v>1221</v>
      </c>
      <c r="D11" s="639" t="s">
        <v>1222</v>
      </c>
      <c r="E11" s="639" t="s">
        <v>1029</v>
      </c>
      <c r="F11" s="642"/>
      <c r="G11" s="642"/>
      <c r="H11" s="656">
        <v>0</v>
      </c>
      <c r="I11" s="642">
        <v>6</v>
      </c>
      <c r="J11" s="642">
        <v>1768.8600000000001</v>
      </c>
      <c r="K11" s="656">
        <v>1</v>
      </c>
      <c r="L11" s="642">
        <v>6</v>
      </c>
      <c r="M11" s="643">
        <v>1768.8600000000001</v>
      </c>
    </row>
    <row r="12" spans="1:13" ht="14.4" customHeight="1" x14ac:dyDescent="0.3">
      <c r="A12" s="638" t="s">
        <v>1218</v>
      </c>
      <c r="B12" s="639" t="s">
        <v>1195</v>
      </c>
      <c r="C12" s="639" t="s">
        <v>1221</v>
      </c>
      <c r="D12" s="639" t="s">
        <v>1222</v>
      </c>
      <c r="E12" s="639" t="s">
        <v>1029</v>
      </c>
      <c r="F12" s="642"/>
      <c r="G12" s="642"/>
      <c r="H12" s="656">
        <v>0</v>
      </c>
      <c r="I12" s="642">
        <v>6</v>
      </c>
      <c r="J12" s="642">
        <v>1768.8600000000001</v>
      </c>
      <c r="K12" s="656">
        <v>1</v>
      </c>
      <c r="L12" s="642">
        <v>6</v>
      </c>
      <c r="M12" s="643">
        <v>1768.8600000000001</v>
      </c>
    </row>
    <row r="13" spans="1:13" ht="14.4" customHeight="1" thickBot="1" x14ac:dyDescent="0.35">
      <c r="A13" s="644" t="s">
        <v>1219</v>
      </c>
      <c r="B13" s="645" t="s">
        <v>1195</v>
      </c>
      <c r="C13" s="645" t="s">
        <v>1223</v>
      </c>
      <c r="D13" s="645" t="s">
        <v>1224</v>
      </c>
      <c r="E13" s="645" t="s">
        <v>1029</v>
      </c>
      <c r="F13" s="648">
        <v>4</v>
      </c>
      <c r="G13" s="648">
        <v>1179.24</v>
      </c>
      <c r="H13" s="657">
        <v>1</v>
      </c>
      <c r="I13" s="648"/>
      <c r="J13" s="648"/>
      <c r="K13" s="657">
        <v>0</v>
      </c>
      <c r="L13" s="648">
        <v>4</v>
      </c>
      <c r="M13" s="649">
        <v>1179.24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7" customWidth="1"/>
    <col min="2" max="2" width="61.109375" style="327" customWidth="1"/>
    <col min="3" max="3" width="9.5546875" style="244" customWidth="1"/>
    <col min="4" max="4" width="9.5546875" style="328" customWidth="1"/>
    <col min="5" max="5" width="2.21875" style="328" customWidth="1"/>
    <col min="6" max="6" width="9.5546875" style="329" customWidth="1"/>
    <col min="7" max="7" width="9.5546875" style="326" customWidth="1"/>
    <col min="8" max="9" width="9.5546875" style="244" customWidth="1"/>
    <col min="10" max="10" width="0" style="244" hidden="1" customWidth="1"/>
    <col min="11" max="16384" width="8.88671875" style="244"/>
  </cols>
  <sheetData>
    <row r="1" spans="1:10" ht="18.600000000000001" customHeight="1" thickBot="1" x14ac:dyDescent="0.4">
      <c r="A1" s="493" t="s">
        <v>170</v>
      </c>
      <c r="B1" s="494"/>
      <c r="C1" s="494"/>
      <c r="D1" s="494"/>
      <c r="E1" s="494"/>
      <c r="F1" s="494"/>
      <c r="G1" s="465"/>
      <c r="H1" s="495"/>
      <c r="I1" s="495"/>
    </row>
    <row r="2" spans="1:10" ht="14.4" customHeight="1" thickBot="1" x14ac:dyDescent="0.35">
      <c r="A2" s="368" t="s">
        <v>301</v>
      </c>
      <c r="B2" s="325"/>
      <c r="C2" s="325"/>
      <c r="D2" s="325"/>
      <c r="E2" s="325"/>
      <c r="F2" s="325"/>
    </row>
    <row r="3" spans="1:10" ht="14.4" customHeight="1" thickBot="1" x14ac:dyDescent="0.35">
      <c r="A3" s="368"/>
      <c r="B3" s="325"/>
      <c r="C3" s="426">
        <v>2014</v>
      </c>
      <c r="D3" s="427">
        <v>2015</v>
      </c>
      <c r="E3" s="11"/>
      <c r="F3" s="488">
        <v>2016</v>
      </c>
      <c r="G3" s="489"/>
      <c r="H3" s="489"/>
      <c r="I3" s="490"/>
    </row>
    <row r="4" spans="1:10" ht="14.4" customHeight="1" thickBot="1" x14ac:dyDescent="0.35">
      <c r="A4" s="431" t="s">
        <v>0</v>
      </c>
      <c r="B4" s="432" t="s">
        <v>247</v>
      </c>
      <c r="C4" s="491" t="s">
        <v>87</v>
      </c>
      <c r="D4" s="492"/>
      <c r="E4" s="433"/>
      <c r="F4" s="428" t="s">
        <v>87</v>
      </c>
      <c r="G4" s="429" t="s">
        <v>88</v>
      </c>
      <c r="H4" s="429" t="s">
        <v>62</v>
      </c>
      <c r="I4" s="430" t="s">
        <v>89</v>
      </c>
    </row>
    <row r="5" spans="1:10" ht="14.4" customHeight="1" x14ac:dyDescent="0.3">
      <c r="A5" s="620" t="s">
        <v>537</v>
      </c>
      <c r="B5" s="621" t="s">
        <v>538</v>
      </c>
      <c r="C5" s="622" t="s">
        <v>539</v>
      </c>
      <c r="D5" s="622" t="s">
        <v>539</v>
      </c>
      <c r="E5" s="622"/>
      <c r="F5" s="622" t="s">
        <v>539</v>
      </c>
      <c r="G5" s="622" t="s">
        <v>539</v>
      </c>
      <c r="H5" s="622" t="s">
        <v>539</v>
      </c>
      <c r="I5" s="623" t="s">
        <v>539</v>
      </c>
      <c r="J5" s="624" t="s">
        <v>67</v>
      </c>
    </row>
    <row r="6" spans="1:10" ht="14.4" customHeight="1" x14ac:dyDescent="0.3">
      <c r="A6" s="620" t="s">
        <v>537</v>
      </c>
      <c r="B6" s="621" t="s">
        <v>324</v>
      </c>
      <c r="C6" s="622">
        <v>0.495</v>
      </c>
      <c r="D6" s="622">
        <v>0</v>
      </c>
      <c r="E6" s="622"/>
      <c r="F6" s="622" t="s">
        <v>539</v>
      </c>
      <c r="G6" s="622" t="s">
        <v>539</v>
      </c>
      <c r="H6" s="622" t="s">
        <v>539</v>
      </c>
      <c r="I6" s="623" t="s">
        <v>539</v>
      </c>
      <c r="J6" s="624" t="s">
        <v>1</v>
      </c>
    </row>
    <row r="7" spans="1:10" ht="14.4" customHeight="1" x14ac:dyDescent="0.3">
      <c r="A7" s="620" t="s">
        <v>537</v>
      </c>
      <c r="B7" s="621" t="s">
        <v>325</v>
      </c>
      <c r="C7" s="622">
        <v>251.91494000000003</v>
      </c>
      <c r="D7" s="622">
        <v>235.30319999999998</v>
      </c>
      <c r="E7" s="622"/>
      <c r="F7" s="622">
        <v>358.72125</v>
      </c>
      <c r="G7" s="622">
        <v>355.81282554192723</v>
      </c>
      <c r="H7" s="622">
        <v>2.9084244580727727</v>
      </c>
      <c r="I7" s="623">
        <v>1.0081740292909427</v>
      </c>
      <c r="J7" s="624" t="s">
        <v>1</v>
      </c>
    </row>
    <row r="8" spans="1:10" ht="14.4" customHeight="1" x14ac:dyDescent="0.3">
      <c r="A8" s="620" t="s">
        <v>537</v>
      </c>
      <c r="B8" s="621" t="s">
        <v>326</v>
      </c>
      <c r="C8" s="622">
        <v>2.6819699999999997</v>
      </c>
      <c r="D8" s="622">
        <v>0.8236</v>
      </c>
      <c r="E8" s="622"/>
      <c r="F8" s="622">
        <v>0</v>
      </c>
      <c r="G8" s="622">
        <v>1.1666667719921668</v>
      </c>
      <c r="H8" s="622">
        <v>-1.1666667719921668</v>
      </c>
      <c r="I8" s="623">
        <v>0</v>
      </c>
      <c r="J8" s="624" t="s">
        <v>1</v>
      </c>
    </row>
    <row r="9" spans="1:10" ht="14.4" customHeight="1" x14ac:dyDescent="0.3">
      <c r="A9" s="620" t="s">
        <v>537</v>
      </c>
      <c r="B9" s="621" t="s">
        <v>327</v>
      </c>
      <c r="C9" s="622">
        <v>100.05379000000001</v>
      </c>
      <c r="D9" s="622">
        <v>88.29267999999999</v>
      </c>
      <c r="E9" s="622"/>
      <c r="F9" s="622">
        <v>132.51471999999998</v>
      </c>
      <c r="G9" s="622">
        <v>96.250008689399834</v>
      </c>
      <c r="H9" s="622">
        <v>36.264711310600148</v>
      </c>
      <c r="I9" s="623">
        <v>1.3767761873936748</v>
      </c>
      <c r="J9" s="624" t="s">
        <v>1</v>
      </c>
    </row>
    <row r="10" spans="1:10" ht="14.4" customHeight="1" x14ac:dyDescent="0.3">
      <c r="A10" s="620" t="s">
        <v>537</v>
      </c>
      <c r="B10" s="621" t="s">
        <v>328</v>
      </c>
      <c r="C10" s="622">
        <v>1497.5886400000009</v>
      </c>
      <c r="D10" s="622">
        <v>2140.1304500000001</v>
      </c>
      <c r="E10" s="622"/>
      <c r="F10" s="622">
        <v>1694.15816</v>
      </c>
      <c r="G10" s="622">
        <v>1855.2174501803074</v>
      </c>
      <c r="H10" s="622">
        <v>-161.05929018030747</v>
      </c>
      <c r="I10" s="623">
        <v>0.91318576150485531</v>
      </c>
      <c r="J10" s="624" t="s">
        <v>1</v>
      </c>
    </row>
    <row r="11" spans="1:10" ht="14.4" customHeight="1" x14ac:dyDescent="0.3">
      <c r="A11" s="620" t="s">
        <v>537</v>
      </c>
      <c r="B11" s="621" t="s">
        <v>329</v>
      </c>
      <c r="C11" s="622">
        <v>24.001569999999997</v>
      </c>
      <c r="D11" s="622">
        <v>22.563220000000001</v>
      </c>
      <c r="E11" s="622"/>
      <c r="F11" s="622">
        <v>22.283220000000004</v>
      </c>
      <c r="G11" s="622">
        <v>20.416668509872249</v>
      </c>
      <c r="H11" s="622">
        <v>1.8665514901277547</v>
      </c>
      <c r="I11" s="623">
        <v>1.0914229218750946</v>
      </c>
      <c r="J11" s="624" t="s">
        <v>1</v>
      </c>
    </row>
    <row r="12" spans="1:10" ht="14.4" customHeight="1" x14ac:dyDescent="0.3">
      <c r="A12" s="620" t="s">
        <v>537</v>
      </c>
      <c r="B12" s="621" t="s">
        <v>330</v>
      </c>
      <c r="C12" s="622">
        <v>2.6675499999999999</v>
      </c>
      <c r="D12" s="622">
        <v>3.5248800000000005</v>
      </c>
      <c r="E12" s="622"/>
      <c r="F12" s="622">
        <v>2.9911500000000002</v>
      </c>
      <c r="G12" s="622">
        <v>4.0833337019743334</v>
      </c>
      <c r="H12" s="622">
        <v>-1.0921837019743332</v>
      </c>
      <c r="I12" s="623">
        <v>0.73252646448017433</v>
      </c>
      <c r="J12" s="624" t="s">
        <v>1</v>
      </c>
    </row>
    <row r="13" spans="1:10" ht="14.4" customHeight="1" x14ac:dyDescent="0.3">
      <c r="A13" s="620" t="s">
        <v>537</v>
      </c>
      <c r="B13" s="621" t="s">
        <v>331</v>
      </c>
      <c r="C13" s="622">
        <v>5.6176600000000008</v>
      </c>
      <c r="D13" s="622">
        <v>6.3217500000000015</v>
      </c>
      <c r="E13" s="622"/>
      <c r="F13" s="622">
        <v>4.7682400000000005</v>
      </c>
      <c r="G13" s="622">
        <v>5.5892846712628321</v>
      </c>
      <c r="H13" s="622">
        <v>-0.82104467126283165</v>
      </c>
      <c r="I13" s="623">
        <v>0.85310380137118214</v>
      </c>
      <c r="J13" s="624" t="s">
        <v>1</v>
      </c>
    </row>
    <row r="14" spans="1:10" ht="14.4" customHeight="1" x14ac:dyDescent="0.3">
      <c r="A14" s="620" t="s">
        <v>537</v>
      </c>
      <c r="B14" s="621" t="s">
        <v>332</v>
      </c>
      <c r="C14" s="622">
        <v>78.383390000000006</v>
      </c>
      <c r="D14" s="622">
        <v>101.98506</v>
      </c>
      <c r="E14" s="622"/>
      <c r="F14" s="622">
        <v>118.57320999999999</v>
      </c>
      <c r="G14" s="622">
        <v>84.583340969471749</v>
      </c>
      <c r="H14" s="622">
        <v>33.98986903052824</v>
      </c>
      <c r="I14" s="623">
        <v>1.4018506320623589</v>
      </c>
      <c r="J14" s="624" t="s">
        <v>1</v>
      </c>
    </row>
    <row r="15" spans="1:10" ht="14.4" customHeight="1" x14ac:dyDescent="0.3">
      <c r="A15" s="620" t="s">
        <v>537</v>
      </c>
      <c r="B15" s="621" t="s">
        <v>333</v>
      </c>
      <c r="C15" s="622">
        <v>60.143059999999991</v>
      </c>
      <c r="D15" s="622">
        <v>51.126519999999999</v>
      </c>
      <c r="E15" s="622"/>
      <c r="F15" s="622">
        <v>54.449999999999996</v>
      </c>
      <c r="G15" s="622">
        <v>49.000004423694335</v>
      </c>
      <c r="H15" s="622">
        <v>5.4499955763056604</v>
      </c>
      <c r="I15" s="623">
        <v>1.1112243894751623</v>
      </c>
      <c r="J15" s="624" t="s">
        <v>1</v>
      </c>
    </row>
    <row r="16" spans="1:10" ht="14.4" customHeight="1" x14ac:dyDescent="0.3">
      <c r="A16" s="620" t="s">
        <v>537</v>
      </c>
      <c r="B16" s="621" t="s">
        <v>334</v>
      </c>
      <c r="C16" s="622" t="s">
        <v>539</v>
      </c>
      <c r="D16" s="622">
        <v>203.51257000000001</v>
      </c>
      <c r="E16" s="622"/>
      <c r="F16" s="622">
        <v>178.48979</v>
      </c>
      <c r="G16" s="622">
        <v>175.00001579890957</v>
      </c>
      <c r="H16" s="622">
        <v>3.4897742010904267</v>
      </c>
      <c r="I16" s="623">
        <v>1.0199415650630597</v>
      </c>
      <c r="J16" s="624" t="s">
        <v>1</v>
      </c>
    </row>
    <row r="17" spans="1:10" ht="14.4" customHeight="1" x14ac:dyDescent="0.3">
      <c r="A17" s="620" t="s">
        <v>537</v>
      </c>
      <c r="B17" s="621" t="s">
        <v>1226</v>
      </c>
      <c r="C17" s="622">
        <v>0</v>
      </c>
      <c r="D17" s="622" t="s">
        <v>539</v>
      </c>
      <c r="E17" s="622"/>
      <c r="F17" s="622" t="s">
        <v>539</v>
      </c>
      <c r="G17" s="622" t="s">
        <v>539</v>
      </c>
      <c r="H17" s="622" t="s">
        <v>539</v>
      </c>
      <c r="I17" s="623" t="s">
        <v>539</v>
      </c>
      <c r="J17" s="624" t="s">
        <v>1</v>
      </c>
    </row>
    <row r="18" spans="1:10" ht="14.4" customHeight="1" x14ac:dyDescent="0.3">
      <c r="A18" s="620" t="s">
        <v>537</v>
      </c>
      <c r="B18" s="621" t="s">
        <v>540</v>
      </c>
      <c r="C18" s="622">
        <v>2023.5475700000006</v>
      </c>
      <c r="D18" s="622">
        <v>2853.5839299999998</v>
      </c>
      <c r="E18" s="622"/>
      <c r="F18" s="622">
        <v>2566.9497399999991</v>
      </c>
      <c r="G18" s="622">
        <v>2647.1195992588123</v>
      </c>
      <c r="H18" s="622">
        <v>-80.169859258813176</v>
      </c>
      <c r="I18" s="623">
        <v>0.96971430407554671</v>
      </c>
      <c r="J18" s="624" t="s">
        <v>541</v>
      </c>
    </row>
    <row r="20" spans="1:10" ht="14.4" customHeight="1" x14ac:dyDescent="0.3">
      <c r="A20" s="620" t="s">
        <v>537</v>
      </c>
      <c r="B20" s="621" t="s">
        <v>538</v>
      </c>
      <c r="C20" s="622" t="s">
        <v>539</v>
      </c>
      <c r="D20" s="622" t="s">
        <v>539</v>
      </c>
      <c r="E20" s="622"/>
      <c r="F20" s="622" t="s">
        <v>539</v>
      </c>
      <c r="G20" s="622" t="s">
        <v>539</v>
      </c>
      <c r="H20" s="622" t="s">
        <v>539</v>
      </c>
      <c r="I20" s="623" t="s">
        <v>539</v>
      </c>
      <c r="J20" s="624" t="s">
        <v>67</v>
      </c>
    </row>
    <row r="21" spans="1:10" ht="14.4" customHeight="1" x14ac:dyDescent="0.3">
      <c r="A21" s="620" t="s">
        <v>542</v>
      </c>
      <c r="B21" s="621" t="s">
        <v>543</v>
      </c>
      <c r="C21" s="622" t="s">
        <v>539</v>
      </c>
      <c r="D21" s="622" t="s">
        <v>539</v>
      </c>
      <c r="E21" s="622"/>
      <c r="F21" s="622" t="s">
        <v>539</v>
      </c>
      <c r="G21" s="622" t="s">
        <v>539</v>
      </c>
      <c r="H21" s="622" t="s">
        <v>539</v>
      </c>
      <c r="I21" s="623" t="s">
        <v>539</v>
      </c>
      <c r="J21" s="624" t="s">
        <v>0</v>
      </c>
    </row>
    <row r="22" spans="1:10" ht="14.4" customHeight="1" x14ac:dyDescent="0.3">
      <c r="A22" s="620" t="s">
        <v>542</v>
      </c>
      <c r="B22" s="621" t="s">
        <v>325</v>
      </c>
      <c r="C22" s="622">
        <v>26.61</v>
      </c>
      <c r="D22" s="622">
        <v>15.600989999999999</v>
      </c>
      <c r="E22" s="622"/>
      <c r="F22" s="622">
        <v>90.876069999999999</v>
      </c>
      <c r="G22" s="622">
        <v>24.232785176114085</v>
      </c>
      <c r="H22" s="622">
        <v>66.643284823885921</v>
      </c>
      <c r="I22" s="623">
        <v>3.7501289818545192</v>
      </c>
      <c r="J22" s="624" t="s">
        <v>1</v>
      </c>
    </row>
    <row r="23" spans="1:10" ht="14.4" customHeight="1" x14ac:dyDescent="0.3">
      <c r="A23" s="620" t="s">
        <v>542</v>
      </c>
      <c r="B23" s="621" t="s">
        <v>326</v>
      </c>
      <c r="C23" s="622">
        <v>0</v>
      </c>
      <c r="D23" s="622" t="s">
        <v>539</v>
      </c>
      <c r="E23" s="622"/>
      <c r="F23" s="622" t="s">
        <v>539</v>
      </c>
      <c r="G23" s="622" t="s">
        <v>539</v>
      </c>
      <c r="H23" s="622" t="s">
        <v>539</v>
      </c>
      <c r="I23" s="623" t="s">
        <v>539</v>
      </c>
      <c r="J23" s="624" t="s">
        <v>1</v>
      </c>
    </row>
    <row r="24" spans="1:10" ht="14.4" customHeight="1" x14ac:dyDescent="0.3">
      <c r="A24" s="620" t="s">
        <v>542</v>
      </c>
      <c r="B24" s="621" t="s">
        <v>327</v>
      </c>
      <c r="C24" s="622">
        <v>10.21893</v>
      </c>
      <c r="D24" s="622">
        <v>14.2417</v>
      </c>
      <c r="E24" s="622"/>
      <c r="F24" s="622">
        <v>24.363039999999998</v>
      </c>
      <c r="G24" s="622">
        <v>17.834196261696501</v>
      </c>
      <c r="H24" s="622">
        <v>6.5288437383034967</v>
      </c>
      <c r="I24" s="623">
        <v>1.3660856728556845</v>
      </c>
      <c r="J24" s="624" t="s">
        <v>1</v>
      </c>
    </row>
    <row r="25" spans="1:10" ht="14.4" customHeight="1" x14ac:dyDescent="0.3">
      <c r="A25" s="620" t="s">
        <v>542</v>
      </c>
      <c r="B25" s="621" t="s">
        <v>328</v>
      </c>
      <c r="C25" s="622">
        <v>107.90751999999999</v>
      </c>
      <c r="D25" s="622">
        <v>134.26503</v>
      </c>
      <c r="E25" s="622"/>
      <c r="F25" s="622">
        <v>153.59967</v>
      </c>
      <c r="G25" s="622">
        <v>125.06241460603333</v>
      </c>
      <c r="H25" s="622">
        <v>28.537255393966674</v>
      </c>
      <c r="I25" s="623">
        <v>1.2281841069826103</v>
      </c>
      <c r="J25" s="624" t="s">
        <v>1</v>
      </c>
    </row>
    <row r="26" spans="1:10" ht="14.4" customHeight="1" x14ac:dyDescent="0.3">
      <c r="A26" s="620" t="s">
        <v>542</v>
      </c>
      <c r="B26" s="621" t="s">
        <v>329</v>
      </c>
      <c r="C26" s="622">
        <v>0</v>
      </c>
      <c r="D26" s="622" t="s">
        <v>539</v>
      </c>
      <c r="E26" s="622"/>
      <c r="F26" s="622" t="s">
        <v>539</v>
      </c>
      <c r="G26" s="622" t="s">
        <v>539</v>
      </c>
      <c r="H26" s="622" t="s">
        <v>539</v>
      </c>
      <c r="I26" s="623" t="s">
        <v>539</v>
      </c>
      <c r="J26" s="624" t="s">
        <v>1</v>
      </c>
    </row>
    <row r="27" spans="1:10" ht="14.4" customHeight="1" x14ac:dyDescent="0.3">
      <c r="A27" s="620" t="s">
        <v>542</v>
      </c>
      <c r="B27" s="621" t="s">
        <v>331</v>
      </c>
      <c r="C27" s="622">
        <v>0.51200000000000001</v>
      </c>
      <c r="D27" s="622">
        <v>0.35200000000000004</v>
      </c>
      <c r="E27" s="622"/>
      <c r="F27" s="622">
        <v>0.68799999999999994</v>
      </c>
      <c r="G27" s="622">
        <v>0.41708337098691667</v>
      </c>
      <c r="H27" s="622">
        <v>0.27091662901308328</v>
      </c>
      <c r="I27" s="623">
        <v>1.6495503006318168</v>
      </c>
      <c r="J27" s="624" t="s">
        <v>1</v>
      </c>
    </row>
    <row r="28" spans="1:10" ht="14.4" customHeight="1" x14ac:dyDescent="0.3">
      <c r="A28" s="620" t="s">
        <v>542</v>
      </c>
      <c r="B28" s="621" t="s">
        <v>332</v>
      </c>
      <c r="C28" s="622">
        <v>16.097190000000001</v>
      </c>
      <c r="D28" s="622">
        <v>22.965019999999999</v>
      </c>
      <c r="E28" s="622"/>
      <c r="F28" s="622">
        <v>25.36486</v>
      </c>
      <c r="G28" s="622">
        <v>19.022724128063832</v>
      </c>
      <c r="H28" s="622">
        <v>6.3421358719361685</v>
      </c>
      <c r="I28" s="623">
        <v>1.3333978787286174</v>
      </c>
      <c r="J28" s="624" t="s">
        <v>1</v>
      </c>
    </row>
    <row r="29" spans="1:10" ht="14.4" customHeight="1" x14ac:dyDescent="0.3">
      <c r="A29" s="620" t="s">
        <v>542</v>
      </c>
      <c r="B29" s="621" t="s">
        <v>334</v>
      </c>
      <c r="C29" s="622" t="s">
        <v>539</v>
      </c>
      <c r="D29" s="622">
        <v>0.97889999999999999</v>
      </c>
      <c r="E29" s="622"/>
      <c r="F29" s="622">
        <v>0.97889999999999999</v>
      </c>
      <c r="G29" s="622">
        <v>0.5472581936995834</v>
      </c>
      <c r="H29" s="622">
        <v>0.4316418063004166</v>
      </c>
      <c r="I29" s="623">
        <v>1.7887352099425409</v>
      </c>
      <c r="J29" s="624" t="s">
        <v>1</v>
      </c>
    </row>
    <row r="30" spans="1:10" ht="14.4" customHeight="1" x14ac:dyDescent="0.3">
      <c r="A30" s="620" t="s">
        <v>542</v>
      </c>
      <c r="B30" s="621" t="s">
        <v>544</v>
      </c>
      <c r="C30" s="622">
        <v>161.34564</v>
      </c>
      <c r="D30" s="622">
        <v>188.40364000000002</v>
      </c>
      <c r="E30" s="622"/>
      <c r="F30" s="622">
        <v>295.87054000000001</v>
      </c>
      <c r="G30" s="622">
        <v>187.11646173659423</v>
      </c>
      <c r="H30" s="622">
        <v>108.75407826340577</v>
      </c>
      <c r="I30" s="623">
        <v>1.5812106388399969</v>
      </c>
      <c r="J30" s="624" t="s">
        <v>545</v>
      </c>
    </row>
    <row r="31" spans="1:10" ht="14.4" customHeight="1" x14ac:dyDescent="0.3">
      <c r="A31" s="620" t="s">
        <v>539</v>
      </c>
      <c r="B31" s="621" t="s">
        <v>539</v>
      </c>
      <c r="C31" s="622" t="s">
        <v>539</v>
      </c>
      <c r="D31" s="622" t="s">
        <v>539</v>
      </c>
      <c r="E31" s="622"/>
      <c r="F31" s="622" t="s">
        <v>539</v>
      </c>
      <c r="G31" s="622" t="s">
        <v>539</v>
      </c>
      <c r="H31" s="622" t="s">
        <v>539</v>
      </c>
      <c r="I31" s="623" t="s">
        <v>539</v>
      </c>
      <c r="J31" s="624" t="s">
        <v>546</v>
      </c>
    </row>
    <row r="32" spans="1:10" ht="14.4" customHeight="1" x14ac:dyDescent="0.3">
      <c r="A32" s="620" t="s">
        <v>547</v>
      </c>
      <c r="B32" s="621" t="s">
        <v>548</v>
      </c>
      <c r="C32" s="622" t="s">
        <v>539</v>
      </c>
      <c r="D32" s="622" t="s">
        <v>539</v>
      </c>
      <c r="E32" s="622"/>
      <c r="F32" s="622" t="s">
        <v>539</v>
      </c>
      <c r="G32" s="622" t="s">
        <v>539</v>
      </c>
      <c r="H32" s="622" t="s">
        <v>539</v>
      </c>
      <c r="I32" s="623" t="s">
        <v>539</v>
      </c>
      <c r="J32" s="624" t="s">
        <v>0</v>
      </c>
    </row>
    <row r="33" spans="1:10" ht="14.4" customHeight="1" x14ac:dyDescent="0.3">
      <c r="A33" s="620" t="s">
        <v>547</v>
      </c>
      <c r="B33" s="621" t="s">
        <v>325</v>
      </c>
      <c r="C33" s="622">
        <v>0.15246000000000001</v>
      </c>
      <c r="D33" s="622">
        <v>0</v>
      </c>
      <c r="E33" s="622"/>
      <c r="F33" s="622">
        <v>150.98388</v>
      </c>
      <c r="G33" s="622">
        <v>83.473561630601907</v>
      </c>
      <c r="H33" s="622">
        <v>67.510318369398092</v>
      </c>
      <c r="I33" s="623">
        <v>1.8087628831288349</v>
      </c>
      <c r="J33" s="624" t="s">
        <v>1</v>
      </c>
    </row>
    <row r="34" spans="1:10" ht="14.4" customHeight="1" x14ac:dyDescent="0.3">
      <c r="A34" s="620" t="s">
        <v>547</v>
      </c>
      <c r="B34" s="621" t="s">
        <v>326</v>
      </c>
      <c r="C34" s="622">
        <v>0</v>
      </c>
      <c r="D34" s="622" t="s">
        <v>539</v>
      </c>
      <c r="E34" s="622"/>
      <c r="F34" s="622" t="s">
        <v>539</v>
      </c>
      <c r="G34" s="622" t="s">
        <v>539</v>
      </c>
      <c r="H34" s="622" t="s">
        <v>539</v>
      </c>
      <c r="I34" s="623" t="s">
        <v>539</v>
      </c>
      <c r="J34" s="624" t="s">
        <v>1</v>
      </c>
    </row>
    <row r="35" spans="1:10" ht="14.4" customHeight="1" x14ac:dyDescent="0.3">
      <c r="A35" s="620" t="s">
        <v>547</v>
      </c>
      <c r="B35" s="621" t="s">
        <v>327</v>
      </c>
      <c r="C35" s="622">
        <v>14.81935</v>
      </c>
      <c r="D35" s="622">
        <v>11.579800000000001</v>
      </c>
      <c r="E35" s="622"/>
      <c r="F35" s="622">
        <v>18.635509999999996</v>
      </c>
      <c r="G35" s="622">
        <v>16.794911365000999</v>
      </c>
      <c r="H35" s="622">
        <v>1.8405986349989973</v>
      </c>
      <c r="I35" s="623">
        <v>1.1095926376149046</v>
      </c>
      <c r="J35" s="624" t="s">
        <v>1</v>
      </c>
    </row>
    <row r="36" spans="1:10" ht="14.4" customHeight="1" x14ac:dyDescent="0.3">
      <c r="A36" s="620" t="s">
        <v>547</v>
      </c>
      <c r="B36" s="621" t="s">
        <v>328</v>
      </c>
      <c r="C36" s="622">
        <v>384.53575999999998</v>
      </c>
      <c r="D36" s="622">
        <v>684.41373999999996</v>
      </c>
      <c r="E36" s="622"/>
      <c r="F36" s="622">
        <v>561.88499000000002</v>
      </c>
      <c r="G36" s="622">
        <v>633.7166928902891</v>
      </c>
      <c r="H36" s="622">
        <v>-71.83170289028908</v>
      </c>
      <c r="I36" s="623">
        <v>0.8866501329439892</v>
      </c>
      <c r="J36" s="624" t="s">
        <v>1</v>
      </c>
    </row>
    <row r="37" spans="1:10" ht="14.4" customHeight="1" x14ac:dyDescent="0.3">
      <c r="A37" s="620" t="s">
        <v>547</v>
      </c>
      <c r="B37" s="621" t="s">
        <v>329</v>
      </c>
      <c r="C37" s="622">
        <v>2.1755</v>
      </c>
      <c r="D37" s="622">
        <v>0.14000000000000001</v>
      </c>
      <c r="E37" s="622"/>
      <c r="F37" s="622">
        <v>0.17499999999999999</v>
      </c>
      <c r="G37" s="622">
        <v>1.7001948909470002</v>
      </c>
      <c r="H37" s="622">
        <v>-1.5251948909470001</v>
      </c>
      <c r="I37" s="623">
        <v>0.10292937646843878</v>
      </c>
      <c r="J37" s="624" t="s">
        <v>1</v>
      </c>
    </row>
    <row r="38" spans="1:10" ht="14.4" customHeight="1" x14ac:dyDescent="0.3">
      <c r="A38" s="620" t="s">
        <v>547</v>
      </c>
      <c r="B38" s="621" t="s">
        <v>330</v>
      </c>
      <c r="C38" s="622">
        <v>0</v>
      </c>
      <c r="D38" s="622" t="s">
        <v>539</v>
      </c>
      <c r="E38" s="622"/>
      <c r="F38" s="622" t="s">
        <v>539</v>
      </c>
      <c r="G38" s="622" t="s">
        <v>539</v>
      </c>
      <c r="H38" s="622" t="s">
        <v>539</v>
      </c>
      <c r="I38" s="623" t="s">
        <v>539</v>
      </c>
      <c r="J38" s="624" t="s">
        <v>1</v>
      </c>
    </row>
    <row r="39" spans="1:10" ht="14.4" customHeight="1" x14ac:dyDescent="0.3">
      <c r="A39" s="620" t="s">
        <v>547</v>
      </c>
      <c r="B39" s="621" t="s">
        <v>331</v>
      </c>
      <c r="C39" s="622">
        <v>2.4216600000000001</v>
      </c>
      <c r="D39" s="622">
        <v>0.35916000000000003</v>
      </c>
      <c r="E39" s="622"/>
      <c r="F39" s="622">
        <v>0.53724000000000005</v>
      </c>
      <c r="G39" s="622">
        <v>0.48244004355399994</v>
      </c>
      <c r="H39" s="622">
        <v>5.4799956446000109E-2</v>
      </c>
      <c r="I39" s="623">
        <v>1.1135891540890848</v>
      </c>
      <c r="J39" s="624" t="s">
        <v>1</v>
      </c>
    </row>
    <row r="40" spans="1:10" ht="14.4" customHeight="1" x14ac:dyDescent="0.3">
      <c r="A40" s="620" t="s">
        <v>547</v>
      </c>
      <c r="B40" s="621" t="s">
        <v>332</v>
      </c>
      <c r="C40" s="622">
        <v>20.471000000000004</v>
      </c>
      <c r="D40" s="622">
        <v>14.451599999999999</v>
      </c>
      <c r="E40" s="622"/>
      <c r="F40" s="622">
        <v>23.475149999999999</v>
      </c>
      <c r="G40" s="622">
        <v>11.75262690225925</v>
      </c>
      <c r="H40" s="622">
        <v>11.72252309774075</v>
      </c>
      <c r="I40" s="623">
        <v>1.9974385467377753</v>
      </c>
      <c r="J40" s="624" t="s">
        <v>1</v>
      </c>
    </row>
    <row r="41" spans="1:10" ht="14.4" customHeight="1" x14ac:dyDescent="0.3">
      <c r="A41" s="620" t="s">
        <v>547</v>
      </c>
      <c r="B41" s="621" t="s">
        <v>334</v>
      </c>
      <c r="C41" s="622" t="s">
        <v>539</v>
      </c>
      <c r="D41" s="622">
        <v>13.367599999999999</v>
      </c>
      <c r="E41" s="622"/>
      <c r="F41" s="622">
        <v>0</v>
      </c>
      <c r="G41" s="622">
        <v>7.4732134335465839</v>
      </c>
      <c r="H41" s="622">
        <v>-7.4732134335465839</v>
      </c>
      <c r="I41" s="623">
        <v>0</v>
      </c>
      <c r="J41" s="624" t="s">
        <v>1</v>
      </c>
    </row>
    <row r="42" spans="1:10" ht="14.4" customHeight="1" x14ac:dyDescent="0.3">
      <c r="A42" s="620" t="s">
        <v>547</v>
      </c>
      <c r="B42" s="621" t="s">
        <v>549</v>
      </c>
      <c r="C42" s="622">
        <v>424.57572999999996</v>
      </c>
      <c r="D42" s="622">
        <v>724.31189999999992</v>
      </c>
      <c r="E42" s="622"/>
      <c r="F42" s="622">
        <v>755.69177000000002</v>
      </c>
      <c r="G42" s="622">
        <v>755.3936411561989</v>
      </c>
      <c r="H42" s="622">
        <v>0.29812884380112337</v>
      </c>
      <c r="I42" s="623">
        <v>1.0003946668697725</v>
      </c>
      <c r="J42" s="624" t="s">
        <v>545</v>
      </c>
    </row>
    <row r="43" spans="1:10" ht="14.4" customHeight="1" x14ac:dyDescent="0.3">
      <c r="A43" s="620" t="s">
        <v>539</v>
      </c>
      <c r="B43" s="621" t="s">
        <v>539</v>
      </c>
      <c r="C43" s="622" t="s">
        <v>539</v>
      </c>
      <c r="D43" s="622" t="s">
        <v>539</v>
      </c>
      <c r="E43" s="622"/>
      <c r="F43" s="622" t="s">
        <v>539</v>
      </c>
      <c r="G43" s="622" t="s">
        <v>539</v>
      </c>
      <c r="H43" s="622" t="s">
        <v>539</v>
      </c>
      <c r="I43" s="623" t="s">
        <v>539</v>
      </c>
      <c r="J43" s="624" t="s">
        <v>546</v>
      </c>
    </row>
    <row r="44" spans="1:10" ht="14.4" customHeight="1" x14ac:dyDescent="0.3">
      <c r="A44" s="620" t="s">
        <v>550</v>
      </c>
      <c r="B44" s="621" t="s">
        <v>551</v>
      </c>
      <c r="C44" s="622" t="s">
        <v>539</v>
      </c>
      <c r="D44" s="622" t="s">
        <v>539</v>
      </c>
      <c r="E44" s="622"/>
      <c r="F44" s="622" t="s">
        <v>539</v>
      </c>
      <c r="G44" s="622" t="s">
        <v>539</v>
      </c>
      <c r="H44" s="622" t="s">
        <v>539</v>
      </c>
      <c r="I44" s="623" t="s">
        <v>539</v>
      </c>
      <c r="J44" s="624" t="s">
        <v>0</v>
      </c>
    </row>
    <row r="45" spans="1:10" ht="14.4" customHeight="1" x14ac:dyDescent="0.3">
      <c r="A45" s="620" t="s">
        <v>550</v>
      </c>
      <c r="B45" s="621" t="s">
        <v>324</v>
      </c>
      <c r="C45" s="622">
        <v>0.495</v>
      </c>
      <c r="D45" s="622">
        <v>0</v>
      </c>
      <c r="E45" s="622"/>
      <c r="F45" s="622" t="s">
        <v>539</v>
      </c>
      <c r="G45" s="622" t="s">
        <v>539</v>
      </c>
      <c r="H45" s="622" t="s">
        <v>539</v>
      </c>
      <c r="I45" s="623" t="s">
        <v>539</v>
      </c>
      <c r="J45" s="624" t="s">
        <v>1</v>
      </c>
    </row>
    <row r="46" spans="1:10" ht="14.4" customHeight="1" x14ac:dyDescent="0.3">
      <c r="A46" s="620" t="s">
        <v>550</v>
      </c>
      <c r="B46" s="621" t="s">
        <v>325</v>
      </c>
      <c r="C46" s="622">
        <v>225.15248000000003</v>
      </c>
      <c r="D46" s="622">
        <v>219.70220999999998</v>
      </c>
      <c r="E46" s="622"/>
      <c r="F46" s="622">
        <v>116.86129999999999</v>
      </c>
      <c r="G46" s="622">
        <v>248.10647873521123</v>
      </c>
      <c r="H46" s="622">
        <v>-131.24517873521125</v>
      </c>
      <c r="I46" s="623">
        <v>0.47101269017935987</v>
      </c>
      <c r="J46" s="624" t="s">
        <v>1</v>
      </c>
    </row>
    <row r="47" spans="1:10" ht="14.4" customHeight="1" x14ac:dyDescent="0.3">
      <c r="A47" s="620" t="s">
        <v>550</v>
      </c>
      <c r="B47" s="621" t="s">
        <v>326</v>
      </c>
      <c r="C47" s="622">
        <v>2.6819699999999997</v>
      </c>
      <c r="D47" s="622">
        <v>0.8236</v>
      </c>
      <c r="E47" s="622"/>
      <c r="F47" s="622">
        <v>0</v>
      </c>
      <c r="G47" s="622">
        <v>1.1666667719921668</v>
      </c>
      <c r="H47" s="622">
        <v>-1.1666667719921668</v>
      </c>
      <c r="I47" s="623">
        <v>0</v>
      </c>
      <c r="J47" s="624" t="s">
        <v>1</v>
      </c>
    </row>
    <row r="48" spans="1:10" ht="14.4" customHeight="1" x14ac:dyDescent="0.3">
      <c r="A48" s="620" t="s">
        <v>550</v>
      </c>
      <c r="B48" s="621" t="s">
        <v>327</v>
      </c>
      <c r="C48" s="622">
        <v>75.015510000000006</v>
      </c>
      <c r="D48" s="622">
        <v>62.471179999999997</v>
      </c>
      <c r="E48" s="622"/>
      <c r="F48" s="622">
        <v>89.516169999999988</v>
      </c>
      <c r="G48" s="622">
        <v>61.620901062702337</v>
      </c>
      <c r="H48" s="622">
        <v>27.895268937297651</v>
      </c>
      <c r="I48" s="623">
        <v>1.4526916753280323</v>
      </c>
      <c r="J48" s="624" t="s">
        <v>1</v>
      </c>
    </row>
    <row r="49" spans="1:10" ht="14.4" customHeight="1" x14ac:dyDescent="0.3">
      <c r="A49" s="620" t="s">
        <v>550</v>
      </c>
      <c r="B49" s="621" t="s">
        <v>328</v>
      </c>
      <c r="C49" s="622">
        <v>1005.145360000001</v>
      </c>
      <c r="D49" s="622">
        <v>1321.4516800000001</v>
      </c>
      <c r="E49" s="622"/>
      <c r="F49" s="622">
        <v>978.67349999999988</v>
      </c>
      <c r="G49" s="622">
        <v>1096.438342683985</v>
      </c>
      <c r="H49" s="622">
        <v>-117.76484268398508</v>
      </c>
      <c r="I49" s="623">
        <v>0.89259328308812413</v>
      </c>
      <c r="J49" s="624" t="s">
        <v>1</v>
      </c>
    </row>
    <row r="50" spans="1:10" ht="14.4" customHeight="1" x14ac:dyDescent="0.3">
      <c r="A50" s="620" t="s">
        <v>550</v>
      </c>
      <c r="B50" s="621" t="s">
        <v>329</v>
      </c>
      <c r="C50" s="622">
        <v>21.826069999999998</v>
      </c>
      <c r="D50" s="622">
        <v>22.423220000000001</v>
      </c>
      <c r="E50" s="622"/>
      <c r="F50" s="622">
        <v>22.108220000000003</v>
      </c>
      <c r="G50" s="622">
        <v>18.716473618925249</v>
      </c>
      <c r="H50" s="622">
        <v>3.3917463810747535</v>
      </c>
      <c r="I50" s="623">
        <v>1.1812171699718677</v>
      </c>
      <c r="J50" s="624" t="s">
        <v>1</v>
      </c>
    </row>
    <row r="51" spans="1:10" ht="14.4" customHeight="1" x14ac:dyDescent="0.3">
      <c r="A51" s="620" t="s">
        <v>550</v>
      </c>
      <c r="B51" s="621" t="s">
        <v>330</v>
      </c>
      <c r="C51" s="622">
        <v>2.6675499999999999</v>
      </c>
      <c r="D51" s="622">
        <v>3.5248800000000005</v>
      </c>
      <c r="E51" s="622"/>
      <c r="F51" s="622">
        <v>2.9911500000000002</v>
      </c>
      <c r="G51" s="622">
        <v>4.0833337019743334</v>
      </c>
      <c r="H51" s="622">
        <v>-1.0921837019743332</v>
      </c>
      <c r="I51" s="623">
        <v>0.73252646448017433</v>
      </c>
      <c r="J51" s="624" t="s">
        <v>1</v>
      </c>
    </row>
    <row r="52" spans="1:10" ht="14.4" customHeight="1" x14ac:dyDescent="0.3">
      <c r="A52" s="620" t="s">
        <v>550</v>
      </c>
      <c r="B52" s="621" t="s">
        <v>331</v>
      </c>
      <c r="C52" s="622">
        <v>2.6840000000000006</v>
      </c>
      <c r="D52" s="622">
        <v>5.6105900000000011</v>
      </c>
      <c r="E52" s="622"/>
      <c r="F52" s="622">
        <v>3.5430000000000001</v>
      </c>
      <c r="G52" s="622">
        <v>4.6897612567219156</v>
      </c>
      <c r="H52" s="622">
        <v>-1.1467612567219154</v>
      </c>
      <c r="I52" s="623">
        <v>0.75547555750769979</v>
      </c>
      <c r="J52" s="624" t="s">
        <v>1</v>
      </c>
    </row>
    <row r="53" spans="1:10" ht="14.4" customHeight="1" x14ac:dyDescent="0.3">
      <c r="A53" s="620" t="s">
        <v>550</v>
      </c>
      <c r="B53" s="621" t="s">
        <v>332</v>
      </c>
      <c r="C53" s="622">
        <v>41.815200000000004</v>
      </c>
      <c r="D53" s="622">
        <v>64.56844000000001</v>
      </c>
      <c r="E53" s="622"/>
      <c r="F53" s="622">
        <v>69.733199999999997</v>
      </c>
      <c r="G53" s="622">
        <v>53.807989939148669</v>
      </c>
      <c r="H53" s="622">
        <v>15.925210060851327</v>
      </c>
      <c r="I53" s="623">
        <v>1.295963667828163</v>
      </c>
      <c r="J53" s="624" t="s">
        <v>1</v>
      </c>
    </row>
    <row r="54" spans="1:10" ht="14.4" customHeight="1" x14ac:dyDescent="0.3">
      <c r="A54" s="620" t="s">
        <v>550</v>
      </c>
      <c r="B54" s="621" t="s">
        <v>333</v>
      </c>
      <c r="C54" s="622">
        <v>60.143059999999991</v>
      </c>
      <c r="D54" s="622">
        <v>51.126519999999999</v>
      </c>
      <c r="E54" s="622"/>
      <c r="F54" s="622">
        <v>54.449999999999996</v>
      </c>
      <c r="G54" s="622">
        <v>49.000004423694335</v>
      </c>
      <c r="H54" s="622">
        <v>5.4499955763056604</v>
      </c>
      <c r="I54" s="623">
        <v>1.1112243894751623</v>
      </c>
      <c r="J54" s="624" t="s">
        <v>1</v>
      </c>
    </row>
    <row r="55" spans="1:10" ht="14.4" customHeight="1" x14ac:dyDescent="0.3">
      <c r="A55" s="620" t="s">
        <v>550</v>
      </c>
      <c r="B55" s="621" t="s">
        <v>334</v>
      </c>
      <c r="C55" s="622" t="s">
        <v>539</v>
      </c>
      <c r="D55" s="622">
        <v>189.16607000000002</v>
      </c>
      <c r="E55" s="622"/>
      <c r="F55" s="622">
        <v>177.51088999999999</v>
      </c>
      <c r="G55" s="622">
        <v>166.97954417166341</v>
      </c>
      <c r="H55" s="622">
        <v>10.531345828336583</v>
      </c>
      <c r="I55" s="623">
        <v>1.0630696764719265</v>
      </c>
      <c r="J55" s="624" t="s">
        <v>1</v>
      </c>
    </row>
    <row r="56" spans="1:10" ht="14.4" customHeight="1" x14ac:dyDescent="0.3">
      <c r="A56" s="620" t="s">
        <v>550</v>
      </c>
      <c r="B56" s="621" t="s">
        <v>1226</v>
      </c>
      <c r="C56" s="622">
        <v>0</v>
      </c>
      <c r="D56" s="622" t="s">
        <v>539</v>
      </c>
      <c r="E56" s="622"/>
      <c r="F56" s="622" t="s">
        <v>539</v>
      </c>
      <c r="G56" s="622" t="s">
        <v>539</v>
      </c>
      <c r="H56" s="622" t="s">
        <v>539</v>
      </c>
      <c r="I56" s="623" t="s">
        <v>539</v>
      </c>
      <c r="J56" s="624" t="s">
        <v>1</v>
      </c>
    </row>
    <row r="57" spans="1:10" ht="14.4" customHeight="1" x14ac:dyDescent="0.3">
      <c r="A57" s="620" t="s">
        <v>550</v>
      </c>
      <c r="B57" s="621" t="s">
        <v>552</v>
      </c>
      <c r="C57" s="622">
        <v>1437.6262000000011</v>
      </c>
      <c r="D57" s="622">
        <v>1940.8683900000001</v>
      </c>
      <c r="E57" s="622"/>
      <c r="F57" s="622">
        <v>1515.3874299999998</v>
      </c>
      <c r="G57" s="622">
        <v>1704.6094963660184</v>
      </c>
      <c r="H57" s="622">
        <v>-189.22206636601868</v>
      </c>
      <c r="I57" s="623">
        <v>0.88899389169812038</v>
      </c>
      <c r="J57" s="624" t="s">
        <v>545</v>
      </c>
    </row>
    <row r="58" spans="1:10" ht="14.4" customHeight="1" x14ac:dyDescent="0.3">
      <c r="A58" s="620" t="s">
        <v>539</v>
      </c>
      <c r="B58" s="621" t="s">
        <v>539</v>
      </c>
      <c r="C58" s="622" t="s">
        <v>539</v>
      </c>
      <c r="D58" s="622" t="s">
        <v>539</v>
      </c>
      <c r="E58" s="622"/>
      <c r="F58" s="622" t="s">
        <v>539</v>
      </c>
      <c r="G58" s="622" t="s">
        <v>539</v>
      </c>
      <c r="H58" s="622" t="s">
        <v>539</v>
      </c>
      <c r="I58" s="623" t="s">
        <v>539</v>
      </c>
      <c r="J58" s="624" t="s">
        <v>546</v>
      </c>
    </row>
    <row r="59" spans="1:10" ht="14.4" customHeight="1" x14ac:dyDescent="0.3">
      <c r="A59" s="620" t="s">
        <v>1227</v>
      </c>
      <c r="B59" s="621" t="s">
        <v>1228</v>
      </c>
      <c r="C59" s="622" t="s">
        <v>539</v>
      </c>
      <c r="D59" s="622" t="s">
        <v>539</v>
      </c>
      <c r="E59" s="622"/>
      <c r="F59" s="622" t="s">
        <v>539</v>
      </c>
      <c r="G59" s="622" t="s">
        <v>539</v>
      </c>
      <c r="H59" s="622" t="s">
        <v>539</v>
      </c>
      <c r="I59" s="623" t="s">
        <v>539</v>
      </c>
      <c r="J59" s="624" t="s">
        <v>0</v>
      </c>
    </row>
    <row r="60" spans="1:10" ht="14.4" customHeight="1" x14ac:dyDescent="0.3">
      <c r="A60" s="620" t="s">
        <v>1227</v>
      </c>
      <c r="B60" s="621" t="s">
        <v>328</v>
      </c>
      <c r="C60" s="622" t="s">
        <v>539</v>
      </c>
      <c r="D60" s="622">
        <v>0</v>
      </c>
      <c r="E60" s="622"/>
      <c r="F60" s="622" t="s">
        <v>539</v>
      </c>
      <c r="G60" s="622" t="s">
        <v>539</v>
      </c>
      <c r="H60" s="622" t="s">
        <v>539</v>
      </c>
      <c r="I60" s="623" t="s">
        <v>539</v>
      </c>
      <c r="J60" s="624" t="s">
        <v>1</v>
      </c>
    </row>
    <row r="61" spans="1:10" ht="14.4" customHeight="1" x14ac:dyDescent="0.3">
      <c r="A61" s="620" t="s">
        <v>1227</v>
      </c>
      <c r="B61" s="621" t="s">
        <v>1229</v>
      </c>
      <c r="C61" s="622" t="s">
        <v>539</v>
      </c>
      <c r="D61" s="622">
        <v>0</v>
      </c>
      <c r="E61" s="622"/>
      <c r="F61" s="622" t="s">
        <v>539</v>
      </c>
      <c r="G61" s="622" t="s">
        <v>539</v>
      </c>
      <c r="H61" s="622" t="s">
        <v>539</v>
      </c>
      <c r="I61" s="623" t="s">
        <v>539</v>
      </c>
      <c r="J61" s="624" t="s">
        <v>545</v>
      </c>
    </row>
    <row r="62" spans="1:10" ht="14.4" customHeight="1" x14ac:dyDescent="0.3">
      <c r="A62" s="620" t="s">
        <v>539</v>
      </c>
      <c r="B62" s="621" t="s">
        <v>539</v>
      </c>
      <c r="C62" s="622" t="s">
        <v>539</v>
      </c>
      <c r="D62" s="622" t="s">
        <v>539</v>
      </c>
      <c r="E62" s="622"/>
      <c r="F62" s="622" t="s">
        <v>539</v>
      </c>
      <c r="G62" s="622" t="s">
        <v>539</v>
      </c>
      <c r="H62" s="622" t="s">
        <v>539</v>
      </c>
      <c r="I62" s="623" t="s">
        <v>539</v>
      </c>
      <c r="J62" s="624" t="s">
        <v>546</v>
      </c>
    </row>
    <row r="63" spans="1:10" ht="14.4" customHeight="1" x14ac:dyDescent="0.3">
      <c r="A63" s="620" t="s">
        <v>537</v>
      </c>
      <c r="B63" s="621" t="s">
        <v>540</v>
      </c>
      <c r="C63" s="622">
        <v>2023.5475700000011</v>
      </c>
      <c r="D63" s="622">
        <v>2853.5839299999998</v>
      </c>
      <c r="E63" s="622"/>
      <c r="F63" s="622">
        <v>2566.94974</v>
      </c>
      <c r="G63" s="622">
        <v>2647.1195992588118</v>
      </c>
      <c r="H63" s="622">
        <v>-80.169859258811812</v>
      </c>
      <c r="I63" s="623">
        <v>0.96971430407554715</v>
      </c>
      <c r="J63" s="624" t="s">
        <v>541</v>
      </c>
    </row>
  </sheetData>
  <mergeCells count="3">
    <mergeCell ref="A1:I1"/>
    <mergeCell ref="F3:I3"/>
    <mergeCell ref="C4:D4"/>
  </mergeCells>
  <conditionalFormatting sqref="F19 F64:F65537">
    <cfRule type="cellIs" dxfId="42" priority="18" stopIfTrue="1" operator="greaterThan">
      <formula>1</formula>
    </cfRule>
  </conditionalFormatting>
  <conditionalFormatting sqref="H5:H18">
    <cfRule type="expression" dxfId="41" priority="14">
      <formula>$H5&gt;0</formula>
    </cfRule>
  </conditionalFormatting>
  <conditionalFormatting sqref="I5:I18">
    <cfRule type="expression" dxfId="40" priority="15">
      <formula>$I5&gt;1</formula>
    </cfRule>
  </conditionalFormatting>
  <conditionalFormatting sqref="B5:B18">
    <cfRule type="expression" dxfId="39" priority="11">
      <formula>OR($J5="NS",$J5="SumaNS",$J5="Účet")</formula>
    </cfRule>
  </conditionalFormatting>
  <conditionalFormatting sqref="F5:I18 B5:D18">
    <cfRule type="expression" dxfId="38" priority="17">
      <formula>AND($J5&lt;&gt;"",$J5&lt;&gt;"mezeraKL")</formula>
    </cfRule>
  </conditionalFormatting>
  <conditionalFormatting sqref="B5:D18 F5:I18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6" priority="13">
      <formula>OR($J5="SumaNS",$J5="NS")</formula>
    </cfRule>
  </conditionalFormatting>
  <conditionalFormatting sqref="A5:A18">
    <cfRule type="expression" dxfId="35" priority="9">
      <formula>AND($J5&lt;&gt;"mezeraKL",$J5&lt;&gt;"")</formula>
    </cfRule>
  </conditionalFormatting>
  <conditionalFormatting sqref="A5:A18">
    <cfRule type="expression" dxfId="34" priority="10">
      <formula>AND($J5&lt;&gt;"",$J5&lt;&gt;"mezeraKL")</formula>
    </cfRule>
  </conditionalFormatting>
  <conditionalFormatting sqref="H20:H63">
    <cfRule type="expression" dxfId="33" priority="5">
      <formula>$H20&gt;0</formula>
    </cfRule>
  </conditionalFormatting>
  <conditionalFormatting sqref="A20:A63">
    <cfRule type="expression" dxfId="32" priority="2">
      <formula>AND($J20&lt;&gt;"mezeraKL",$J20&lt;&gt;"")</formula>
    </cfRule>
  </conditionalFormatting>
  <conditionalFormatting sqref="I20:I63">
    <cfRule type="expression" dxfId="31" priority="6">
      <formula>$I20&gt;1</formula>
    </cfRule>
  </conditionalFormatting>
  <conditionalFormatting sqref="B20:B63">
    <cfRule type="expression" dxfId="30" priority="1">
      <formula>OR($J20="NS",$J20="SumaNS",$J20="Účet")</formula>
    </cfRule>
  </conditionalFormatting>
  <conditionalFormatting sqref="A20:D63 F20:I63">
    <cfRule type="expression" dxfId="29" priority="8">
      <formula>AND($J20&lt;&gt;"",$J20&lt;&gt;"mezeraKL")</formula>
    </cfRule>
  </conditionalFormatting>
  <conditionalFormatting sqref="B20:D63 F20:I63">
    <cfRule type="expression" dxfId="28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3 F20:I63">
    <cfRule type="expression" dxfId="27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4" hidden="1" customWidth="1" outlineLevel="1"/>
    <col min="2" max="2" width="28.33203125" style="244" hidden="1" customWidth="1" outlineLevel="1"/>
    <col min="3" max="3" width="5.33203125" style="328" bestFit="1" customWidth="1" collapsed="1"/>
    <col min="4" max="4" width="18.77734375" style="332" customWidth="1"/>
    <col min="5" max="5" width="9" style="328" bestFit="1" customWidth="1"/>
    <col min="6" max="6" width="18.77734375" style="332" customWidth="1"/>
    <col min="7" max="7" width="12.44140625" style="328" hidden="1" customWidth="1" outlineLevel="1"/>
    <col min="8" max="8" width="25.77734375" style="328" customWidth="1" collapsed="1"/>
    <col min="9" max="9" width="7.77734375" style="326" customWidth="1"/>
    <col min="10" max="10" width="10" style="326" customWidth="1"/>
    <col min="11" max="11" width="11.109375" style="326" customWidth="1"/>
    <col min="12" max="16384" width="8.88671875" style="244"/>
  </cols>
  <sheetData>
    <row r="1" spans="1:11" ht="18.600000000000001" customHeight="1" thickBot="1" x14ac:dyDescent="0.4">
      <c r="A1" s="500" t="s">
        <v>1706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</row>
    <row r="2" spans="1:11" ht="14.4" customHeight="1" thickBot="1" x14ac:dyDescent="0.35">
      <c r="A2" s="368" t="s">
        <v>301</v>
      </c>
      <c r="B2" s="66"/>
      <c r="C2" s="330"/>
      <c r="D2" s="330"/>
      <c r="E2" s="330"/>
      <c r="F2" s="330"/>
      <c r="G2" s="330"/>
      <c r="H2" s="330"/>
      <c r="I2" s="331"/>
      <c r="J2" s="331"/>
      <c r="K2" s="331"/>
    </row>
    <row r="3" spans="1:11" ht="14.4" customHeight="1" thickBot="1" x14ac:dyDescent="0.35">
      <c r="A3" s="66"/>
      <c r="B3" s="66"/>
      <c r="C3" s="496"/>
      <c r="D3" s="497"/>
      <c r="E3" s="497"/>
      <c r="F3" s="497"/>
      <c r="G3" s="497"/>
      <c r="H3" s="257" t="s">
        <v>151</v>
      </c>
      <c r="I3" s="197">
        <f>IF(J3&lt;&gt;0,K3/J3,0)</f>
        <v>5.8998979851580327</v>
      </c>
      <c r="J3" s="197">
        <f>SUBTOTAL(9,J5:J1048576)</f>
        <v>435083.75</v>
      </c>
      <c r="K3" s="198">
        <f>SUBTOTAL(9,K5:K1048576)</f>
        <v>2566949.7400000012</v>
      </c>
    </row>
    <row r="4" spans="1:11" s="327" customFormat="1" ht="14.4" customHeight="1" thickBot="1" x14ac:dyDescent="0.35">
      <c r="A4" s="625" t="s">
        <v>4</v>
      </c>
      <c r="B4" s="626" t="s">
        <v>5</v>
      </c>
      <c r="C4" s="626" t="s">
        <v>0</v>
      </c>
      <c r="D4" s="626" t="s">
        <v>6</v>
      </c>
      <c r="E4" s="626" t="s">
        <v>7</v>
      </c>
      <c r="F4" s="626" t="s">
        <v>1</v>
      </c>
      <c r="G4" s="626" t="s">
        <v>83</v>
      </c>
      <c r="H4" s="627" t="s">
        <v>11</v>
      </c>
      <c r="I4" s="628" t="s">
        <v>176</v>
      </c>
      <c r="J4" s="628" t="s">
        <v>13</v>
      </c>
      <c r="K4" s="629" t="s">
        <v>192</v>
      </c>
    </row>
    <row r="5" spans="1:11" ht="14.4" customHeight="1" x14ac:dyDescent="0.3">
      <c r="A5" s="632" t="s">
        <v>537</v>
      </c>
      <c r="B5" s="633" t="s">
        <v>538</v>
      </c>
      <c r="C5" s="634" t="s">
        <v>542</v>
      </c>
      <c r="D5" s="635" t="s">
        <v>1127</v>
      </c>
      <c r="E5" s="634" t="s">
        <v>1688</v>
      </c>
      <c r="F5" s="635" t="s">
        <v>1689</v>
      </c>
      <c r="G5" s="634" t="s">
        <v>1230</v>
      </c>
      <c r="H5" s="634" t="s">
        <v>1231</v>
      </c>
      <c r="I5" s="636">
        <v>4.3099999999999996</v>
      </c>
      <c r="J5" s="636">
        <v>24</v>
      </c>
      <c r="K5" s="637">
        <v>103.44</v>
      </c>
    </row>
    <row r="6" spans="1:11" ht="14.4" customHeight="1" x14ac:dyDescent="0.3">
      <c r="A6" s="638" t="s">
        <v>537</v>
      </c>
      <c r="B6" s="639" t="s">
        <v>538</v>
      </c>
      <c r="C6" s="640" t="s">
        <v>542</v>
      </c>
      <c r="D6" s="641" t="s">
        <v>1127</v>
      </c>
      <c r="E6" s="640" t="s">
        <v>1688</v>
      </c>
      <c r="F6" s="641" t="s">
        <v>1689</v>
      </c>
      <c r="G6" s="640" t="s">
        <v>1232</v>
      </c>
      <c r="H6" s="640" t="s">
        <v>1233</v>
      </c>
      <c r="I6" s="642">
        <v>10.119999999999999</v>
      </c>
      <c r="J6" s="642">
        <v>1</v>
      </c>
      <c r="K6" s="643">
        <v>10.119999999999999</v>
      </c>
    </row>
    <row r="7" spans="1:11" ht="14.4" customHeight="1" x14ac:dyDescent="0.3">
      <c r="A7" s="638" t="s">
        <v>537</v>
      </c>
      <c r="B7" s="639" t="s">
        <v>538</v>
      </c>
      <c r="C7" s="640" t="s">
        <v>542</v>
      </c>
      <c r="D7" s="641" t="s">
        <v>1127</v>
      </c>
      <c r="E7" s="640" t="s">
        <v>1688</v>
      </c>
      <c r="F7" s="641" t="s">
        <v>1689</v>
      </c>
      <c r="G7" s="640" t="s">
        <v>1234</v>
      </c>
      <c r="H7" s="640" t="s">
        <v>1235</v>
      </c>
      <c r="I7" s="642">
        <v>0.42</v>
      </c>
      <c r="J7" s="642">
        <v>100</v>
      </c>
      <c r="K7" s="643">
        <v>42</v>
      </c>
    </row>
    <row r="8" spans="1:11" ht="14.4" customHeight="1" x14ac:dyDescent="0.3">
      <c r="A8" s="638" t="s">
        <v>537</v>
      </c>
      <c r="B8" s="639" t="s">
        <v>538</v>
      </c>
      <c r="C8" s="640" t="s">
        <v>542</v>
      </c>
      <c r="D8" s="641" t="s">
        <v>1127</v>
      </c>
      <c r="E8" s="640" t="s">
        <v>1688</v>
      </c>
      <c r="F8" s="641" t="s">
        <v>1689</v>
      </c>
      <c r="G8" s="640" t="s">
        <v>1236</v>
      </c>
      <c r="H8" s="640" t="s">
        <v>1237</v>
      </c>
      <c r="I8" s="642">
        <v>28.737142857142857</v>
      </c>
      <c r="J8" s="642">
        <v>27</v>
      </c>
      <c r="K8" s="643">
        <v>775.88000000000011</v>
      </c>
    </row>
    <row r="9" spans="1:11" ht="14.4" customHeight="1" x14ac:dyDescent="0.3">
      <c r="A9" s="638" t="s">
        <v>537</v>
      </c>
      <c r="B9" s="639" t="s">
        <v>538</v>
      </c>
      <c r="C9" s="640" t="s">
        <v>542</v>
      </c>
      <c r="D9" s="641" t="s">
        <v>1127</v>
      </c>
      <c r="E9" s="640" t="s">
        <v>1688</v>
      </c>
      <c r="F9" s="641" t="s">
        <v>1689</v>
      </c>
      <c r="G9" s="640" t="s">
        <v>1238</v>
      </c>
      <c r="H9" s="640" t="s">
        <v>1239</v>
      </c>
      <c r="I9" s="642">
        <v>1.4219999999999999</v>
      </c>
      <c r="J9" s="642">
        <v>5000</v>
      </c>
      <c r="K9" s="643">
        <v>7115.7099999999991</v>
      </c>
    </row>
    <row r="10" spans="1:11" ht="14.4" customHeight="1" x14ac:dyDescent="0.3">
      <c r="A10" s="638" t="s">
        <v>537</v>
      </c>
      <c r="B10" s="639" t="s">
        <v>538</v>
      </c>
      <c r="C10" s="640" t="s">
        <v>542</v>
      </c>
      <c r="D10" s="641" t="s">
        <v>1127</v>
      </c>
      <c r="E10" s="640" t="s">
        <v>1688</v>
      </c>
      <c r="F10" s="641" t="s">
        <v>1689</v>
      </c>
      <c r="G10" s="640" t="s">
        <v>1240</v>
      </c>
      <c r="H10" s="640" t="s">
        <v>1241</v>
      </c>
      <c r="I10" s="642">
        <v>0.14142857142857143</v>
      </c>
      <c r="J10" s="642">
        <v>2900</v>
      </c>
      <c r="K10" s="643">
        <v>412.67</v>
      </c>
    </row>
    <row r="11" spans="1:11" ht="14.4" customHeight="1" x14ac:dyDescent="0.3">
      <c r="A11" s="638" t="s">
        <v>537</v>
      </c>
      <c r="B11" s="639" t="s">
        <v>538</v>
      </c>
      <c r="C11" s="640" t="s">
        <v>542</v>
      </c>
      <c r="D11" s="641" t="s">
        <v>1127</v>
      </c>
      <c r="E11" s="640" t="s">
        <v>1688</v>
      </c>
      <c r="F11" s="641" t="s">
        <v>1689</v>
      </c>
      <c r="G11" s="640" t="s">
        <v>1242</v>
      </c>
      <c r="H11" s="640" t="s">
        <v>1243</v>
      </c>
      <c r="I11" s="642">
        <v>2.95</v>
      </c>
      <c r="J11" s="642">
        <v>100</v>
      </c>
      <c r="K11" s="643">
        <v>295</v>
      </c>
    </row>
    <row r="12" spans="1:11" ht="14.4" customHeight="1" x14ac:dyDescent="0.3">
      <c r="A12" s="638" t="s">
        <v>537</v>
      </c>
      <c r="B12" s="639" t="s">
        <v>538</v>
      </c>
      <c r="C12" s="640" t="s">
        <v>542</v>
      </c>
      <c r="D12" s="641" t="s">
        <v>1127</v>
      </c>
      <c r="E12" s="640" t="s">
        <v>1688</v>
      </c>
      <c r="F12" s="641" t="s">
        <v>1689</v>
      </c>
      <c r="G12" s="640" t="s">
        <v>1244</v>
      </c>
      <c r="H12" s="640" t="s">
        <v>1245</v>
      </c>
      <c r="I12" s="642">
        <v>0.3</v>
      </c>
      <c r="J12" s="642">
        <v>4500</v>
      </c>
      <c r="K12" s="643">
        <v>1362.6000000000001</v>
      </c>
    </row>
    <row r="13" spans="1:11" ht="14.4" customHeight="1" x14ac:dyDescent="0.3">
      <c r="A13" s="638" t="s">
        <v>537</v>
      </c>
      <c r="B13" s="639" t="s">
        <v>538</v>
      </c>
      <c r="C13" s="640" t="s">
        <v>542</v>
      </c>
      <c r="D13" s="641" t="s">
        <v>1127</v>
      </c>
      <c r="E13" s="640" t="s">
        <v>1688</v>
      </c>
      <c r="F13" s="641" t="s">
        <v>1689</v>
      </c>
      <c r="G13" s="640" t="s">
        <v>1246</v>
      </c>
      <c r="H13" s="640" t="s">
        <v>1247</v>
      </c>
      <c r="I13" s="642">
        <v>0.31111111111111112</v>
      </c>
      <c r="J13" s="642">
        <v>45600</v>
      </c>
      <c r="K13" s="643">
        <v>14245.620000000003</v>
      </c>
    </row>
    <row r="14" spans="1:11" ht="14.4" customHeight="1" x14ac:dyDescent="0.3">
      <c r="A14" s="638" t="s">
        <v>537</v>
      </c>
      <c r="B14" s="639" t="s">
        <v>538</v>
      </c>
      <c r="C14" s="640" t="s">
        <v>542</v>
      </c>
      <c r="D14" s="641" t="s">
        <v>1127</v>
      </c>
      <c r="E14" s="640" t="s">
        <v>1690</v>
      </c>
      <c r="F14" s="641" t="s">
        <v>1691</v>
      </c>
      <c r="G14" s="640" t="s">
        <v>1248</v>
      </c>
      <c r="H14" s="640" t="s">
        <v>1249</v>
      </c>
      <c r="I14" s="642">
        <v>16.399999999999999</v>
      </c>
      <c r="J14" s="642">
        <v>800</v>
      </c>
      <c r="K14" s="643">
        <v>13116.4</v>
      </c>
    </row>
    <row r="15" spans="1:11" ht="14.4" customHeight="1" x14ac:dyDescent="0.3">
      <c r="A15" s="638" t="s">
        <v>537</v>
      </c>
      <c r="B15" s="639" t="s">
        <v>538</v>
      </c>
      <c r="C15" s="640" t="s">
        <v>542</v>
      </c>
      <c r="D15" s="641" t="s">
        <v>1127</v>
      </c>
      <c r="E15" s="640" t="s">
        <v>1690</v>
      </c>
      <c r="F15" s="641" t="s">
        <v>1691</v>
      </c>
      <c r="G15" s="640" t="s">
        <v>1250</v>
      </c>
      <c r="H15" s="640" t="s">
        <v>1251</v>
      </c>
      <c r="I15" s="642">
        <v>15.925000000000001</v>
      </c>
      <c r="J15" s="642">
        <v>100</v>
      </c>
      <c r="K15" s="643">
        <v>1592.5</v>
      </c>
    </row>
    <row r="16" spans="1:11" ht="14.4" customHeight="1" x14ac:dyDescent="0.3">
      <c r="A16" s="638" t="s">
        <v>537</v>
      </c>
      <c r="B16" s="639" t="s">
        <v>538</v>
      </c>
      <c r="C16" s="640" t="s">
        <v>542</v>
      </c>
      <c r="D16" s="641" t="s">
        <v>1127</v>
      </c>
      <c r="E16" s="640" t="s">
        <v>1690</v>
      </c>
      <c r="F16" s="641" t="s">
        <v>1691</v>
      </c>
      <c r="G16" s="640" t="s">
        <v>1252</v>
      </c>
      <c r="H16" s="640" t="s">
        <v>1253</v>
      </c>
      <c r="I16" s="642">
        <v>2.5266666666666664</v>
      </c>
      <c r="J16" s="642">
        <v>400</v>
      </c>
      <c r="K16" s="643">
        <v>1010.5</v>
      </c>
    </row>
    <row r="17" spans="1:11" ht="14.4" customHeight="1" x14ac:dyDescent="0.3">
      <c r="A17" s="638" t="s">
        <v>537</v>
      </c>
      <c r="B17" s="639" t="s">
        <v>538</v>
      </c>
      <c r="C17" s="640" t="s">
        <v>542</v>
      </c>
      <c r="D17" s="641" t="s">
        <v>1127</v>
      </c>
      <c r="E17" s="640" t="s">
        <v>1690</v>
      </c>
      <c r="F17" s="641" t="s">
        <v>1691</v>
      </c>
      <c r="G17" s="640" t="s">
        <v>1254</v>
      </c>
      <c r="H17" s="640" t="s">
        <v>1255</v>
      </c>
      <c r="I17" s="642">
        <v>30.25</v>
      </c>
      <c r="J17" s="642">
        <v>170</v>
      </c>
      <c r="K17" s="643">
        <v>5142.5</v>
      </c>
    </row>
    <row r="18" spans="1:11" ht="14.4" customHeight="1" x14ac:dyDescent="0.3">
      <c r="A18" s="638" t="s">
        <v>537</v>
      </c>
      <c r="B18" s="639" t="s">
        <v>538</v>
      </c>
      <c r="C18" s="640" t="s">
        <v>542</v>
      </c>
      <c r="D18" s="641" t="s">
        <v>1127</v>
      </c>
      <c r="E18" s="640" t="s">
        <v>1690</v>
      </c>
      <c r="F18" s="641" t="s">
        <v>1691</v>
      </c>
      <c r="G18" s="640" t="s">
        <v>1256</v>
      </c>
      <c r="H18" s="640" t="s">
        <v>1257</v>
      </c>
      <c r="I18" s="642">
        <v>2.7533333333333334</v>
      </c>
      <c r="J18" s="642">
        <v>300</v>
      </c>
      <c r="K18" s="643">
        <v>826</v>
      </c>
    </row>
    <row r="19" spans="1:11" ht="14.4" customHeight="1" x14ac:dyDescent="0.3">
      <c r="A19" s="638" t="s">
        <v>537</v>
      </c>
      <c r="B19" s="639" t="s">
        <v>538</v>
      </c>
      <c r="C19" s="640" t="s">
        <v>542</v>
      </c>
      <c r="D19" s="641" t="s">
        <v>1127</v>
      </c>
      <c r="E19" s="640" t="s">
        <v>1690</v>
      </c>
      <c r="F19" s="641" t="s">
        <v>1691</v>
      </c>
      <c r="G19" s="640" t="s">
        <v>1258</v>
      </c>
      <c r="H19" s="640" t="s">
        <v>1259</v>
      </c>
      <c r="I19" s="642">
        <v>4.1850000000000005</v>
      </c>
      <c r="J19" s="642">
        <v>100</v>
      </c>
      <c r="K19" s="643">
        <v>418.5</v>
      </c>
    </row>
    <row r="20" spans="1:11" ht="14.4" customHeight="1" x14ac:dyDescent="0.3">
      <c r="A20" s="638" t="s">
        <v>537</v>
      </c>
      <c r="B20" s="639" t="s">
        <v>538</v>
      </c>
      <c r="C20" s="640" t="s">
        <v>542</v>
      </c>
      <c r="D20" s="641" t="s">
        <v>1127</v>
      </c>
      <c r="E20" s="640" t="s">
        <v>1690</v>
      </c>
      <c r="F20" s="641" t="s">
        <v>1691</v>
      </c>
      <c r="G20" s="640" t="s">
        <v>1260</v>
      </c>
      <c r="H20" s="640" t="s">
        <v>1261</v>
      </c>
      <c r="I20" s="642">
        <v>1.0900000000000001</v>
      </c>
      <c r="J20" s="642">
        <v>2100</v>
      </c>
      <c r="K20" s="643">
        <v>2289</v>
      </c>
    </row>
    <row r="21" spans="1:11" ht="14.4" customHeight="1" x14ac:dyDescent="0.3">
      <c r="A21" s="638" t="s">
        <v>537</v>
      </c>
      <c r="B21" s="639" t="s">
        <v>538</v>
      </c>
      <c r="C21" s="640" t="s">
        <v>542</v>
      </c>
      <c r="D21" s="641" t="s">
        <v>1127</v>
      </c>
      <c r="E21" s="640" t="s">
        <v>1690</v>
      </c>
      <c r="F21" s="641" t="s">
        <v>1691</v>
      </c>
      <c r="G21" s="640" t="s">
        <v>1262</v>
      </c>
      <c r="H21" s="640" t="s">
        <v>1263</v>
      </c>
      <c r="I21" s="642">
        <v>1.6771428571428568</v>
      </c>
      <c r="J21" s="642">
        <v>5600</v>
      </c>
      <c r="K21" s="643">
        <v>9392</v>
      </c>
    </row>
    <row r="22" spans="1:11" ht="14.4" customHeight="1" x14ac:dyDescent="0.3">
      <c r="A22" s="638" t="s">
        <v>537</v>
      </c>
      <c r="B22" s="639" t="s">
        <v>538</v>
      </c>
      <c r="C22" s="640" t="s">
        <v>542</v>
      </c>
      <c r="D22" s="641" t="s">
        <v>1127</v>
      </c>
      <c r="E22" s="640" t="s">
        <v>1690</v>
      </c>
      <c r="F22" s="641" t="s">
        <v>1691</v>
      </c>
      <c r="G22" s="640" t="s">
        <v>1264</v>
      </c>
      <c r="H22" s="640" t="s">
        <v>1265</v>
      </c>
      <c r="I22" s="642">
        <v>0.47571428571428565</v>
      </c>
      <c r="J22" s="642">
        <v>1400</v>
      </c>
      <c r="K22" s="643">
        <v>666</v>
      </c>
    </row>
    <row r="23" spans="1:11" ht="14.4" customHeight="1" x14ac:dyDescent="0.3">
      <c r="A23" s="638" t="s">
        <v>537</v>
      </c>
      <c r="B23" s="639" t="s">
        <v>538</v>
      </c>
      <c r="C23" s="640" t="s">
        <v>542</v>
      </c>
      <c r="D23" s="641" t="s">
        <v>1127</v>
      </c>
      <c r="E23" s="640" t="s">
        <v>1690</v>
      </c>
      <c r="F23" s="641" t="s">
        <v>1691</v>
      </c>
      <c r="G23" s="640" t="s">
        <v>1266</v>
      </c>
      <c r="H23" s="640" t="s">
        <v>1267</v>
      </c>
      <c r="I23" s="642">
        <v>0.67</v>
      </c>
      <c r="J23" s="642">
        <v>2100</v>
      </c>
      <c r="K23" s="643">
        <v>1407</v>
      </c>
    </row>
    <row r="24" spans="1:11" ht="14.4" customHeight="1" x14ac:dyDescent="0.3">
      <c r="A24" s="638" t="s">
        <v>537</v>
      </c>
      <c r="B24" s="639" t="s">
        <v>538</v>
      </c>
      <c r="C24" s="640" t="s">
        <v>542</v>
      </c>
      <c r="D24" s="641" t="s">
        <v>1127</v>
      </c>
      <c r="E24" s="640" t="s">
        <v>1690</v>
      </c>
      <c r="F24" s="641" t="s">
        <v>1691</v>
      </c>
      <c r="G24" s="640" t="s">
        <v>1268</v>
      </c>
      <c r="H24" s="640" t="s">
        <v>1269</v>
      </c>
      <c r="I24" s="642">
        <v>3.7400000000000007</v>
      </c>
      <c r="J24" s="642">
        <v>500</v>
      </c>
      <c r="K24" s="643">
        <v>1870</v>
      </c>
    </row>
    <row r="25" spans="1:11" ht="14.4" customHeight="1" x14ac:dyDescent="0.3">
      <c r="A25" s="638" t="s">
        <v>537</v>
      </c>
      <c r="B25" s="639" t="s">
        <v>538</v>
      </c>
      <c r="C25" s="640" t="s">
        <v>542</v>
      </c>
      <c r="D25" s="641" t="s">
        <v>1127</v>
      </c>
      <c r="E25" s="640" t="s">
        <v>1690</v>
      </c>
      <c r="F25" s="641" t="s">
        <v>1691</v>
      </c>
      <c r="G25" s="640" t="s">
        <v>1270</v>
      </c>
      <c r="H25" s="640" t="s">
        <v>1271</v>
      </c>
      <c r="I25" s="642">
        <v>2.46</v>
      </c>
      <c r="J25" s="642">
        <v>200</v>
      </c>
      <c r="K25" s="643">
        <v>492</v>
      </c>
    </row>
    <row r="26" spans="1:11" ht="14.4" customHeight="1" x14ac:dyDescent="0.3">
      <c r="A26" s="638" t="s">
        <v>537</v>
      </c>
      <c r="B26" s="639" t="s">
        <v>538</v>
      </c>
      <c r="C26" s="640" t="s">
        <v>542</v>
      </c>
      <c r="D26" s="641" t="s">
        <v>1127</v>
      </c>
      <c r="E26" s="640" t="s">
        <v>1690</v>
      </c>
      <c r="F26" s="641" t="s">
        <v>1691</v>
      </c>
      <c r="G26" s="640" t="s">
        <v>1272</v>
      </c>
      <c r="H26" s="640" t="s">
        <v>1273</v>
      </c>
      <c r="I26" s="642">
        <v>32.67</v>
      </c>
      <c r="J26" s="642">
        <v>50</v>
      </c>
      <c r="K26" s="643">
        <v>1633.5</v>
      </c>
    </row>
    <row r="27" spans="1:11" ht="14.4" customHeight="1" x14ac:dyDescent="0.3">
      <c r="A27" s="638" t="s">
        <v>537</v>
      </c>
      <c r="B27" s="639" t="s">
        <v>538</v>
      </c>
      <c r="C27" s="640" t="s">
        <v>542</v>
      </c>
      <c r="D27" s="641" t="s">
        <v>1127</v>
      </c>
      <c r="E27" s="640" t="s">
        <v>1690</v>
      </c>
      <c r="F27" s="641" t="s">
        <v>1691</v>
      </c>
      <c r="G27" s="640" t="s">
        <v>1274</v>
      </c>
      <c r="H27" s="640" t="s">
        <v>1275</v>
      </c>
      <c r="I27" s="642">
        <v>26</v>
      </c>
      <c r="J27" s="642">
        <v>200</v>
      </c>
      <c r="K27" s="643">
        <v>5200.3999999999996</v>
      </c>
    </row>
    <row r="28" spans="1:11" ht="14.4" customHeight="1" x14ac:dyDescent="0.3">
      <c r="A28" s="638" t="s">
        <v>537</v>
      </c>
      <c r="B28" s="639" t="s">
        <v>538</v>
      </c>
      <c r="C28" s="640" t="s">
        <v>542</v>
      </c>
      <c r="D28" s="641" t="s">
        <v>1127</v>
      </c>
      <c r="E28" s="640" t="s">
        <v>1690</v>
      </c>
      <c r="F28" s="641" t="s">
        <v>1691</v>
      </c>
      <c r="G28" s="640" t="s">
        <v>1276</v>
      </c>
      <c r="H28" s="640" t="s">
        <v>1277</v>
      </c>
      <c r="I28" s="642">
        <v>9.1466666666666665</v>
      </c>
      <c r="J28" s="642">
        <v>300</v>
      </c>
      <c r="K28" s="643">
        <v>2743.6</v>
      </c>
    </row>
    <row r="29" spans="1:11" ht="14.4" customHeight="1" x14ac:dyDescent="0.3">
      <c r="A29" s="638" t="s">
        <v>537</v>
      </c>
      <c r="B29" s="639" t="s">
        <v>538</v>
      </c>
      <c r="C29" s="640" t="s">
        <v>542</v>
      </c>
      <c r="D29" s="641" t="s">
        <v>1127</v>
      </c>
      <c r="E29" s="640" t="s">
        <v>1690</v>
      </c>
      <c r="F29" s="641" t="s">
        <v>1691</v>
      </c>
      <c r="G29" s="640" t="s">
        <v>1278</v>
      </c>
      <c r="H29" s="640" t="s">
        <v>1279</v>
      </c>
      <c r="I29" s="642">
        <v>4.8</v>
      </c>
      <c r="J29" s="642">
        <v>100</v>
      </c>
      <c r="K29" s="643">
        <v>479.78</v>
      </c>
    </row>
    <row r="30" spans="1:11" ht="14.4" customHeight="1" x14ac:dyDescent="0.3">
      <c r="A30" s="638" t="s">
        <v>537</v>
      </c>
      <c r="B30" s="639" t="s">
        <v>538</v>
      </c>
      <c r="C30" s="640" t="s">
        <v>542</v>
      </c>
      <c r="D30" s="641" t="s">
        <v>1127</v>
      </c>
      <c r="E30" s="640" t="s">
        <v>1690</v>
      </c>
      <c r="F30" s="641" t="s">
        <v>1691</v>
      </c>
      <c r="G30" s="640" t="s">
        <v>1280</v>
      </c>
      <c r="H30" s="640" t="s">
        <v>1281</v>
      </c>
      <c r="I30" s="642">
        <v>26.01</v>
      </c>
      <c r="J30" s="642">
        <v>40</v>
      </c>
      <c r="K30" s="643">
        <v>1040.5999999999999</v>
      </c>
    </row>
    <row r="31" spans="1:11" ht="14.4" customHeight="1" x14ac:dyDescent="0.3">
      <c r="A31" s="638" t="s">
        <v>537</v>
      </c>
      <c r="B31" s="639" t="s">
        <v>538</v>
      </c>
      <c r="C31" s="640" t="s">
        <v>542</v>
      </c>
      <c r="D31" s="641" t="s">
        <v>1127</v>
      </c>
      <c r="E31" s="640" t="s">
        <v>1690</v>
      </c>
      <c r="F31" s="641" t="s">
        <v>1691</v>
      </c>
      <c r="G31" s="640" t="s">
        <v>1282</v>
      </c>
      <c r="H31" s="640" t="s">
        <v>1283</v>
      </c>
      <c r="I31" s="642">
        <v>1.8</v>
      </c>
      <c r="J31" s="642">
        <v>50</v>
      </c>
      <c r="K31" s="643">
        <v>90</v>
      </c>
    </row>
    <row r="32" spans="1:11" ht="14.4" customHeight="1" x14ac:dyDescent="0.3">
      <c r="A32" s="638" t="s">
        <v>537</v>
      </c>
      <c r="B32" s="639" t="s">
        <v>538</v>
      </c>
      <c r="C32" s="640" t="s">
        <v>542</v>
      </c>
      <c r="D32" s="641" t="s">
        <v>1127</v>
      </c>
      <c r="E32" s="640" t="s">
        <v>1690</v>
      </c>
      <c r="F32" s="641" t="s">
        <v>1691</v>
      </c>
      <c r="G32" s="640" t="s">
        <v>1284</v>
      </c>
      <c r="H32" s="640" t="s">
        <v>1285</v>
      </c>
      <c r="I32" s="642">
        <v>2.85</v>
      </c>
      <c r="J32" s="642">
        <v>100</v>
      </c>
      <c r="K32" s="643">
        <v>285</v>
      </c>
    </row>
    <row r="33" spans="1:11" ht="14.4" customHeight="1" x14ac:dyDescent="0.3">
      <c r="A33" s="638" t="s">
        <v>537</v>
      </c>
      <c r="B33" s="639" t="s">
        <v>538</v>
      </c>
      <c r="C33" s="640" t="s">
        <v>542</v>
      </c>
      <c r="D33" s="641" t="s">
        <v>1127</v>
      </c>
      <c r="E33" s="640" t="s">
        <v>1690</v>
      </c>
      <c r="F33" s="641" t="s">
        <v>1691</v>
      </c>
      <c r="G33" s="640" t="s">
        <v>1286</v>
      </c>
      <c r="H33" s="640" t="s">
        <v>1287</v>
      </c>
      <c r="I33" s="642">
        <v>58.786666666666662</v>
      </c>
      <c r="J33" s="642">
        <v>36</v>
      </c>
      <c r="K33" s="643">
        <v>2116.2399999999998</v>
      </c>
    </row>
    <row r="34" spans="1:11" ht="14.4" customHeight="1" x14ac:dyDescent="0.3">
      <c r="A34" s="638" t="s">
        <v>537</v>
      </c>
      <c r="B34" s="639" t="s">
        <v>538</v>
      </c>
      <c r="C34" s="640" t="s">
        <v>542</v>
      </c>
      <c r="D34" s="641" t="s">
        <v>1127</v>
      </c>
      <c r="E34" s="640" t="s">
        <v>1690</v>
      </c>
      <c r="F34" s="641" t="s">
        <v>1691</v>
      </c>
      <c r="G34" s="640" t="s">
        <v>1288</v>
      </c>
      <c r="H34" s="640" t="s">
        <v>1289</v>
      </c>
      <c r="I34" s="642">
        <v>2.056</v>
      </c>
      <c r="J34" s="642">
        <v>50</v>
      </c>
      <c r="K34" s="643">
        <v>102.80000000000001</v>
      </c>
    </row>
    <row r="35" spans="1:11" ht="14.4" customHeight="1" x14ac:dyDescent="0.3">
      <c r="A35" s="638" t="s">
        <v>537</v>
      </c>
      <c r="B35" s="639" t="s">
        <v>538</v>
      </c>
      <c r="C35" s="640" t="s">
        <v>542</v>
      </c>
      <c r="D35" s="641" t="s">
        <v>1127</v>
      </c>
      <c r="E35" s="640" t="s">
        <v>1690</v>
      </c>
      <c r="F35" s="641" t="s">
        <v>1691</v>
      </c>
      <c r="G35" s="640" t="s">
        <v>1290</v>
      </c>
      <c r="H35" s="640" t="s">
        <v>1291</v>
      </c>
      <c r="I35" s="642">
        <v>2.46</v>
      </c>
      <c r="J35" s="642">
        <v>400</v>
      </c>
      <c r="K35" s="643">
        <v>984.4</v>
      </c>
    </row>
    <row r="36" spans="1:11" ht="14.4" customHeight="1" x14ac:dyDescent="0.3">
      <c r="A36" s="638" t="s">
        <v>537</v>
      </c>
      <c r="B36" s="639" t="s">
        <v>538</v>
      </c>
      <c r="C36" s="640" t="s">
        <v>542</v>
      </c>
      <c r="D36" s="641" t="s">
        <v>1127</v>
      </c>
      <c r="E36" s="640" t="s">
        <v>1690</v>
      </c>
      <c r="F36" s="641" t="s">
        <v>1691</v>
      </c>
      <c r="G36" s="640" t="s">
        <v>1292</v>
      </c>
      <c r="H36" s="640" t="s">
        <v>1293</v>
      </c>
      <c r="I36" s="642">
        <v>4.3600000000000003</v>
      </c>
      <c r="J36" s="642">
        <v>290</v>
      </c>
      <c r="K36" s="643">
        <v>1263.25</v>
      </c>
    </row>
    <row r="37" spans="1:11" ht="14.4" customHeight="1" x14ac:dyDescent="0.3">
      <c r="A37" s="638" t="s">
        <v>537</v>
      </c>
      <c r="B37" s="639" t="s">
        <v>538</v>
      </c>
      <c r="C37" s="640" t="s">
        <v>542</v>
      </c>
      <c r="D37" s="641" t="s">
        <v>1127</v>
      </c>
      <c r="E37" s="640" t="s">
        <v>1690</v>
      </c>
      <c r="F37" s="641" t="s">
        <v>1691</v>
      </c>
      <c r="G37" s="640" t="s">
        <v>1294</v>
      </c>
      <c r="H37" s="640" t="s">
        <v>1295</v>
      </c>
      <c r="I37" s="642">
        <v>12.108571428571429</v>
      </c>
      <c r="J37" s="642">
        <v>460</v>
      </c>
      <c r="K37" s="643">
        <v>5569.6</v>
      </c>
    </row>
    <row r="38" spans="1:11" ht="14.4" customHeight="1" x14ac:dyDescent="0.3">
      <c r="A38" s="638" t="s">
        <v>537</v>
      </c>
      <c r="B38" s="639" t="s">
        <v>538</v>
      </c>
      <c r="C38" s="640" t="s">
        <v>542</v>
      </c>
      <c r="D38" s="641" t="s">
        <v>1127</v>
      </c>
      <c r="E38" s="640" t="s">
        <v>1690</v>
      </c>
      <c r="F38" s="641" t="s">
        <v>1691</v>
      </c>
      <c r="G38" s="640" t="s">
        <v>1296</v>
      </c>
      <c r="H38" s="640" t="s">
        <v>1297</v>
      </c>
      <c r="I38" s="642">
        <v>2.5099999999999998</v>
      </c>
      <c r="J38" s="642">
        <v>150</v>
      </c>
      <c r="K38" s="643">
        <v>376.5</v>
      </c>
    </row>
    <row r="39" spans="1:11" ht="14.4" customHeight="1" x14ac:dyDescent="0.3">
      <c r="A39" s="638" t="s">
        <v>537</v>
      </c>
      <c r="B39" s="639" t="s">
        <v>538</v>
      </c>
      <c r="C39" s="640" t="s">
        <v>542</v>
      </c>
      <c r="D39" s="641" t="s">
        <v>1127</v>
      </c>
      <c r="E39" s="640" t="s">
        <v>1690</v>
      </c>
      <c r="F39" s="641" t="s">
        <v>1691</v>
      </c>
      <c r="G39" s="640" t="s">
        <v>1298</v>
      </c>
      <c r="H39" s="640" t="s">
        <v>1299</v>
      </c>
      <c r="I39" s="642">
        <v>21.23</v>
      </c>
      <c r="J39" s="642">
        <v>50</v>
      </c>
      <c r="K39" s="643">
        <v>1061.5</v>
      </c>
    </row>
    <row r="40" spans="1:11" ht="14.4" customHeight="1" x14ac:dyDescent="0.3">
      <c r="A40" s="638" t="s">
        <v>537</v>
      </c>
      <c r="B40" s="639" t="s">
        <v>538</v>
      </c>
      <c r="C40" s="640" t="s">
        <v>542</v>
      </c>
      <c r="D40" s="641" t="s">
        <v>1127</v>
      </c>
      <c r="E40" s="640" t="s">
        <v>1690</v>
      </c>
      <c r="F40" s="641" t="s">
        <v>1691</v>
      </c>
      <c r="G40" s="640" t="s">
        <v>1300</v>
      </c>
      <c r="H40" s="640" t="s">
        <v>1301</v>
      </c>
      <c r="I40" s="642">
        <v>2.88</v>
      </c>
      <c r="J40" s="642">
        <v>100</v>
      </c>
      <c r="K40" s="643">
        <v>287.98</v>
      </c>
    </row>
    <row r="41" spans="1:11" ht="14.4" customHeight="1" x14ac:dyDescent="0.3">
      <c r="A41" s="638" t="s">
        <v>537</v>
      </c>
      <c r="B41" s="639" t="s">
        <v>538</v>
      </c>
      <c r="C41" s="640" t="s">
        <v>542</v>
      </c>
      <c r="D41" s="641" t="s">
        <v>1127</v>
      </c>
      <c r="E41" s="640" t="s">
        <v>1690</v>
      </c>
      <c r="F41" s="641" t="s">
        <v>1691</v>
      </c>
      <c r="G41" s="640" t="s">
        <v>1302</v>
      </c>
      <c r="H41" s="640" t="s">
        <v>1303</v>
      </c>
      <c r="I41" s="642">
        <v>0.47499999999999998</v>
      </c>
      <c r="J41" s="642">
        <v>400</v>
      </c>
      <c r="K41" s="643">
        <v>190</v>
      </c>
    </row>
    <row r="42" spans="1:11" ht="14.4" customHeight="1" x14ac:dyDescent="0.3">
      <c r="A42" s="638" t="s">
        <v>537</v>
      </c>
      <c r="B42" s="639" t="s">
        <v>538</v>
      </c>
      <c r="C42" s="640" t="s">
        <v>542</v>
      </c>
      <c r="D42" s="641" t="s">
        <v>1127</v>
      </c>
      <c r="E42" s="640" t="s">
        <v>1690</v>
      </c>
      <c r="F42" s="641" t="s">
        <v>1691</v>
      </c>
      <c r="G42" s="640" t="s">
        <v>1304</v>
      </c>
      <c r="H42" s="640" t="s">
        <v>1305</v>
      </c>
      <c r="I42" s="642">
        <v>9.2000000000000011</v>
      </c>
      <c r="J42" s="642">
        <v>1400</v>
      </c>
      <c r="K42" s="643">
        <v>12880</v>
      </c>
    </row>
    <row r="43" spans="1:11" ht="14.4" customHeight="1" x14ac:dyDescent="0.3">
      <c r="A43" s="638" t="s">
        <v>537</v>
      </c>
      <c r="B43" s="639" t="s">
        <v>538</v>
      </c>
      <c r="C43" s="640" t="s">
        <v>542</v>
      </c>
      <c r="D43" s="641" t="s">
        <v>1127</v>
      </c>
      <c r="E43" s="640" t="s">
        <v>1690</v>
      </c>
      <c r="F43" s="641" t="s">
        <v>1691</v>
      </c>
      <c r="G43" s="640" t="s">
        <v>1306</v>
      </c>
      <c r="H43" s="640" t="s">
        <v>1307</v>
      </c>
      <c r="I43" s="642">
        <v>172.5</v>
      </c>
      <c r="J43" s="642">
        <v>3</v>
      </c>
      <c r="K43" s="643">
        <v>517.5</v>
      </c>
    </row>
    <row r="44" spans="1:11" ht="14.4" customHeight="1" x14ac:dyDescent="0.3">
      <c r="A44" s="638" t="s">
        <v>537</v>
      </c>
      <c r="B44" s="639" t="s">
        <v>538</v>
      </c>
      <c r="C44" s="640" t="s">
        <v>542</v>
      </c>
      <c r="D44" s="641" t="s">
        <v>1127</v>
      </c>
      <c r="E44" s="640" t="s">
        <v>1690</v>
      </c>
      <c r="F44" s="641" t="s">
        <v>1691</v>
      </c>
      <c r="G44" s="640" t="s">
        <v>1308</v>
      </c>
      <c r="H44" s="640" t="s">
        <v>1309</v>
      </c>
      <c r="I44" s="642">
        <v>487.238</v>
      </c>
      <c r="J44" s="642">
        <v>100</v>
      </c>
      <c r="K44" s="643">
        <v>48723.63</v>
      </c>
    </row>
    <row r="45" spans="1:11" ht="14.4" customHeight="1" x14ac:dyDescent="0.3">
      <c r="A45" s="638" t="s">
        <v>537</v>
      </c>
      <c r="B45" s="639" t="s">
        <v>538</v>
      </c>
      <c r="C45" s="640" t="s">
        <v>542</v>
      </c>
      <c r="D45" s="641" t="s">
        <v>1127</v>
      </c>
      <c r="E45" s="640" t="s">
        <v>1690</v>
      </c>
      <c r="F45" s="641" t="s">
        <v>1691</v>
      </c>
      <c r="G45" s="640" t="s">
        <v>1310</v>
      </c>
      <c r="H45" s="640" t="s">
        <v>1311</v>
      </c>
      <c r="I45" s="642">
        <v>107.86500000000001</v>
      </c>
      <c r="J45" s="642">
        <v>21</v>
      </c>
      <c r="K45" s="643">
        <v>2260</v>
      </c>
    </row>
    <row r="46" spans="1:11" ht="14.4" customHeight="1" x14ac:dyDescent="0.3">
      <c r="A46" s="638" t="s">
        <v>537</v>
      </c>
      <c r="B46" s="639" t="s">
        <v>538</v>
      </c>
      <c r="C46" s="640" t="s">
        <v>542</v>
      </c>
      <c r="D46" s="641" t="s">
        <v>1127</v>
      </c>
      <c r="E46" s="640" t="s">
        <v>1690</v>
      </c>
      <c r="F46" s="641" t="s">
        <v>1691</v>
      </c>
      <c r="G46" s="640" t="s">
        <v>1312</v>
      </c>
      <c r="H46" s="640" t="s">
        <v>1313</v>
      </c>
      <c r="I46" s="642">
        <v>27.83</v>
      </c>
      <c r="J46" s="642">
        <v>10</v>
      </c>
      <c r="K46" s="643">
        <v>278.3</v>
      </c>
    </row>
    <row r="47" spans="1:11" ht="14.4" customHeight="1" x14ac:dyDescent="0.3">
      <c r="A47" s="638" t="s">
        <v>537</v>
      </c>
      <c r="B47" s="639" t="s">
        <v>538</v>
      </c>
      <c r="C47" s="640" t="s">
        <v>542</v>
      </c>
      <c r="D47" s="641" t="s">
        <v>1127</v>
      </c>
      <c r="E47" s="640" t="s">
        <v>1690</v>
      </c>
      <c r="F47" s="641" t="s">
        <v>1691</v>
      </c>
      <c r="G47" s="640" t="s">
        <v>1314</v>
      </c>
      <c r="H47" s="640" t="s">
        <v>1315</v>
      </c>
      <c r="I47" s="642">
        <v>350.9</v>
      </c>
      <c r="J47" s="642">
        <v>1</v>
      </c>
      <c r="K47" s="643">
        <v>350.9</v>
      </c>
    </row>
    <row r="48" spans="1:11" ht="14.4" customHeight="1" x14ac:dyDescent="0.3">
      <c r="A48" s="638" t="s">
        <v>537</v>
      </c>
      <c r="B48" s="639" t="s">
        <v>538</v>
      </c>
      <c r="C48" s="640" t="s">
        <v>542</v>
      </c>
      <c r="D48" s="641" t="s">
        <v>1127</v>
      </c>
      <c r="E48" s="640" t="s">
        <v>1690</v>
      </c>
      <c r="F48" s="641" t="s">
        <v>1691</v>
      </c>
      <c r="G48" s="640" t="s">
        <v>1316</v>
      </c>
      <c r="H48" s="640" t="s">
        <v>1317</v>
      </c>
      <c r="I48" s="642">
        <v>14.31</v>
      </c>
      <c r="J48" s="642">
        <v>30</v>
      </c>
      <c r="K48" s="643">
        <v>429.26</v>
      </c>
    </row>
    <row r="49" spans="1:11" ht="14.4" customHeight="1" x14ac:dyDescent="0.3">
      <c r="A49" s="638" t="s">
        <v>537</v>
      </c>
      <c r="B49" s="639" t="s">
        <v>538</v>
      </c>
      <c r="C49" s="640" t="s">
        <v>542</v>
      </c>
      <c r="D49" s="641" t="s">
        <v>1127</v>
      </c>
      <c r="E49" s="640" t="s">
        <v>1690</v>
      </c>
      <c r="F49" s="641" t="s">
        <v>1691</v>
      </c>
      <c r="G49" s="640" t="s">
        <v>1318</v>
      </c>
      <c r="H49" s="640" t="s">
        <v>1319</v>
      </c>
      <c r="I49" s="642">
        <v>209</v>
      </c>
      <c r="J49" s="642">
        <v>4</v>
      </c>
      <c r="K49" s="643">
        <v>836</v>
      </c>
    </row>
    <row r="50" spans="1:11" ht="14.4" customHeight="1" x14ac:dyDescent="0.3">
      <c r="A50" s="638" t="s">
        <v>537</v>
      </c>
      <c r="B50" s="639" t="s">
        <v>538</v>
      </c>
      <c r="C50" s="640" t="s">
        <v>542</v>
      </c>
      <c r="D50" s="641" t="s">
        <v>1127</v>
      </c>
      <c r="E50" s="640" t="s">
        <v>1690</v>
      </c>
      <c r="F50" s="641" t="s">
        <v>1691</v>
      </c>
      <c r="G50" s="640" t="s">
        <v>1320</v>
      </c>
      <c r="H50" s="640" t="s">
        <v>1321</v>
      </c>
      <c r="I50" s="642">
        <v>27.83</v>
      </c>
      <c r="J50" s="642">
        <v>10</v>
      </c>
      <c r="K50" s="643">
        <v>278.3</v>
      </c>
    </row>
    <row r="51" spans="1:11" ht="14.4" customHeight="1" x14ac:dyDescent="0.3">
      <c r="A51" s="638" t="s">
        <v>537</v>
      </c>
      <c r="B51" s="639" t="s">
        <v>538</v>
      </c>
      <c r="C51" s="640" t="s">
        <v>542</v>
      </c>
      <c r="D51" s="641" t="s">
        <v>1127</v>
      </c>
      <c r="E51" s="640" t="s">
        <v>1690</v>
      </c>
      <c r="F51" s="641" t="s">
        <v>1691</v>
      </c>
      <c r="G51" s="640" t="s">
        <v>1322</v>
      </c>
      <c r="H51" s="640" t="s">
        <v>1323</v>
      </c>
      <c r="I51" s="642">
        <v>136.54</v>
      </c>
      <c r="J51" s="642">
        <v>2</v>
      </c>
      <c r="K51" s="643">
        <v>273.08</v>
      </c>
    </row>
    <row r="52" spans="1:11" ht="14.4" customHeight="1" x14ac:dyDescent="0.3">
      <c r="A52" s="638" t="s">
        <v>537</v>
      </c>
      <c r="B52" s="639" t="s">
        <v>538</v>
      </c>
      <c r="C52" s="640" t="s">
        <v>542</v>
      </c>
      <c r="D52" s="641" t="s">
        <v>1127</v>
      </c>
      <c r="E52" s="640" t="s">
        <v>1690</v>
      </c>
      <c r="F52" s="641" t="s">
        <v>1691</v>
      </c>
      <c r="G52" s="640" t="s">
        <v>1324</v>
      </c>
      <c r="H52" s="640" t="s">
        <v>1325</v>
      </c>
      <c r="I52" s="642">
        <v>141.9</v>
      </c>
      <c r="J52" s="642">
        <v>60</v>
      </c>
      <c r="K52" s="643">
        <v>8513.7899999999991</v>
      </c>
    </row>
    <row r="53" spans="1:11" ht="14.4" customHeight="1" x14ac:dyDescent="0.3">
      <c r="A53" s="638" t="s">
        <v>537</v>
      </c>
      <c r="B53" s="639" t="s">
        <v>538</v>
      </c>
      <c r="C53" s="640" t="s">
        <v>542</v>
      </c>
      <c r="D53" s="641" t="s">
        <v>1127</v>
      </c>
      <c r="E53" s="640" t="s">
        <v>1690</v>
      </c>
      <c r="F53" s="641" t="s">
        <v>1691</v>
      </c>
      <c r="G53" s="640" t="s">
        <v>1326</v>
      </c>
      <c r="H53" s="640" t="s">
        <v>1327</v>
      </c>
      <c r="I53" s="642">
        <v>1.0516666666666665</v>
      </c>
      <c r="J53" s="642">
        <v>1300</v>
      </c>
      <c r="K53" s="643">
        <v>1367</v>
      </c>
    </row>
    <row r="54" spans="1:11" ht="14.4" customHeight="1" x14ac:dyDescent="0.3">
      <c r="A54" s="638" t="s">
        <v>537</v>
      </c>
      <c r="B54" s="639" t="s">
        <v>538</v>
      </c>
      <c r="C54" s="640" t="s">
        <v>542</v>
      </c>
      <c r="D54" s="641" t="s">
        <v>1127</v>
      </c>
      <c r="E54" s="640" t="s">
        <v>1690</v>
      </c>
      <c r="F54" s="641" t="s">
        <v>1691</v>
      </c>
      <c r="G54" s="640" t="s">
        <v>1328</v>
      </c>
      <c r="H54" s="640" t="s">
        <v>1329</v>
      </c>
      <c r="I54" s="642">
        <v>27.83</v>
      </c>
      <c r="J54" s="642">
        <v>10</v>
      </c>
      <c r="K54" s="643">
        <v>278.3</v>
      </c>
    </row>
    <row r="55" spans="1:11" ht="14.4" customHeight="1" x14ac:dyDescent="0.3">
      <c r="A55" s="638" t="s">
        <v>537</v>
      </c>
      <c r="B55" s="639" t="s">
        <v>538</v>
      </c>
      <c r="C55" s="640" t="s">
        <v>542</v>
      </c>
      <c r="D55" s="641" t="s">
        <v>1127</v>
      </c>
      <c r="E55" s="640" t="s">
        <v>1690</v>
      </c>
      <c r="F55" s="641" t="s">
        <v>1691</v>
      </c>
      <c r="G55" s="640" t="s">
        <v>1330</v>
      </c>
      <c r="H55" s="640" t="s">
        <v>1331</v>
      </c>
      <c r="I55" s="642">
        <v>0.27</v>
      </c>
      <c r="J55" s="642">
        <v>500</v>
      </c>
      <c r="K55" s="643">
        <v>133.1</v>
      </c>
    </row>
    <row r="56" spans="1:11" ht="14.4" customHeight="1" x14ac:dyDescent="0.3">
      <c r="A56" s="638" t="s">
        <v>537</v>
      </c>
      <c r="B56" s="639" t="s">
        <v>538</v>
      </c>
      <c r="C56" s="640" t="s">
        <v>542</v>
      </c>
      <c r="D56" s="641" t="s">
        <v>1127</v>
      </c>
      <c r="E56" s="640" t="s">
        <v>1690</v>
      </c>
      <c r="F56" s="641" t="s">
        <v>1691</v>
      </c>
      <c r="G56" s="640" t="s">
        <v>1332</v>
      </c>
      <c r="H56" s="640" t="s">
        <v>1333</v>
      </c>
      <c r="I56" s="642">
        <v>27.83</v>
      </c>
      <c r="J56" s="642">
        <v>10</v>
      </c>
      <c r="K56" s="643">
        <v>278.3</v>
      </c>
    </row>
    <row r="57" spans="1:11" ht="14.4" customHeight="1" x14ac:dyDescent="0.3">
      <c r="A57" s="638" t="s">
        <v>537</v>
      </c>
      <c r="B57" s="639" t="s">
        <v>538</v>
      </c>
      <c r="C57" s="640" t="s">
        <v>542</v>
      </c>
      <c r="D57" s="641" t="s">
        <v>1127</v>
      </c>
      <c r="E57" s="640" t="s">
        <v>1690</v>
      </c>
      <c r="F57" s="641" t="s">
        <v>1691</v>
      </c>
      <c r="G57" s="640" t="s">
        <v>1334</v>
      </c>
      <c r="H57" s="640" t="s">
        <v>1335</v>
      </c>
      <c r="I57" s="642">
        <v>2.1379999999999999</v>
      </c>
      <c r="J57" s="642">
        <v>900</v>
      </c>
      <c r="K57" s="643">
        <v>1908.85</v>
      </c>
    </row>
    <row r="58" spans="1:11" ht="14.4" customHeight="1" x14ac:dyDescent="0.3">
      <c r="A58" s="638" t="s">
        <v>537</v>
      </c>
      <c r="B58" s="639" t="s">
        <v>538</v>
      </c>
      <c r="C58" s="640" t="s">
        <v>542</v>
      </c>
      <c r="D58" s="641" t="s">
        <v>1127</v>
      </c>
      <c r="E58" s="640" t="s">
        <v>1690</v>
      </c>
      <c r="F58" s="641" t="s">
        <v>1691</v>
      </c>
      <c r="G58" s="640" t="s">
        <v>1336</v>
      </c>
      <c r="H58" s="640" t="s">
        <v>1337</v>
      </c>
      <c r="I58" s="642">
        <v>2.13</v>
      </c>
      <c r="J58" s="642">
        <v>2200</v>
      </c>
      <c r="K58" s="643">
        <v>4653.72</v>
      </c>
    </row>
    <row r="59" spans="1:11" ht="14.4" customHeight="1" x14ac:dyDescent="0.3">
      <c r="A59" s="638" t="s">
        <v>537</v>
      </c>
      <c r="B59" s="639" t="s">
        <v>538</v>
      </c>
      <c r="C59" s="640" t="s">
        <v>542</v>
      </c>
      <c r="D59" s="641" t="s">
        <v>1127</v>
      </c>
      <c r="E59" s="640" t="s">
        <v>1690</v>
      </c>
      <c r="F59" s="641" t="s">
        <v>1691</v>
      </c>
      <c r="G59" s="640" t="s">
        <v>1338</v>
      </c>
      <c r="H59" s="640" t="s">
        <v>1339</v>
      </c>
      <c r="I59" s="642">
        <v>318</v>
      </c>
      <c r="J59" s="642">
        <v>5</v>
      </c>
      <c r="K59" s="643">
        <v>1590</v>
      </c>
    </row>
    <row r="60" spans="1:11" ht="14.4" customHeight="1" x14ac:dyDescent="0.3">
      <c r="A60" s="638" t="s">
        <v>537</v>
      </c>
      <c r="B60" s="639" t="s">
        <v>538</v>
      </c>
      <c r="C60" s="640" t="s">
        <v>542</v>
      </c>
      <c r="D60" s="641" t="s">
        <v>1127</v>
      </c>
      <c r="E60" s="640" t="s">
        <v>1690</v>
      </c>
      <c r="F60" s="641" t="s">
        <v>1691</v>
      </c>
      <c r="G60" s="640" t="s">
        <v>1340</v>
      </c>
      <c r="H60" s="640" t="s">
        <v>1341</v>
      </c>
      <c r="I60" s="642">
        <v>1.28</v>
      </c>
      <c r="J60" s="642">
        <v>500</v>
      </c>
      <c r="K60" s="643">
        <v>641.29999999999995</v>
      </c>
    </row>
    <row r="61" spans="1:11" ht="14.4" customHeight="1" x14ac:dyDescent="0.3">
      <c r="A61" s="638" t="s">
        <v>537</v>
      </c>
      <c r="B61" s="639" t="s">
        <v>538</v>
      </c>
      <c r="C61" s="640" t="s">
        <v>542</v>
      </c>
      <c r="D61" s="641" t="s">
        <v>1127</v>
      </c>
      <c r="E61" s="640" t="s">
        <v>1690</v>
      </c>
      <c r="F61" s="641" t="s">
        <v>1691</v>
      </c>
      <c r="G61" s="640" t="s">
        <v>1342</v>
      </c>
      <c r="H61" s="640" t="s">
        <v>1343</v>
      </c>
      <c r="I61" s="642">
        <v>99.22</v>
      </c>
      <c r="J61" s="642">
        <v>10</v>
      </c>
      <c r="K61" s="643">
        <v>992.2</v>
      </c>
    </row>
    <row r="62" spans="1:11" ht="14.4" customHeight="1" x14ac:dyDescent="0.3">
      <c r="A62" s="638" t="s">
        <v>537</v>
      </c>
      <c r="B62" s="639" t="s">
        <v>538</v>
      </c>
      <c r="C62" s="640" t="s">
        <v>542</v>
      </c>
      <c r="D62" s="641" t="s">
        <v>1127</v>
      </c>
      <c r="E62" s="640" t="s">
        <v>1690</v>
      </c>
      <c r="F62" s="641" t="s">
        <v>1691</v>
      </c>
      <c r="G62" s="640" t="s">
        <v>1344</v>
      </c>
      <c r="H62" s="640" t="s">
        <v>1345</v>
      </c>
      <c r="I62" s="642">
        <v>298.58999999999997</v>
      </c>
      <c r="J62" s="642">
        <v>15</v>
      </c>
      <c r="K62" s="643">
        <v>4478.79</v>
      </c>
    </row>
    <row r="63" spans="1:11" ht="14.4" customHeight="1" x14ac:dyDescent="0.3">
      <c r="A63" s="638" t="s">
        <v>537</v>
      </c>
      <c r="B63" s="639" t="s">
        <v>538</v>
      </c>
      <c r="C63" s="640" t="s">
        <v>542</v>
      </c>
      <c r="D63" s="641" t="s">
        <v>1127</v>
      </c>
      <c r="E63" s="640" t="s">
        <v>1690</v>
      </c>
      <c r="F63" s="641" t="s">
        <v>1691</v>
      </c>
      <c r="G63" s="640" t="s">
        <v>1346</v>
      </c>
      <c r="H63" s="640" t="s">
        <v>1347</v>
      </c>
      <c r="I63" s="642">
        <v>2.0699999999999998</v>
      </c>
      <c r="J63" s="642">
        <v>140</v>
      </c>
      <c r="K63" s="643">
        <v>289.8</v>
      </c>
    </row>
    <row r="64" spans="1:11" ht="14.4" customHeight="1" x14ac:dyDescent="0.3">
      <c r="A64" s="638" t="s">
        <v>537</v>
      </c>
      <c r="B64" s="639" t="s">
        <v>538</v>
      </c>
      <c r="C64" s="640" t="s">
        <v>542</v>
      </c>
      <c r="D64" s="641" t="s">
        <v>1127</v>
      </c>
      <c r="E64" s="640" t="s">
        <v>1692</v>
      </c>
      <c r="F64" s="641" t="s">
        <v>1693</v>
      </c>
      <c r="G64" s="640" t="s">
        <v>1348</v>
      </c>
      <c r="H64" s="640" t="s">
        <v>1349</v>
      </c>
      <c r="I64" s="642">
        <v>0.30571428571428572</v>
      </c>
      <c r="J64" s="642">
        <v>1300</v>
      </c>
      <c r="K64" s="643">
        <v>397</v>
      </c>
    </row>
    <row r="65" spans="1:11" ht="14.4" customHeight="1" x14ac:dyDescent="0.3">
      <c r="A65" s="638" t="s">
        <v>537</v>
      </c>
      <c r="B65" s="639" t="s">
        <v>538</v>
      </c>
      <c r="C65" s="640" t="s">
        <v>542</v>
      </c>
      <c r="D65" s="641" t="s">
        <v>1127</v>
      </c>
      <c r="E65" s="640" t="s">
        <v>1692</v>
      </c>
      <c r="F65" s="641" t="s">
        <v>1693</v>
      </c>
      <c r="G65" s="640" t="s">
        <v>1350</v>
      </c>
      <c r="H65" s="640" t="s">
        <v>1351</v>
      </c>
      <c r="I65" s="642">
        <v>0.48500000000000004</v>
      </c>
      <c r="J65" s="642">
        <v>600</v>
      </c>
      <c r="K65" s="643">
        <v>291</v>
      </c>
    </row>
    <row r="66" spans="1:11" ht="14.4" customHeight="1" x14ac:dyDescent="0.3">
      <c r="A66" s="638" t="s">
        <v>537</v>
      </c>
      <c r="B66" s="639" t="s">
        <v>538</v>
      </c>
      <c r="C66" s="640" t="s">
        <v>542</v>
      </c>
      <c r="D66" s="641" t="s">
        <v>1127</v>
      </c>
      <c r="E66" s="640" t="s">
        <v>1694</v>
      </c>
      <c r="F66" s="641" t="s">
        <v>1695</v>
      </c>
      <c r="G66" s="640" t="s">
        <v>1352</v>
      </c>
      <c r="H66" s="640" t="s">
        <v>1353</v>
      </c>
      <c r="I66" s="642">
        <v>0.71</v>
      </c>
      <c r="J66" s="642">
        <v>13000</v>
      </c>
      <c r="K66" s="643">
        <v>9230</v>
      </c>
    </row>
    <row r="67" spans="1:11" ht="14.4" customHeight="1" x14ac:dyDescent="0.3">
      <c r="A67" s="638" t="s">
        <v>537</v>
      </c>
      <c r="B67" s="639" t="s">
        <v>538</v>
      </c>
      <c r="C67" s="640" t="s">
        <v>542</v>
      </c>
      <c r="D67" s="641" t="s">
        <v>1127</v>
      </c>
      <c r="E67" s="640" t="s">
        <v>1694</v>
      </c>
      <c r="F67" s="641" t="s">
        <v>1695</v>
      </c>
      <c r="G67" s="640" t="s">
        <v>1354</v>
      </c>
      <c r="H67" s="640" t="s">
        <v>1355</v>
      </c>
      <c r="I67" s="642">
        <v>0.71</v>
      </c>
      <c r="J67" s="642">
        <v>800</v>
      </c>
      <c r="K67" s="643">
        <v>568</v>
      </c>
    </row>
    <row r="68" spans="1:11" ht="14.4" customHeight="1" x14ac:dyDescent="0.3">
      <c r="A68" s="638" t="s">
        <v>537</v>
      </c>
      <c r="B68" s="639" t="s">
        <v>538</v>
      </c>
      <c r="C68" s="640" t="s">
        <v>542</v>
      </c>
      <c r="D68" s="641" t="s">
        <v>1127</v>
      </c>
      <c r="E68" s="640" t="s">
        <v>1694</v>
      </c>
      <c r="F68" s="641" t="s">
        <v>1695</v>
      </c>
      <c r="G68" s="640" t="s">
        <v>1356</v>
      </c>
      <c r="H68" s="640" t="s">
        <v>1357</v>
      </c>
      <c r="I68" s="642">
        <v>12.581999999999999</v>
      </c>
      <c r="J68" s="642">
        <v>500</v>
      </c>
      <c r="K68" s="643">
        <v>6291</v>
      </c>
    </row>
    <row r="69" spans="1:11" ht="14.4" customHeight="1" x14ac:dyDescent="0.3">
      <c r="A69" s="638" t="s">
        <v>537</v>
      </c>
      <c r="B69" s="639" t="s">
        <v>538</v>
      </c>
      <c r="C69" s="640" t="s">
        <v>542</v>
      </c>
      <c r="D69" s="641" t="s">
        <v>1127</v>
      </c>
      <c r="E69" s="640" t="s">
        <v>1694</v>
      </c>
      <c r="F69" s="641" t="s">
        <v>1695</v>
      </c>
      <c r="G69" s="640" t="s">
        <v>1358</v>
      </c>
      <c r="H69" s="640" t="s">
        <v>1359</v>
      </c>
      <c r="I69" s="642">
        <v>12.585714285714287</v>
      </c>
      <c r="J69" s="642">
        <v>737</v>
      </c>
      <c r="K69" s="643">
        <v>9275.86</v>
      </c>
    </row>
    <row r="70" spans="1:11" ht="14.4" customHeight="1" x14ac:dyDescent="0.3">
      <c r="A70" s="638" t="s">
        <v>537</v>
      </c>
      <c r="B70" s="639" t="s">
        <v>538</v>
      </c>
      <c r="C70" s="640" t="s">
        <v>542</v>
      </c>
      <c r="D70" s="641" t="s">
        <v>1127</v>
      </c>
      <c r="E70" s="640" t="s">
        <v>1696</v>
      </c>
      <c r="F70" s="641" t="s">
        <v>1697</v>
      </c>
      <c r="G70" s="640" t="s">
        <v>1360</v>
      </c>
      <c r="H70" s="640" t="s">
        <v>1361</v>
      </c>
      <c r="I70" s="642">
        <v>139.44</v>
      </c>
      <c r="J70" s="642">
        <v>20</v>
      </c>
      <c r="K70" s="643">
        <v>2788.76</v>
      </c>
    </row>
    <row r="71" spans="1:11" ht="14.4" customHeight="1" x14ac:dyDescent="0.3">
      <c r="A71" s="638" t="s">
        <v>537</v>
      </c>
      <c r="B71" s="639" t="s">
        <v>538</v>
      </c>
      <c r="C71" s="640" t="s">
        <v>542</v>
      </c>
      <c r="D71" s="641" t="s">
        <v>1127</v>
      </c>
      <c r="E71" s="640" t="s">
        <v>1696</v>
      </c>
      <c r="F71" s="641" t="s">
        <v>1697</v>
      </c>
      <c r="G71" s="640" t="s">
        <v>1362</v>
      </c>
      <c r="H71" s="640" t="s">
        <v>1363</v>
      </c>
      <c r="I71" s="642">
        <v>11.65</v>
      </c>
      <c r="J71" s="642">
        <v>10</v>
      </c>
      <c r="K71" s="643">
        <v>116.5</v>
      </c>
    </row>
    <row r="72" spans="1:11" ht="14.4" customHeight="1" x14ac:dyDescent="0.3">
      <c r="A72" s="638" t="s">
        <v>537</v>
      </c>
      <c r="B72" s="639" t="s">
        <v>538</v>
      </c>
      <c r="C72" s="640" t="s">
        <v>542</v>
      </c>
      <c r="D72" s="641" t="s">
        <v>1127</v>
      </c>
      <c r="E72" s="640" t="s">
        <v>1696</v>
      </c>
      <c r="F72" s="641" t="s">
        <v>1697</v>
      </c>
      <c r="G72" s="640" t="s">
        <v>1364</v>
      </c>
      <c r="H72" s="640" t="s">
        <v>1365</v>
      </c>
      <c r="I72" s="642">
        <v>3035.31</v>
      </c>
      <c r="J72" s="642">
        <v>1</v>
      </c>
      <c r="K72" s="643">
        <v>3035.31</v>
      </c>
    </row>
    <row r="73" spans="1:11" ht="14.4" customHeight="1" x14ac:dyDescent="0.3">
      <c r="A73" s="638" t="s">
        <v>537</v>
      </c>
      <c r="B73" s="639" t="s">
        <v>538</v>
      </c>
      <c r="C73" s="640" t="s">
        <v>542</v>
      </c>
      <c r="D73" s="641" t="s">
        <v>1127</v>
      </c>
      <c r="E73" s="640" t="s">
        <v>1696</v>
      </c>
      <c r="F73" s="641" t="s">
        <v>1697</v>
      </c>
      <c r="G73" s="640" t="s">
        <v>1366</v>
      </c>
      <c r="H73" s="640" t="s">
        <v>1367</v>
      </c>
      <c r="I73" s="642">
        <v>2722.5</v>
      </c>
      <c r="J73" s="642">
        <v>5</v>
      </c>
      <c r="K73" s="643">
        <v>13612.5</v>
      </c>
    </row>
    <row r="74" spans="1:11" ht="14.4" customHeight="1" x14ac:dyDescent="0.3">
      <c r="A74" s="638" t="s">
        <v>537</v>
      </c>
      <c r="B74" s="639" t="s">
        <v>538</v>
      </c>
      <c r="C74" s="640" t="s">
        <v>542</v>
      </c>
      <c r="D74" s="641" t="s">
        <v>1127</v>
      </c>
      <c r="E74" s="640" t="s">
        <v>1696</v>
      </c>
      <c r="F74" s="641" t="s">
        <v>1697</v>
      </c>
      <c r="G74" s="640" t="s">
        <v>1368</v>
      </c>
      <c r="H74" s="640" t="s">
        <v>1369</v>
      </c>
      <c r="I74" s="642">
        <v>4464.9416666666666</v>
      </c>
      <c r="J74" s="642">
        <v>16</v>
      </c>
      <c r="K74" s="643">
        <v>71323</v>
      </c>
    </row>
    <row r="75" spans="1:11" ht="14.4" customHeight="1" x14ac:dyDescent="0.3">
      <c r="A75" s="638" t="s">
        <v>537</v>
      </c>
      <c r="B75" s="639" t="s">
        <v>538</v>
      </c>
      <c r="C75" s="640" t="s">
        <v>542</v>
      </c>
      <c r="D75" s="641" t="s">
        <v>1127</v>
      </c>
      <c r="E75" s="640" t="s">
        <v>1698</v>
      </c>
      <c r="F75" s="641" t="s">
        <v>1699</v>
      </c>
      <c r="G75" s="640" t="s">
        <v>1370</v>
      </c>
      <c r="H75" s="640" t="s">
        <v>1371</v>
      </c>
      <c r="I75" s="642">
        <v>97.89</v>
      </c>
      <c r="J75" s="642">
        <v>10</v>
      </c>
      <c r="K75" s="643">
        <v>978.9</v>
      </c>
    </row>
    <row r="76" spans="1:11" ht="14.4" customHeight="1" x14ac:dyDescent="0.3">
      <c r="A76" s="638" t="s">
        <v>537</v>
      </c>
      <c r="B76" s="639" t="s">
        <v>538</v>
      </c>
      <c r="C76" s="640" t="s">
        <v>547</v>
      </c>
      <c r="D76" s="641" t="s">
        <v>1128</v>
      </c>
      <c r="E76" s="640" t="s">
        <v>1688</v>
      </c>
      <c r="F76" s="641" t="s">
        <v>1689</v>
      </c>
      <c r="G76" s="640" t="s">
        <v>1230</v>
      </c>
      <c r="H76" s="640" t="s">
        <v>1231</v>
      </c>
      <c r="I76" s="642">
        <v>4.3</v>
      </c>
      <c r="J76" s="642">
        <v>96</v>
      </c>
      <c r="K76" s="643">
        <v>412.8</v>
      </c>
    </row>
    <row r="77" spans="1:11" ht="14.4" customHeight="1" x14ac:dyDescent="0.3">
      <c r="A77" s="638" t="s">
        <v>537</v>
      </c>
      <c r="B77" s="639" t="s">
        <v>538</v>
      </c>
      <c r="C77" s="640" t="s">
        <v>547</v>
      </c>
      <c r="D77" s="641" t="s">
        <v>1128</v>
      </c>
      <c r="E77" s="640" t="s">
        <v>1688</v>
      </c>
      <c r="F77" s="641" t="s">
        <v>1689</v>
      </c>
      <c r="G77" s="640" t="s">
        <v>1372</v>
      </c>
      <c r="H77" s="640" t="s">
        <v>1373</v>
      </c>
      <c r="I77" s="642">
        <v>0.32</v>
      </c>
      <c r="J77" s="642">
        <v>5400</v>
      </c>
      <c r="K77" s="643">
        <v>1723.6800000000003</v>
      </c>
    </row>
    <row r="78" spans="1:11" ht="14.4" customHeight="1" x14ac:dyDescent="0.3">
      <c r="A78" s="638" t="s">
        <v>537</v>
      </c>
      <c r="B78" s="639" t="s">
        <v>538</v>
      </c>
      <c r="C78" s="640" t="s">
        <v>547</v>
      </c>
      <c r="D78" s="641" t="s">
        <v>1128</v>
      </c>
      <c r="E78" s="640" t="s">
        <v>1688</v>
      </c>
      <c r="F78" s="641" t="s">
        <v>1689</v>
      </c>
      <c r="G78" s="640" t="s">
        <v>1242</v>
      </c>
      <c r="H78" s="640" t="s">
        <v>1243</v>
      </c>
      <c r="I78" s="642">
        <v>2.9550000000000001</v>
      </c>
      <c r="J78" s="642">
        <v>200</v>
      </c>
      <c r="K78" s="643">
        <v>591</v>
      </c>
    </row>
    <row r="79" spans="1:11" ht="14.4" customHeight="1" x14ac:dyDescent="0.3">
      <c r="A79" s="638" t="s">
        <v>537</v>
      </c>
      <c r="B79" s="639" t="s">
        <v>538</v>
      </c>
      <c r="C79" s="640" t="s">
        <v>547</v>
      </c>
      <c r="D79" s="641" t="s">
        <v>1128</v>
      </c>
      <c r="E79" s="640" t="s">
        <v>1688</v>
      </c>
      <c r="F79" s="641" t="s">
        <v>1689</v>
      </c>
      <c r="G79" s="640" t="s">
        <v>1374</v>
      </c>
      <c r="H79" s="640" t="s">
        <v>1375</v>
      </c>
      <c r="I79" s="642">
        <v>0.66500000000000004</v>
      </c>
      <c r="J79" s="642">
        <v>1000</v>
      </c>
      <c r="K79" s="643">
        <v>665</v>
      </c>
    </row>
    <row r="80" spans="1:11" ht="14.4" customHeight="1" x14ac:dyDescent="0.3">
      <c r="A80" s="638" t="s">
        <v>537</v>
      </c>
      <c r="B80" s="639" t="s">
        <v>538</v>
      </c>
      <c r="C80" s="640" t="s">
        <v>547</v>
      </c>
      <c r="D80" s="641" t="s">
        <v>1128</v>
      </c>
      <c r="E80" s="640" t="s">
        <v>1688</v>
      </c>
      <c r="F80" s="641" t="s">
        <v>1689</v>
      </c>
      <c r="G80" s="640" t="s">
        <v>1376</v>
      </c>
      <c r="H80" s="640" t="s">
        <v>1377</v>
      </c>
      <c r="I80" s="642">
        <v>1.2900000000000003</v>
      </c>
      <c r="J80" s="642">
        <v>1700</v>
      </c>
      <c r="K80" s="643">
        <v>2193</v>
      </c>
    </row>
    <row r="81" spans="1:11" ht="14.4" customHeight="1" x14ac:dyDescent="0.3">
      <c r="A81" s="638" t="s">
        <v>537</v>
      </c>
      <c r="B81" s="639" t="s">
        <v>538</v>
      </c>
      <c r="C81" s="640" t="s">
        <v>547</v>
      </c>
      <c r="D81" s="641" t="s">
        <v>1128</v>
      </c>
      <c r="E81" s="640" t="s">
        <v>1688</v>
      </c>
      <c r="F81" s="641" t="s">
        <v>1689</v>
      </c>
      <c r="G81" s="640" t="s">
        <v>1244</v>
      </c>
      <c r="H81" s="640" t="s">
        <v>1245</v>
      </c>
      <c r="I81" s="642">
        <v>0.3</v>
      </c>
      <c r="J81" s="642">
        <v>250</v>
      </c>
      <c r="K81" s="643">
        <v>75.87</v>
      </c>
    </row>
    <row r="82" spans="1:11" ht="14.4" customHeight="1" x14ac:dyDescent="0.3">
      <c r="A82" s="638" t="s">
        <v>537</v>
      </c>
      <c r="B82" s="639" t="s">
        <v>538</v>
      </c>
      <c r="C82" s="640" t="s">
        <v>547</v>
      </c>
      <c r="D82" s="641" t="s">
        <v>1128</v>
      </c>
      <c r="E82" s="640" t="s">
        <v>1688</v>
      </c>
      <c r="F82" s="641" t="s">
        <v>1689</v>
      </c>
      <c r="G82" s="640" t="s">
        <v>1378</v>
      </c>
      <c r="H82" s="640" t="s">
        <v>1379</v>
      </c>
      <c r="I82" s="642">
        <v>13.157499999999999</v>
      </c>
      <c r="J82" s="642">
        <v>96</v>
      </c>
      <c r="K82" s="643">
        <v>1263.07</v>
      </c>
    </row>
    <row r="83" spans="1:11" ht="14.4" customHeight="1" x14ac:dyDescent="0.3">
      <c r="A83" s="638" t="s">
        <v>537</v>
      </c>
      <c r="B83" s="639" t="s">
        <v>538</v>
      </c>
      <c r="C83" s="640" t="s">
        <v>547</v>
      </c>
      <c r="D83" s="641" t="s">
        <v>1128</v>
      </c>
      <c r="E83" s="640" t="s">
        <v>1688</v>
      </c>
      <c r="F83" s="641" t="s">
        <v>1689</v>
      </c>
      <c r="G83" s="640" t="s">
        <v>1380</v>
      </c>
      <c r="H83" s="640" t="s">
        <v>1381</v>
      </c>
      <c r="I83" s="642">
        <v>26.37</v>
      </c>
      <c r="J83" s="642">
        <v>12</v>
      </c>
      <c r="K83" s="643">
        <v>316.44</v>
      </c>
    </row>
    <row r="84" spans="1:11" ht="14.4" customHeight="1" x14ac:dyDescent="0.3">
      <c r="A84" s="638" t="s">
        <v>537</v>
      </c>
      <c r="B84" s="639" t="s">
        <v>538</v>
      </c>
      <c r="C84" s="640" t="s">
        <v>547</v>
      </c>
      <c r="D84" s="641" t="s">
        <v>1128</v>
      </c>
      <c r="E84" s="640" t="s">
        <v>1688</v>
      </c>
      <c r="F84" s="641" t="s">
        <v>1689</v>
      </c>
      <c r="G84" s="640" t="s">
        <v>1382</v>
      </c>
      <c r="H84" s="640" t="s">
        <v>1383</v>
      </c>
      <c r="I84" s="642">
        <v>0.85</v>
      </c>
      <c r="J84" s="642">
        <v>50</v>
      </c>
      <c r="K84" s="643">
        <v>42.5</v>
      </c>
    </row>
    <row r="85" spans="1:11" ht="14.4" customHeight="1" x14ac:dyDescent="0.3">
      <c r="A85" s="638" t="s">
        <v>537</v>
      </c>
      <c r="B85" s="639" t="s">
        <v>538</v>
      </c>
      <c r="C85" s="640" t="s">
        <v>547</v>
      </c>
      <c r="D85" s="641" t="s">
        <v>1128</v>
      </c>
      <c r="E85" s="640" t="s">
        <v>1688</v>
      </c>
      <c r="F85" s="641" t="s">
        <v>1689</v>
      </c>
      <c r="G85" s="640" t="s">
        <v>1246</v>
      </c>
      <c r="H85" s="640" t="s">
        <v>1247</v>
      </c>
      <c r="I85" s="642">
        <v>0.31</v>
      </c>
      <c r="J85" s="642">
        <v>24000</v>
      </c>
      <c r="K85" s="643">
        <v>7455.119999999999</v>
      </c>
    </row>
    <row r="86" spans="1:11" ht="14.4" customHeight="1" x14ac:dyDescent="0.3">
      <c r="A86" s="638" t="s">
        <v>537</v>
      </c>
      <c r="B86" s="639" t="s">
        <v>538</v>
      </c>
      <c r="C86" s="640" t="s">
        <v>547</v>
      </c>
      <c r="D86" s="641" t="s">
        <v>1128</v>
      </c>
      <c r="E86" s="640" t="s">
        <v>1688</v>
      </c>
      <c r="F86" s="641" t="s">
        <v>1689</v>
      </c>
      <c r="G86" s="640" t="s">
        <v>1384</v>
      </c>
      <c r="H86" s="640" t="s">
        <v>1385</v>
      </c>
      <c r="I86" s="642">
        <v>5.4</v>
      </c>
      <c r="J86" s="642">
        <v>200</v>
      </c>
      <c r="K86" s="643">
        <v>1080.42</v>
      </c>
    </row>
    <row r="87" spans="1:11" ht="14.4" customHeight="1" x14ac:dyDescent="0.3">
      <c r="A87" s="638" t="s">
        <v>537</v>
      </c>
      <c r="B87" s="639" t="s">
        <v>538</v>
      </c>
      <c r="C87" s="640" t="s">
        <v>547</v>
      </c>
      <c r="D87" s="641" t="s">
        <v>1128</v>
      </c>
      <c r="E87" s="640" t="s">
        <v>1688</v>
      </c>
      <c r="F87" s="641" t="s">
        <v>1689</v>
      </c>
      <c r="G87" s="640" t="s">
        <v>1386</v>
      </c>
      <c r="H87" s="640" t="s">
        <v>1387</v>
      </c>
      <c r="I87" s="642">
        <v>114.80500000000001</v>
      </c>
      <c r="J87" s="642">
        <v>2</v>
      </c>
      <c r="K87" s="643">
        <v>229.61</v>
      </c>
    </row>
    <row r="88" spans="1:11" ht="14.4" customHeight="1" x14ac:dyDescent="0.3">
      <c r="A88" s="638" t="s">
        <v>537</v>
      </c>
      <c r="B88" s="639" t="s">
        <v>538</v>
      </c>
      <c r="C88" s="640" t="s">
        <v>547</v>
      </c>
      <c r="D88" s="641" t="s">
        <v>1128</v>
      </c>
      <c r="E88" s="640" t="s">
        <v>1688</v>
      </c>
      <c r="F88" s="641" t="s">
        <v>1689</v>
      </c>
      <c r="G88" s="640" t="s">
        <v>1388</v>
      </c>
      <c r="H88" s="640" t="s">
        <v>1389</v>
      </c>
      <c r="I88" s="642">
        <v>5.17</v>
      </c>
      <c r="J88" s="642">
        <v>500</v>
      </c>
      <c r="K88" s="643">
        <v>2587</v>
      </c>
    </row>
    <row r="89" spans="1:11" ht="14.4" customHeight="1" x14ac:dyDescent="0.3">
      <c r="A89" s="638" t="s">
        <v>537</v>
      </c>
      <c r="B89" s="639" t="s">
        <v>538</v>
      </c>
      <c r="C89" s="640" t="s">
        <v>547</v>
      </c>
      <c r="D89" s="641" t="s">
        <v>1128</v>
      </c>
      <c r="E89" s="640" t="s">
        <v>1690</v>
      </c>
      <c r="F89" s="641" t="s">
        <v>1691</v>
      </c>
      <c r="G89" s="640" t="s">
        <v>1248</v>
      </c>
      <c r="H89" s="640" t="s">
        <v>1249</v>
      </c>
      <c r="I89" s="642">
        <v>16.399999999999999</v>
      </c>
      <c r="J89" s="642">
        <v>1600</v>
      </c>
      <c r="K89" s="643">
        <v>26237.3</v>
      </c>
    </row>
    <row r="90" spans="1:11" ht="14.4" customHeight="1" x14ac:dyDescent="0.3">
      <c r="A90" s="638" t="s">
        <v>537</v>
      </c>
      <c r="B90" s="639" t="s">
        <v>538</v>
      </c>
      <c r="C90" s="640" t="s">
        <v>547</v>
      </c>
      <c r="D90" s="641" t="s">
        <v>1128</v>
      </c>
      <c r="E90" s="640" t="s">
        <v>1690</v>
      </c>
      <c r="F90" s="641" t="s">
        <v>1691</v>
      </c>
      <c r="G90" s="640" t="s">
        <v>1390</v>
      </c>
      <c r="H90" s="640" t="s">
        <v>1391</v>
      </c>
      <c r="I90" s="642">
        <v>1.42</v>
      </c>
      <c r="J90" s="642">
        <v>1000</v>
      </c>
      <c r="K90" s="643">
        <v>1423.6000000000001</v>
      </c>
    </row>
    <row r="91" spans="1:11" ht="14.4" customHeight="1" x14ac:dyDescent="0.3">
      <c r="A91" s="638" t="s">
        <v>537</v>
      </c>
      <c r="B91" s="639" t="s">
        <v>538</v>
      </c>
      <c r="C91" s="640" t="s">
        <v>547</v>
      </c>
      <c r="D91" s="641" t="s">
        <v>1128</v>
      </c>
      <c r="E91" s="640" t="s">
        <v>1690</v>
      </c>
      <c r="F91" s="641" t="s">
        <v>1691</v>
      </c>
      <c r="G91" s="640" t="s">
        <v>1250</v>
      </c>
      <c r="H91" s="640" t="s">
        <v>1251</v>
      </c>
      <c r="I91" s="642">
        <v>15.923333333333332</v>
      </c>
      <c r="J91" s="642">
        <v>300</v>
      </c>
      <c r="K91" s="643">
        <v>4777</v>
      </c>
    </row>
    <row r="92" spans="1:11" ht="14.4" customHeight="1" x14ac:dyDescent="0.3">
      <c r="A92" s="638" t="s">
        <v>537</v>
      </c>
      <c r="B92" s="639" t="s">
        <v>538</v>
      </c>
      <c r="C92" s="640" t="s">
        <v>547</v>
      </c>
      <c r="D92" s="641" t="s">
        <v>1128</v>
      </c>
      <c r="E92" s="640" t="s">
        <v>1690</v>
      </c>
      <c r="F92" s="641" t="s">
        <v>1691</v>
      </c>
      <c r="G92" s="640" t="s">
        <v>1252</v>
      </c>
      <c r="H92" s="640" t="s">
        <v>1253</v>
      </c>
      <c r="I92" s="642">
        <v>2.5283333333333329</v>
      </c>
      <c r="J92" s="642">
        <v>350</v>
      </c>
      <c r="K92" s="643">
        <v>885</v>
      </c>
    </row>
    <row r="93" spans="1:11" ht="14.4" customHeight="1" x14ac:dyDescent="0.3">
      <c r="A93" s="638" t="s">
        <v>537</v>
      </c>
      <c r="B93" s="639" t="s">
        <v>538</v>
      </c>
      <c r="C93" s="640" t="s">
        <v>547</v>
      </c>
      <c r="D93" s="641" t="s">
        <v>1128</v>
      </c>
      <c r="E93" s="640" t="s">
        <v>1690</v>
      </c>
      <c r="F93" s="641" t="s">
        <v>1691</v>
      </c>
      <c r="G93" s="640" t="s">
        <v>1254</v>
      </c>
      <c r="H93" s="640" t="s">
        <v>1255</v>
      </c>
      <c r="I93" s="642">
        <v>30.25</v>
      </c>
      <c r="J93" s="642">
        <v>100</v>
      </c>
      <c r="K93" s="643">
        <v>3025</v>
      </c>
    </row>
    <row r="94" spans="1:11" ht="14.4" customHeight="1" x14ac:dyDescent="0.3">
      <c r="A94" s="638" t="s">
        <v>537</v>
      </c>
      <c r="B94" s="639" t="s">
        <v>538</v>
      </c>
      <c r="C94" s="640" t="s">
        <v>547</v>
      </c>
      <c r="D94" s="641" t="s">
        <v>1128</v>
      </c>
      <c r="E94" s="640" t="s">
        <v>1690</v>
      </c>
      <c r="F94" s="641" t="s">
        <v>1691</v>
      </c>
      <c r="G94" s="640" t="s">
        <v>1256</v>
      </c>
      <c r="H94" s="640" t="s">
        <v>1257</v>
      </c>
      <c r="I94" s="642">
        <v>2.754</v>
      </c>
      <c r="J94" s="642">
        <v>600</v>
      </c>
      <c r="K94" s="643">
        <v>1652</v>
      </c>
    </row>
    <row r="95" spans="1:11" ht="14.4" customHeight="1" x14ac:dyDescent="0.3">
      <c r="A95" s="638" t="s">
        <v>537</v>
      </c>
      <c r="B95" s="639" t="s">
        <v>538</v>
      </c>
      <c r="C95" s="640" t="s">
        <v>547</v>
      </c>
      <c r="D95" s="641" t="s">
        <v>1128</v>
      </c>
      <c r="E95" s="640" t="s">
        <v>1690</v>
      </c>
      <c r="F95" s="641" t="s">
        <v>1691</v>
      </c>
      <c r="G95" s="640" t="s">
        <v>1392</v>
      </c>
      <c r="H95" s="640" t="s">
        <v>1393</v>
      </c>
      <c r="I95" s="642">
        <v>7.43</v>
      </c>
      <c r="J95" s="642">
        <v>100</v>
      </c>
      <c r="K95" s="643">
        <v>743</v>
      </c>
    </row>
    <row r="96" spans="1:11" ht="14.4" customHeight="1" x14ac:dyDescent="0.3">
      <c r="A96" s="638" t="s">
        <v>537</v>
      </c>
      <c r="B96" s="639" t="s">
        <v>538</v>
      </c>
      <c r="C96" s="640" t="s">
        <v>547</v>
      </c>
      <c r="D96" s="641" t="s">
        <v>1128</v>
      </c>
      <c r="E96" s="640" t="s">
        <v>1690</v>
      </c>
      <c r="F96" s="641" t="s">
        <v>1691</v>
      </c>
      <c r="G96" s="640" t="s">
        <v>1258</v>
      </c>
      <c r="H96" s="640" t="s">
        <v>1259</v>
      </c>
      <c r="I96" s="642">
        <v>4.18</v>
      </c>
      <c r="J96" s="642">
        <v>200</v>
      </c>
      <c r="K96" s="643">
        <v>836</v>
      </c>
    </row>
    <row r="97" spans="1:11" ht="14.4" customHeight="1" x14ac:dyDescent="0.3">
      <c r="A97" s="638" t="s">
        <v>537</v>
      </c>
      <c r="B97" s="639" t="s">
        <v>538</v>
      </c>
      <c r="C97" s="640" t="s">
        <v>547</v>
      </c>
      <c r="D97" s="641" t="s">
        <v>1128</v>
      </c>
      <c r="E97" s="640" t="s">
        <v>1690</v>
      </c>
      <c r="F97" s="641" t="s">
        <v>1691</v>
      </c>
      <c r="G97" s="640" t="s">
        <v>1260</v>
      </c>
      <c r="H97" s="640" t="s">
        <v>1261</v>
      </c>
      <c r="I97" s="642">
        <v>1.0900000000000001</v>
      </c>
      <c r="J97" s="642">
        <v>100</v>
      </c>
      <c r="K97" s="643">
        <v>109</v>
      </c>
    </row>
    <row r="98" spans="1:11" ht="14.4" customHeight="1" x14ac:dyDescent="0.3">
      <c r="A98" s="638" t="s">
        <v>537</v>
      </c>
      <c r="B98" s="639" t="s">
        <v>538</v>
      </c>
      <c r="C98" s="640" t="s">
        <v>547</v>
      </c>
      <c r="D98" s="641" t="s">
        <v>1128</v>
      </c>
      <c r="E98" s="640" t="s">
        <v>1690</v>
      </c>
      <c r="F98" s="641" t="s">
        <v>1691</v>
      </c>
      <c r="G98" s="640" t="s">
        <v>1262</v>
      </c>
      <c r="H98" s="640" t="s">
        <v>1263</v>
      </c>
      <c r="I98" s="642">
        <v>1.6771428571428573</v>
      </c>
      <c r="J98" s="642">
        <v>11200</v>
      </c>
      <c r="K98" s="643">
        <v>18768</v>
      </c>
    </row>
    <row r="99" spans="1:11" ht="14.4" customHeight="1" x14ac:dyDescent="0.3">
      <c r="A99" s="638" t="s">
        <v>537</v>
      </c>
      <c r="B99" s="639" t="s">
        <v>538</v>
      </c>
      <c r="C99" s="640" t="s">
        <v>547</v>
      </c>
      <c r="D99" s="641" t="s">
        <v>1128</v>
      </c>
      <c r="E99" s="640" t="s">
        <v>1690</v>
      </c>
      <c r="F99" s="641" t="s">
        <v>1691</v>
      </c>
      <c r="G99" s="640" t="s">
        <v>1264</v>
      </c>
      <c r="H99" s="640" t="s">
        <v>1265</v>
      </c>
      <c r="I99" s="642">
        <v>0.47571428571428565</v>
      </c>
      <c r="J99" s="642">
        <v>3400</v>
      </c>
      <c r="K99" s="643">
        <v>1616</v>
      </c>
    </row>
    <row r="100" spans="1:11" ht="14.4" customHeight="1" x14ac:dyDescent="0.3">
      <c r="A100" s="638" t="s">
        <v>537</v>
      </c>
      <c r="B100" s="639" t="s">
        <v>538</v>
      </c>
      <c r="C100" s="640" t="s">
        <v>547</v>
      </c>
      <c r="D100" s="641" t="s">
        <v>1128</v>
      </c>
      <c r="E100" s="640" t="s">
        <v>1690</v>
      </c>
      <c r="F100" s="641" t="s">
        <v>1691</v>
      </c>
      <c r="G100" s="640" t="s">
        <v>1266</v>
      </c>
      <c r="H100" s="640" t="s">
        <v>1267</v>
      </c>
      <c r="I100" s="642">
        <v>0.67</v>
      </c>
      <c r="J100" s="642">
        <v>600</v>
      </c>
      <c r="K100" s="643">
        <v>402</v>
      </c>
    </row>
    <row r="101" spans="1:11" ht="14.4" customHeight="1" x14ac:dyDescent="0.3">
      <c r="A101" s="638" t="s">
        <v>537</v>
      </c>
      <c r="B101" s="639" t="s">
        <v>538</v>
      </c>
      <c r="C101" s="640" t="s">
        <v>547</v>
      </c>
      <c r="D101" s="641" t="s">
        <v>1128</v>
      </c>
      <c r="E101" s="640" t="s">
        <v>1690</v>
      </c>
      <c r="F101" s="641" t="s">
        <v>1691</v>
      </c>
      <c r="G101" s="640" t="s">
        <v>1268</v>
      </c>
      <c r="H101" s="640" t="s">
        <v>1269</v>
      </c>
      <c r="I101" s="642">
        <v>3.7316666666666669</v>
      </c>
      <c r="J101" s="642">
        <v>350</v>
      </c>
      <c r="K101" s="643">
        <v>1305.92</v>
      </c>
    </row>
    <row r="102" spans="1:11" ht="14.4" customHeight="1" x14ac:dyDescent="0.3">
      <c r="A102" s="638" t="s">
        <v>537</v>
      </c>
      <c r="B102" s="639" t="s">
        <v>538</v>
      </c>
      <c r="C102" s="640" t="s">
        <v>547</v>
      </c>
      <c r="D102" s="641" t="s">
        <v>1128</v>
      </c>
      <c r="E102" s="640" t="s">
        <v>1690</v>
      </c>
      <c r="F102" s="641" t="s">
        <v>1691</v>
      </c>
      <c r="G102" s="640" t="s">
        <v>1272</v>
      </c>
      <c r="H102" s="640" t="s">
        <v>1273</v>
      </c>
      <c r="I102" s="642">
        <v>32.67</v>
      </c>
      <c r="J102" s="642">
        <v>100</v>
      </c>
      <c r="K102" s="643">
        <v>3267</v>
      </c>
    </row>
    <row r="103" spans="1:11" ht="14.4" customHeight="1" x14ac:dyDescent="0.3">
      <c r="A103" s="638" t="s">
        <v>537</v>
      </c>
      <c r="B103" s="639" t="s">
        <v>538</v>
      </c>
      <c r="C103" s="640" t="s">
        <v>547</v>
      </c>
      <c r="D103" s="641" t="s">
        <v>1128</v>
      </c>
      <c r="E103" s="640" t="s">
        <v>1690</v>
      </c>
      <c r="F103" s="641" t="s">
        <v>1691</v>
      </c>
      <c r="G103" s="640" t="s">
        <v>1274</v>
      </c>
      <c r="H103" s="640" t="s">
        <v>1275</v>
      </c>
      <c r="I103" s="642">
        <v>25.99</v>
      </c>
      <c r="J103" s="642">
        <v>160</v>
      </c>
      <c r="K103" s="643">
        <v>4158.3999999999996</v>
      </c>
    </row>
    <row r="104" spans="1:11" ht="14.4" customHeight="1" x14ac:dyDescent="0.3">
      <c r="A104" s="638" t="s">
        <v>537</v>
      </c>
      <c r="B104" s="639" t="s">
        <v>538</v>
      </c>
      <c r="C104" s="640" t="s">
        <v>547</v>
      </c>
      <c r="D104" s="641" t="s">
        <v>1128</v>
      </c>
      <c r="E104" s="640" t="s">
        <v>1690</v>
      </c>
      <c r="F104" s="641" t="s">
        <v>1691</v>
      </c>
      <c r="G104" s="640" t="s">
        <v>1394</v>
      </c>
      <c r="H104" s="640" t="s">
        <v>1395</v>
      </c>
      <c r="I104" s="642">
        <v>14.3</v>
      </c>
      <c r="J104" s="642">
        <v>20</v>
      </c>
      <c r="K104" s="643">
        <v>286.04000000000002</v>
      </c>
    </row>
    <row r="105" spans="1:11" ht="14.4" customHeight="1" x14ac:dyDescent="0.3">
      <c r="A105" s="638" t="s">
        <v>537</v>
      </c>
      <c r="B105" s="639" t="s">
        <v>538</v>
      </c>
      <c r="C105" s="640" t="s">
        <v>547</v>
      </c>
      <c r="D105" s="641" t="s">
        <v>1128</v>
      </c>
      <c r="E105" s="640" t="s">
        <v>1690</v>
      </c>
      <c r="F105" s="641" t="s">
        <v>1691</v>
      </c>
      <c r="G105" s="640" t="s">
        <v>1276</v>
      </c>
      <c r="H105" s="640" t="s">
        <v>1277</v>
      </c>
      <c r="I105" s="642">
        <v>9.15</v>
      </c>
      <c r="J105" s="642">
        <v>300</v>
      </c>
      <c r="K105" s="643">
        <v>2744.3</v>
      </c>
    </row>
    <row r="106" spans="1:11" ht="14.4" customHeight="1" x14ac:dyDescent="0.3">
      <c r="A106" s="638" t="s">
        <v>537</v>
      </c>
      <c r="B106" s="639" t="s">
        <v>538</v>
      </c>
      <c r="C106" s="640" t="s">
        <v>547</v>
      </c>
      <c r="D106" s="641" t="s">
        <v>1128</v>
      </c>
      <c r="E106" s="640" t="s">
        <v>1690</v>
      </c>
      <c r="F106" s="641" t="s">
        <v>1691</v>
      </c>
      <c r="G106" s="640" t="s">
        <v>1278</v>
      </c>
      <c r="H106" s="640" t="s">
        <v>1279</v>
      </c>
      <c r="I106" s="642">
        <v>4.8</v>
      </c>
      <c r="J106" s="642">
        <v>300</v>
      </c>
      <c r="K106" s="643">
        <v>1439.93</v>
      </c>
    </row>
    <row r="107" spans="1:11" ht="14.4" customHeight="1" x14ac:dyDescent="0.3">
      <c r="A107" s="638" t="s">
        <v>537</v>
      </c>
      <c r="B107" s="639" t="s">
        <v>538</v>
      </c>
      <c r="C107" s="640" t="s">
        <v>547</v>
      </c>
      <c r="D107" s="641" t="s">
        <v>1128</v>
      </c>
      <c r="E107" s="640" t="s">
        <v>1690</v>
      </c>
      <c r="F107" s="641" t="s">
        <v>1691</v>
      </c>
      <c r="G107" s="640" t="s">
        <v>1396</v>
      </c>
      <c r="H107" s="640" t="s">
        <v>1397</v>
      </c>
      <c r="I107" s="642">
        <v>2.64</v>
      </c>
      <c r="J107" s="642">
        <v>100</v>
      </c>
      <c r="K107" s="643">
        <v>264</v>
      </c>
    </row>
    <row r="108" spans="1:11" ht="14.4" customHeight="1" x14ac:dyDescent="0.3">
      <c r="A108" s="638" t="s">
        <v>537</v>
      </c>
      <c r="B108" s="639" t="s">
        <v>538</v>
      </c>
      <c r="C108" s="640" t="s">
        <v>547</v>
      </c>
      <c r="D108" s="641" t="s">
        <v>1128</v>
      </c>
      <c r="E108" s="640" t="s">
        <v>1690</v>
      </c>
      <c r="F108" s="641" t="s">
        <v>1691</v>
      </c>
      <c r="G108" s="640" t="s">
        <v>1284</v>
      </c>
      <c r="H108" s="640" t="s">
        <v>1285</v>
      </c>
      <c r="I108" s="642">
        <v>2.85</v>
      </c>
      <c r="J108" s="642">
        <v>200</v>
      </c>
      <c r="K108" s="643">
        <v>570</v>
      </c>
    </row>
    <row r="109" spans="1:11" ht="14.4" customHeight="1" x14ac:dyDescent="0.3">
      <c r="A109" s="638" t="s">
        <v>537</v>
      </c>
      <c r="B109" s="639" t="s">
        <v>538</v>
      </c>
      <c r="C109" s="640" t="s">
        <v>547</v>
      </c>
      <c r="D109" s="641" t="s">
        <v>1128</v>
      </c>
      <c r="E109" s="640" t="s">
        <v>1690</v>
      </c>
      <c r="F109" s="641" t="s">
        <v>1691</v>
      </c>
      <c r="G109" s="640" t="s">
        <v>1286</v>
      </c>
      <c r="H109" s="640" t="s">
        <v>1287</v>
      </c>
      <c r="I109" s="642">
        <v>58.79</v>
      </c>
      <c r="J109" s="642">
        <v>48</v>
      </c>
      <c r="K109" s="643">
        <v>2821.87</v>
      </c>
    </row>
    <row r="110" spans="1:11" ht="14.4" customHeight="1" x14ac:dyDescent="0.3">
      <c r="A110" s="638" t="s">
        <v>537</v>
      </c>
      <c r="B110" s="639" t="s">
        <v>538</v>
      </c>
      <c r="C110" s="640" t="s">
        <v>547</v>
      </c>
      <c r="D110" s="641" t="s">
        <v>1128</v>
      </c>
      <c r="E110" s="640" t="s">
        <v>1690</v>
      </c>
      <c r="F110" s="641" t="s">
        <v>1691</v>
      </c>
      <c r="G110" s="640" t="s">
        <v>1288</v>
      </c>
      <c r="H110" s="640" t="s">
        <v>1289</v>
      </c>
      <c r="I110" s="642">
        <v>2.0566666666666666</v>
      </c>
      <c r="J110" s="642">
        <v>50</v>
      </c>
      <c r="K110" s="643">
        <v>102.80000000000001</v>
      </c>
    </row>
    <row r="111" spans="1:11" ht="14.4" customHeight="1" x14ac:dyDescent="0.3">
      <c r="A111" s="638" t="s">
        <v>537</v>
      </c>
      <c r="B111" s="639" t="s">
        <v>538</v>
      </c>
      <c r="C111" s="640" t="s">
        <v>547</v>
      </c>
      <c r="D111" s="641" t="s">
        <v>1128</v>
      </c>
      <c r="E111" s="640" t="s">
        <v>1690</v>
      </c>
      <c r="F111" s="641" t="s">
        <v>1691</v>
      </c>
      <c r="G111" s="640" t="s">
        <v>1294</v>
      </c>
      <c r="H111" s="640" t="s">
        <v>1295</v>
      </c>
      <c r="I111" s="642">
        <v>12.104999999999999</v>
      </c>
      <c r="J111" s="642">
        <v>210</v>
      </c>
      <c r="K111" s="643">
        <v>2542</v>
      </c>
    </row>
    <row r="112" spans="1:11" ht="14.4" customHeight="1" x14ac:dyDescent="0.3">
      <c r="A112" s="638" t="s">
        <v>537</v>
      </c>
      <c r="B112" s="639" t="s">
        <v>538</v>
      </c>
      <c r="C112" s="640" t="s">
        <v>547</v>
      </c>
      <c r="D112" s="641" t="s">
        <v>1128</v>
      </c>
      <c r="E112" s="640" t="s">
        <v>1690</v>
      </c>
      <c r="F112" s="641" t="s">
        <v>1691</v>
      </c>
      <c r="G112" s="640" t="s">
        <v>1398</v>
      </c>
      <c r="H112" s="640" t="s">
        <v>1399</v>
      </c>
      <c r="I112" s="642">
        <v>1.93</v>
      </c>
      <c r="J112" s="642">
        <v>100</v>
      </c>
      <c r="K112" s="643">
        <v>193</v>
      </c>
    </row>
    <row r="113" spans="1:11" ht="14.4" customHeight="1" x14ac:dyDescent="0.3">
      <c r="A113" s="638" t="s">
        <v>537</v>
      </c>
      <c r="B113" s="639" t="s">
        <v>538</v>
      </c>
      <c r="C113" s="640" t="s">
        <v>547</v>
      </c>
      <c r="D113" s="641" t="s">
        <v>1128</v>
      </c>
      <c r="E113" s="640" t="s">
        <v>1690</v>
      </c>
      <c r="F113" s="641" t="s">
        <v>1691</v>
      </c>
      <c r="G113" s="640" t="s">
        <v>1298</v>
      </c>
      <c r="H113" s="640" t="s">
        <v>1299</v>
      </c>
      <c r="I113" s="642">
        <v>21.23</v>
      </c>
      <c r="J113" s="642">
        <v>105</v>
      </c>
      <c r="K113" s="643">
        <v>2229.15</v>
      </c>
    </row>
    <row r="114" spans="1:11" ht="14.4" customHeight="1" x14ac:dyDescent="0.3">
      <c r="A114" s="638" t="s">
        <v>537</v>
      </c>
      <c r="B114" s="639" t="s">
        <v>538</v>
      </c>
      <c r="C114" s="640" t="s">
        <v>547</v>
      </c>
      <c r="D114" s="641" t="s">
        <v>1128</v>
      </c>
      <c r="E114" s="640" t="s">
        <v>1690</v>
      </c>
      <c r="F114" s="641" t="s">
        <v>1691</v>
      </c>
      <c r="G114" s="640" t="s">
        <v>1300</v>
      </c>
      <c r="H114" s="640" t="s">
        <v>1301</v>
      </c>
      <c r="I114" s="642">
        <v>2.88</v>
      </c>
      <c r="J114" s="642">
        <v>100</v>
      </c>
      <c r="K114" s="643">
        <v>288</v>
      </c>
    </row>
    <row r="115" spans="1:11" ht="14.4" customHeight="1" x14ac:dyDescent="0.3">
      <c r="A115" s="638" t="s">
        <v>537</v>
      </c>
      <c r="B115" s="639" t="s">
        <v>538</v>
      </c>
      <c r="C115" s="640" t="s">
        <v>547</v>
      </c>
      <c r="D115" s="641" t="s">
        <v>1128</v>
      </c>
      <c r="E115" s="640" t="s">
        <v>1690</v>
      </c>
      <c r="F115" s="641" t="s">
        <v>1691</v>
      </c>
      <c r="G115" s="640" t="s">
        <v>1400</v>
      </c>
      <c r="H115" s="640" t="s">
        <v>1401</v>
      </c>
      <c r="I115" s="642">
        <v>0.47142857142857142</v>
      </c>
      <c r="J115" s="642">
        <v>2800</v>
      </c>
      <c r="K115" s="643">
        <v>1319</v>
      </c>
    </row>
    <row r="116" spans="1:11" ht="14.4" customHeight="1" x14ac:dyDescent="0.3">
      <c r="A116" s="638" t="s">
        <v>537</v>
      </c>
      <c r="B116" s="639" t="s">
        <v>538</v>
      </c>
      <c r="C116" s="640" t="s">
        <v>547</v>
      </c>
      <c r="D116" s="641" t="s">
        <v>1128</v>
      </c>
      <c r="E116" s="640" t="s">
        <v>1690</v>
      </c>
      <c r="F116" s="641" t="s">
        <v>1691</v>
      </c>
      <c r="G116" s="640" t="s">
        <v>1402</v>
      </c>
      <c r="H116" s="640" t="s">
        <v>1403</v>
      </c>
      <c r="I116" s="642">
        <v>12.1</v>
      </c>
      <c r="J116" s="642">
        <v>30</v>
      </c>
      <c r="K116" s="643">
        <v>363</v>
      </c>
    </row>
    <row r="117" spans="1:11" ht="14.4" customHeight="1" x14ac:dyDescent="0.3">
      <c r="A117" s="638" t="s">
        <v>537</v>
      </c>
      <c r="B117" s="639" t="s">
        <v>538</v>
      </c>
      <c r="C117" s="640" t="s">
        <v>547</v>
      </c>
      <c r="D117" s="641" t="s">
        <v>1128</v>
      </c>
      <c r="E117" s="640" t="s">
        <v>1690</v>
      </c>
      <c r="F117" s="641" t="s">
        <v>1691</v>
      </c>
      <c r="G117" s="640" t="s">
        <v>1404</v>
      </c>
      <c r="H117" s="640" t="s">
        <v>1405</v>
      </c>
      <c r="I117" s="642">
        <v>10.83</v>
      </c>
      <c r="J117" s="642">
        <v>24</v>
      </c>
      <c r="K117" s="643">
        <v>259.91000000000003</v>
      </c>
    </row>
    <row r="118" spans="1:11" ht="14.4" customHeight="1" x14ac:dyDescent="0.3">
      <c r="A118" s="638" t="s">
        <v>537</v>
      </c>
      <c r="B118" s="639" t="s">
        <v>538</v>
      </c>
      <c r="C118" s="640" t="s">
        <v>547</v>
      </c>
      <c r="D118" s="641" t="s">
        <v>1128</v>
      </c>
      <c r="E118" s="640" t="s">
        <v>1690</v>
      </c>
      <c r="F118" s="641" t="s">
        <v>1691</v>
      </c>
      <c r="G118" s="640" t="s">
        <v>1406</v>
      </c>
      <c r="H118" s="640" t="s">
        <v>1407</v>
      </c>
      <c r="I118" s="642">
        <v>106.48</v>
      </c>
      <c r="J118" s="642">
        <v>15</v>
      </c>
      <c r="K118" s="643">
        <v>1597.1999999999998</v>
      </c>
    </row>
    <row r="119" spans="1:11" ht="14.4" customHeight="1" x14ac:dyDescent="0.3">
      <c r="A119" s="638" t="s">
        <v>537</v>
      </c>
      <c r="B119" s="639" t="s">
        <v>538</v>
      </c>
      <c r="C119" s="640" t="s">
        <v>547</v>
      </c>
      <c r="D119" s="641" t="s">
        <v>1128</v>
      </c>
      <c r="E119" s="640" t="s">
        <v>1690</v>
      </c>
      <c r="F119" s="641" t="s">
        <v>1691</v>
      </c>
      <c r="G119" s="640" t="s">
        <v>1308</v>
      </c>
      <c r="H119" s="640" t="s">
        <v>1309</v>
      </c>
      <c r="I119" s="642">
        <v>487.2399999999999</v>
      </c>
      <c r="J119" s="642">
        <v>180</v>
      </c>
      <c r="K119" s="643">
        <v>87702.720000000016</v>
      </c>
    </row>
    <row r="120" spans="1:11" ht="14.4" customHeight="1" x14ac:dyDescent="0.3">
      <c r="A120" s="638" t="s">
        <v>537</v>
      </c>
      <c r="B120" s="639" t="s">
        <v>538</v>
      </c>
      <c r="C120" s="640" t="s">
        <v>547</v>
      </c>
      <c r="D120" s="641" t="s">
        <v>1128</v>
      </c>
      <c r="E120" s="640" t="s">
        <v>1690</v>
      </c>
      <c r="F120" s="641" t="s">
        <v>1691</v>
      </c>
      <c r="G120" s="640" t="s">
        <v>1408</v>
      </c>
      <c r="H120" s="640" t="s">
        <v>1409</v>
      </c>
      <c r="I120" s="642">
        <v>5</v>
      </c>
      <c r="J120" s="642">
        <v>200</v>
      </c>
      <c r="K120" s="643">
        <v>1000.17</v>
      </c>
    </row>
    <row r="121" spans="1:11" ht="14.4" customHeight="1" x14ac:dyDescent="0.3">
      <c r="A121" s="638" t="s">
        <v>537</v>
      </c>
      <c r="B121" s="639" t="s">
        <v>538</v>
      </c>
      <c r="C121" s="640" t="s">
        <v>547</v>
      </c>
      <c r="D121" s="641" t="s">
        <v>1128</v>
      </c>
      <c r="E121" s="640" t="s">
        <v>1690</v>
      </c>
      <c r="F121" s="641" t="s">
        <v>1691</v>
      </c>
      <c r="G121" s="640" t="s">
        <v>1310</v>
      </c>
      <c r="H121" s="640" t="s">
        <v>1311</v>
      </c>
      <c r="I121" s="642">
        <v>113</v>
      </c>
      <c r="J121" s="642">
        <v>10</v>
      </c>
      <c r="K121" s="643">
        <v>1130</v>
      </c>
    </row>
    <row r="122" spans="1:11" ht="14.4" customHeight="1" x14ac:dyDescent="0.3">
      <c r="A122" s="638" t="s">
        <v>537</v>
      </c>
      <c r="B122" s="639" t="s">
        <v>538</v>
      </c>
      <c r="C122" s="640" t="s">
        <v>547</v>
      </c>
      <c r="D122" s="641" t="s">
        <v>1128</v>
      </c>
      <c r="E122" s="640" t="s">
        <v>1690</v>
      </c>
      <c r="F122" s="641" t="s">
        <v>1691</v>
      </c>
      <c r="G122" s="640" t="s">
        <v>1314</v>
      </c>
      <c r="H122" s="640" t="s">
        <v>1315</v>
      </c>
      <c r="I122" s="642">
        <v>350.9</v>
      </c>
      <c r="J122" s="642">
        <v>2</v>
      </c>
      <c r="K122" s="643">
        <v>701.8</v>
      </c>
    </row>
    <row r="123" spans="1:11" ht="14.4" customHeight="1" x14ac:dyDescent="0.3">
      <c r="A123" s="638" t="s">
        <v>537</v>
      </c>
      <c r="B123" s="639" t="s">
        <v>538</v>
      </c>
      <c r="C123" s="640" t="s">
        <v>547</v>
      </c>
      <c r="D123" s="641" t="s">
        <v>1128</v>
      </c>
      <c r="E123" s="640" t="s">
        <v>1690</v>
      </c>
      <c r="F123" s="641" t="s">
        <v>1691</v>
      </c>
      <c r="G123" s="640" t="s">
        <v>1410</v>
      </c>
      <c r="H123" s="640" t="s">
        <v>1411</v>
      </c>
      <c r="I123" s="642">
        <v>6.4099999999999984</v>
      </c>
      <c r="J123" s="642">
        <v>21294</v>
      </c>
      <c r="K123" s="643">
        <v>136558.42000000001</v>
      </c>
    </row>
    <row r="124" spans="1:11" ht="14.4" customHeight="1" x14ac:dyDescent="0.3">
      <c r="A124" s="638" t="s">
        <v>537</v>
      </c>
      <c r="B124" s="639" t="s">
        <v>538</v>
      </c>
      <c r="C124" s="640" t="s">
        <v>547</v>
      </c>
      <c r="D124" s="641" t="s">
        <v>1128</v>
      </c>
      <c r="E124" s="640" t="s">
        <v>1690</v>
      </c>
      <c r="F124" s="641" t="s">
        <v>1691</v>
      </c>
      <c r="G124" s="640" t="s">
        <v>1412</v>
      </c>
      <c r="H124" s="640" t="s">
        <v>1413</v>
      </c>
      <c r="I124" s="642">
        <v>10.16</v>
      </c>
      <c r="J124" s="642">
        <v>360</v>
      </c>
      <c r="K124" s="643">
        <v>3659.04</v>
      </c>
    </row>
    <row r="125" spans="1:11" ht="14.4" customHeight="1" x14ac:dyDescent="0.3">
      <c r="A125" s="638" t="s">
        <v>537</v>
      </c>
      <c r="B125" s="639" t="s">
        <v>538</v>
      </c>
      <c r="C125" s="640" t="s">
        <v>547</v>
      </c>
      <c r="D125" s="641" t="s">
        <v>1128</v>
      </c>
      <c r="E125" s="640" t="s">
        <v>1690</v>
      </c>
      <c r="F125" s="641" t="s">
        <v>1691</v>
      </c>
      <c r="G125" s="640" t="s">
        <v>1414</v>
      </c>
      <c r="H125" s="640" t="s">
        <v>1415</v>
      </c>
      <c r="I125" s="642">
        <v>9.3800000000000008</v>
      </c>
      <c r="J125" s="642">
        <v>3240</v>
      </c>
      <c r="K125" s="643">
        <v>30383.100000000002</v>
      </c>
    </row>
    <row r="126" spans="1:11" ht="14.4" customHeight="1" x14ac:dyDescent="0.3">
      <c r="A126" s="638" t="s">
        <v>537</v>
      </c>
      <c r="B126" s="639" t="s">
        <v>538</v>
      </c>
      <c r="C126" s="640" t="s">
        <v>547</v>
      </c>
      <c r="D126" s="641" t="s">
        <v>1128</v>
      </c>
      <c r="E126" s="640" t="s">
        <v>1690</v>
      </c>
      <c r="F126" s="641" t="s">
        <v>1691</v>
      </c>
      <c r="G126" s="640" t="s">
        <v>1416</v>
      </c>
      <c r="H126" s="640" t="s">
        <v>1417</v>
      </c>
      <c r="I126" s="642">
        <v>7.865555555555555</v>
      </c>
      <c r="J126" s="642">
        <v>13704</v>
      </c>
      <c r="K126" s="643">
        <v>107790.6</v>
      </c>
    </row>
    <row r="127" spans="1:11" ht="14.4" customHeight="1" x14ac:dyDescent="0.3">
      <c r="A127" s="638" t="s">
        <v>537</v>
      </c>
      <c r="B127" s="639" t="s">
        <v>538</v>
      </c>
      <c r="C127" s="640" t="s">
        <v>547</v>
      </c>
      <c r="D127" s="641" t="s">
        <v>1128</v>
      </c>
      <c r="E127" s="640" t="s">
        <v>1690</v>
      </c>
      <c r="F127" s="641" t="s">
        <v>1691</v>
      </c>
      <c r="G127" s="640" t="s">
        <v>1418</v>
      </c>
      <c r="H127" s="640" t="s">
        <v>1419</v>
      </c>
      <c r="I127" s="642">
        <v>10.159999999999998</v>
      </c>
      <c r="J127" s="642">
        <v>6480</v>
      </c>
      <c r="K127" s="643">
        <v>65861.279999999999</v>
      </c>
    </row>
    <row r="128" spans="1:11" ht="14.4" customHeight="1" x14ac:dyDescent="0.3">
      <c r="A128" s="638" t="s">
        <v>537</v>
      </c>
      <c r="B128" s="639" t="s">
        <v>538</v>
      </c>
      <c r="C128" s="640" t="s">
        <v>547</v>
      </c>
      <c r="D128" s="641" t="s">
        <v>1128</v>
      </c>
      <c r="E128" s="640" t="s">
        <v>1690</v>
      </c>
      <c r="F128" s="641" t="s">
        <v>1691</v>
      </c>
      <c r="G128" s="640" t="s">
        <v>1420</v>
      </c>
      <c r="H128" s="640" t="s">
        <v>1421</v>
      </c>
      <c r="I128" s="642">
        <v>8.83</v>
      </c>
      <c r="J128" s="642">
        <v>1800</v>
      </c>
      <c r="K128" s="643">
        <v>15899.4</v>
      </c>
    </row>
    <row r="129" spans="1:11" ht="14.4" customHeight="1" x14ac:dyDescent="0.3">
      <c r="A129" s="638" t="s">
        <v>537</v>
      </c>
      <c r="B129" s="639" t="s">
        <v>538</v>
      </c>
      <c r="C129" s="640" t="s">
        <v>547</v>
      </c>
      <c r="D129" s="641" t="s">
        <v>1128</v>
      </c>
      <c r="E129" s="640" t="s">
        <v>1690</v>
      </c>
      <c r="F129" s="641" t="s">
        <v>1691</v>
      </c>
      <c r="G129" s="640" t="s">
        <v>1334</v>
      </c>
      <c r="H129" s="640" t="s">
        <v>1335</v>
      </c>
      <c r="I129" s="642">
        <v>1.87</v>
      </c>
      <c r="J129" s="642">
        <v>200</v>
      </c>
      <c r="K129" s="643">
        <v>374.9</v>
      </c>
    </row>
    <row r="130" spans="1:11" ht="14.4" customHeight="1" x14ac:dyDescent="0.3">
      <c r="A130" s="638" t="s">
        <v>537</v>
      </c>
      <c r="B130" s="639" t="s">
        <v>538</v>
      </c>
      <c r="C130" s="640" t="s">
        <v>547</v>
      </c>
      <c r="D130" s="641" t="s">
        <v>1128</v>
      </c>
      <c r="E130" s="640" t="s">
        <v>1690</v>
      </c>
      <c r="F130" s="641" t="s">
        <v>1691</v>
      </c>
      <c r="G130" s="640" t="s">
        <v>1336</v>
      </c>
      <c r="H130" s="640" t="s">
        <v>1337</v>
      </c>
      <c r="I130" s="642">
        <v>2.02</v>
      </c>
      <c r="J130" s="642">
        <v>400</v>
      </c>
      <c r="K130" s="643">
        <v>813.58</v>
      </c>
    </row>
    <row r="131" spans="1:11" ht="14.4" customHeight="1" x14ac:dyDescent="0.3">
      <c r="A131" s="638" t="s">
        <v>537</v>
      </c>
      <c r="B131" s="639" t="s">
        <v>538</v>
      </c>
      <c r="C131" s="640" t="s">
        <v>547</v>
      </c>
      <c r="D131" s="641" t="s">
        <v>1128</v>
      </c>
      <c r="E131" s="640" t="s">
        <v>1690</v>
      </c>
      <c r="F131" s="641" t="s">
        <v>1691</v>
      </c>
      <c r="G131" s="640" t="s">
        <v>1422</v>
      </c>
      <c r="H131" s="640" t="s">
        <v>1423</v>
      </c>
      <c r="I131" s="642">
        <v>178.84</v>
      </c>
      <c r="J131" s="642">
        <v>25</v>
      </c>
      <c r="K131" s="643">
        <v>4471.1000000000004</v>
      </c>
    </row>
    <row r="132" spans="1:11" ht="14.4" customHeight="1" x14ac:dyDescent="0.3">
      <c r="A132" s="638" t="s">
        <v>537</v>
      </c>
      <c r="B132" s="639" t="s">
        <v>538</v>
      </c>
      <c r="C132" s="640" t="s">
        <v>547</v>
      </c>
      <c r="D132" s="641" t="s">
        <v>1128</v>
      </c>
      <c r="E132" s="640" t="s">
        <v>1690</v>
      </c>
      <c r="F132" s="641" t="s">
        <v>1691</v>
      </c>
      <c r="G132" s="640" t="s">
        <v>1424</v>
      </c>
      <c r="H132" s="640" t="s">
        <v>1425</v>
      </c>
      <c r="I132" s="642">
        <v>265.95999999999998</v>
      </c>
      <c r="J132" s="642">
        <v>24</v>
      </c>
      <c r="K132" s="643">
        <v>6382.99</v>
      </c>
    </row>
    <row r="133" spans="1:11" ht="14.4" customHeight="1" x14ac:dyDescent="0.3">
      <c r="A133" s="638" t="s">
        <v>537</v>
      </c>
      <c r="B133" s="639" t="s">
        <v>538</v>
      </c>
      <c r="C133" s="640" t="s">
        <v>547</v>
      </c>
      <c r="D133" s="641" t="s">
        <v>1128</v>
      </c>
      <c r="E133" s="640" t="s">
        <v>1690</v>
      </c>
      <c r="F133" s="641" t="s">
        <v>1691</v>
      </c>
      <c r="G133" s="640" t="s">
        <v>1426</v>
      </c>
      <c r="H133" s="640" t="s">
        <v>1427</v>
      </c>
      <c r="I133" s="642">
        <v>20.7</v>
      </c>
      <c r="J133" s="642">
        <v>100</v>
      </c>
      <c r="K133" s="643">
        <v>2070</v>
      </c>
    </row>
    <row r="134" spans="1:11" ht="14.4" customHeight="1" x14ac:dyDescent="0.3">
      <c r="A134" s="638" t="s">
        <v>537</v>
      </c>
      <c r="B134" s="639" t="s">
        <v>538</v>
      </c>
      <c r="C134" s="640" t="s">
        <v>547</v>
      </c>
      <c r="D134" s="641" t="s">
        <v>1128</v>
      </c>
      <c r="E134" s="640" t="s">
        <v>1690</v>
      </c>
      <c r="F134" s="641" t="s">
        <v>1691</v>
      </c>
      <c r="G134" s="640" t="s">
        <v>1428</v>
      </c>
      <c r="H134" s="640" t="s">
        <v>1429</v>
      </c>
      <c r="I134" s="642">
        <v>20.7</v>
      </c>
      <c r="J134" s="642">
        <v>400</v>
      </c>
      <c r="K134" s="643">
        <v>8280</v>
      </c>
    </row>
    <row r="135" spans="1:11" ht="14.4" customHeight="1" x14ac:dyDescent="0.3">
      <c r="A135" s="638" t="s">
        <v>537</v>
      </c>
      <c r="B135" s="639" t="s">
        <v>538</v>
      </c>
      <c r="C135" s="640" t="s">
        <v>547</v>
      </c>
      <c r="D135" s="641" t="s">
        <v>1128</v>
      </c>
      <c r="E135" s="640" t="s">
        <v>1690</v>
      </c>
      <c r="F135" s="641" t="s">
        <v>1691</v>
      </c>
      <c r="G135" s="640" t="s">
        <v>1338</v>
      </c>
      <c r="H135" s="640" t="s">
        <v>1339</v>
      </c>
      <c r="I135" s="642">
        <v>318</v>
      </c>
      <c r="J135" s="642">
        <v>2</v>
      </c>
      <c r="K135" s="643">
        <v>636</v>
      </c>
    </row>
    <row r="136" spans="1:11" ht="14.4" customHeight="1" x14ac:dyDescent="0.3">
      <c r="A136" s="638" t="s">
        <v>537</v>
      </c>
      <c r="B136" s="639" t="s">
        <v>538</v>
      </c>
      <c r="C136" s="640" t="s">
        <v>547</v>
      </c>
      <c r="D136" s="641" t="s">
        <v>1128</v>
      </c>
      <c r="E136" s="640" t="s">
        <v>1690</v>
      </c>
      <c r="F136" s="641" t="s">
        <v>1691</v>
      </c>
      <c r="G136" s="640" t="s">
        <v>1430</v>
      </c>
      <c r="H136" s="640" t="s">
        <v>1431</v>
      </c>
      <c r="I136" s="642">
        <v>5.81</v>
      </c>
      <c r="J136" s="642">
        <v>60</v>
      </c>
      <c r="K136" s="643">
        <v>348.48</v>
      </c>
    </row>
    <row r="137" spans="1:11" ht="14.4" customHeight="1" x14ac:dyDescent="0.3">
      <c r="A137" s="638" t="s">
        <v>537</v>
      </c>
      <c r="B137" s="639" t="s">
        <v>538</v>
      </c>
      <c r="C137" s="640" t="s">
        <v>547</v>
      </c>
      <c r="D137" s="641" t="s">
        <v>1128</v>
      </c>
      <c r="E137" s="640" t="s">
        <v>1690</v>
      </c>
      <c r="F137" s="641" t="s">
        <v>1691</v>
      </c>
      <c r="G137" s="640" t="s">
        <v>1432</v>
      </c>
      <c r="H137" s="640" t="s">
        <v>1433</v>
      </c>
      <c r="I137" s="642">
        <v>399</v>
      </c>
      <c r="J137" s="642">
        <v>4</v>
      </c>
      <c r="K137" s="643">
        <v>1595.99</v>
      </c>
    </row>
    <row r="138" spans="1:11" ht="14.4" customHeight="1" x14ac:dyDescent="0.3">
      <c r="A138" s="638" t="s">
        <v>537</v>
      </c>
      <c r="B138" s="639" t="s">
        <v>538</v>
      </c>
      <c r="C138" s="640" t="s">
        <v>547</v>
      </c>
      <c r="D138" s="641" t="s">
        <v>1128</v>
      </c>
      <c r="E138" s="640" t="s">
        <v>1700</v>
      </c>
      <c r="F138" s="641" t="s">
        <v>1701</v>
      </c>
      <c r="G138" s="640" t="s">
        <v>1434</v>
      </c>
      <c r="H138" s="640" t="s">
        <v>1435</v>
      </c>
      <c r="I138" s="642">
        <v>7</v>
      </c>
      <c r="J138" s="642">
        <v>25</v>
      </c>
      <c r="K138" s="643">
        <v>175</v>
      </c>
    </row>
    <row r="139" spans="1:11" ht="14.4" customHeight="1" x14ac:dyDescent="0.3">
      <c r="A139" s="638" t="s">
        <v>537</v>
      </c>
      <c r="B139" s="639" t="s">
        <v>538</v>
      </c>
      <c r="C139" s="640" t="s">
        <v>547</v>
      </c>
      <c r="D139" s="641" t="s">
        <v>1128</v>
      </c>
      <c r="E139" s="640" t="s">
        <v>1692</v>
      </c>
      <c r="F139" s="641" t="s">
        <v>1693</v>
      </c>
      <c r="G139" s="640" t="s">
        <v>1436</v>
      </c>
      <c r="H139" s="640" t="s">
        <v>1437</v>
      </c>
      <c r="I139" s="642">
        <v>0.3</v>
      </c>
      <c r="J139" s="642">
        <v>200</v>
      </c>
      <c r="K139" s="643">
        <v>60</v>
      </c>
    </row>
    <row r="140" spans="1:11" ht="14.4" customHeight="1" x14ac:dyDescent="0.3">
      <c r="A140" s="638" t="s">
        <v>537</v>
      </c>
      <c r="B140" s="639" t="s">
        <v>538</v>
      </c>
      <c r="C140" s="640" t="s">
        <v>547</v>
      </c>
      <c r="D140" s="641" t="s">
        <v>1128</v>
      </c>
      <c r="E140" s="640" t="s">
        <v>1692</v>
      </c>
      <c r="F140" s="641" t="s">
        <v>1693</v>
      </c>
      <c r="G140" s="640" t="s">
        <v>1438</v>
      </c>
      <c r="H140" s="640" t="s">
        <v>1439</v>
      </c>
      <c r="I140" s="642">
        <v>0.3</v>
      </c>
      <c r="J140" s="642">
        <v>200</v>
      </c>
      <c r="K140" s="643">
        <v>60</v>
      </c>
    </row>
    <row r="141" spans="1:11" ht="14.4" customHeight="1" x14ac:dyDescent="0.3">
      <c r="A141" s="638" t="s">
        <v>537</v>
      </c>
      <c r="B141" s="639" t="s">
        <v>538</v>
      </c>
      <c r="C141" s="640" t="s">
        <v>547</v>
      </c>
      <c r="D141" s="641" t="s">
        <v>1128</v>
      </c>
      <c r="E141" s="640" t="s">
        <v>1692</v>
      </c>
      <c r="F141" s="641" t="s">
        <v>1693</v>
      </c>
      <c r="G141" s="640" t="s">
        <v>1350</v>
      </c>
      <c r="H141" s="640" t="s">
        <v>1351</v>
      </c>
      <c r="I141" s="642">
        <v>0.48</v>
      </c>
      <c r="J141" s="642">
        <v>300</v>
      </c>
      <c r="K141" s="643">
        <v>144</v>
      </c>
    </row>
    <row r="142" spans="1:11" ht="14.4" customHeight="1" x14ac:dyDescent="0.3">
      <c r="A142" s="638" t="s">
        <v>537</v>
      </c>
      <c r="B142" s="639" t="s">
        <v>538</v>
      </c>
      <c r="C142" s="640" t="s">
        <v>547</v>
      </c>
      <c r="D142" s="641" t="s">
        <v>1128</v>
      </c>
      <c r="E142" s="640" t="s">
        <v>1692</v>
      </c>
      <c r="F142" s="641" t="s">
        <v>1693</v>
      </c>
      <c r="G142" s="640" t="s">
        <v>1440</v>
      </c>
      <c r="H142" s="640" t="s">
        <v>1441</v>
      </c>
      <c r="I142" s="642">
        <v>0.3</v>
      </c>
      <c r="J142" s="642">
        <v>900</v>
      </c>
      <c r="K142" s="643">
        <v>273.24</v>
      </c>
    </row>
    <row r="143" spans="1:11" ht="14.4" customHeight="1" x14ac:dyDescent="0.3">
      <c r="A143" s="638" t="s">
        <v>537</v>
      </c>
      <c r="B143" s="639" t="s">
        <v>538</v>
      </c>
      <c r="C143" s="640" t="s">
        <v>547</v>
      </c>
      <c r="D143" s="641" t="s">
        <v>1128</v>
      </c>
      <c r="E143" s="640" t="s">
        <v>1694</v>
      </c>
      <c r="F143" s="641" t="s">
        <v>1695</v>
      </c>
      <c r="G143" s="640" t="s">
        <v>1442</v>
      </c>
      <c r="H143" s="640" t="s">
        <v>1443</v>
      </c>
      <c r="I143" s="642">
        <v>0.73</v>
      </c>
      <c r="J143" s="642">
        <v>200</v>
      </c>
      <c r="K143" s="643">
        <v>146</v>
      </c>
    </row>
    <row r="144" spans="1:11" ht="14.4" customHeight="1" x14ac:dyDescent="0.3">
      <c r="A144" s="638" t="s">
        <v>537</v>
      </c>
      <c r="B144" s="639" t="s">
        <v>538</v>
      </c>
      <c r="C144" s="640" t="s">
        <v>547</v>
      </c>
      <c r="D144" s="641" t="s">
        <v>1128</v>
      </c>
      <c r="E144" s="640" t="s">
        <v>1694</v>
      </c>
      <c r="F144" s="641" t="s">
        <v>1695</v>
      </c>
      <c r="G144" s="640" t="s">
        <v>1352</v>
      </c>
      <c r="H144" s="640" t="s">
        <v>1353</v>
      </c>
      <c r="I144" s="642">
        <v>0.71</v>
      </c>
      <c r="J144" s="642">
        <v>27000</v>
      </c>
      <c r="K144" s="643">
        <v>19170</v>
      </c>
    </row>
    <row r="145" spans="1:11" ht="14.4" customHeight="1" x14ac:dyDescent="0.3">
      <c r="A145" s="638" t="s">
        <v>537</v>
      </c>
      <c r="B145" s="639" t="s">
        <v>538</v>
      </c>
      <c r="C145" s="640" t="s">
        <v>547</v>
      </c>
      <c r="D145" s="641" t="s">
        <v>1128</v>
      </c>
      <c r="E145" s="640" t="s">
        <v>1694</v>
      </c>
      <c r="F145" s="641" t="s">
        <v>1695</v>
      </c>
      <c r="G145" s="640" t="s">
        <v>1444</v>
      </c>
      <c r="H145" s="640" t="s">
        <v>1445</v>
      </c>
      <c r="I145" s="642">
        <v>12.58</v>
      </c>
      <c r="J145" s="642">
        <v>40</v>
      </c>
      <c r="K145" s="643">
        <v>503.2</v>
      </c>
    </row>
    <row r="146" spans="1:11" ht="14.4" customHeight="1" x14ac:dyDescent="0.3">
      <c r="A146" s="638" t="s">
        <v>537</v>
      </c>
      <c r="B146" s="639" t="s">
        <v>538</v>
      </c>
      <c r="C146" s="640" t="s">
        <v>547</v>
      </c>
      <c r="D146" s="641" t="s">
        <v>1128</v>
      </c>
      <c r="E146" s="640" t="s">
        <v>1694</v>
      </c>
      <c r="F146" s="641" t="s">
        <v>1695</v>
      </c>
      <c r="G146" s="640" t="s">
        <v>1446</v>
      </c>
      <c r="H146" s="640" t="s">
        <v>1447</v>
      </c>
      <c r="I146" s="642">
        <v>12.59</v>
      </c>
      <c r="J146" s="642">
        <v>50</v>
      </c>
      <c r="K146" s="643">
        <v>629.5</v>
      </c>
    </row>
    <row r="147" spans="1:11" ht="14.4" customHeight="1" x14ac:dyDescent="0.3">
      <c r="A147" s="638" t="s">
        <v>537</v>
      </c>
      <c r="B147" s="639" t="s">
        <v>538</v>
      </c>
      <c r="C147" s="640" t="s">
        <v>547</v>
      </c>
      <c r="D147" s="641" t="s">
        <v>1128</v>
      </c>
      <c r="E147" s="640" t="s">
        <v>1694</v>
      </c>
      <c r="F147" s="641" t="s">
        <v>1695</v>
      </c>
      <c r="G147" s="640" t="s">
        <v>1448</v>
      </c>
      <c r="H147" s="640" t="s">
        <v>1449</v>
      </c>
      <c r="I147" s="642">
        <v>0.9</v>
      </c>
      <c r="J147" s="642">
        <v>600</v>
      </c>
      <c r="K147" s="643">
        <v>537.24</v>
      </c>
    </row>
    <row r="148" spans="1:11" ht="14.4" customHeight="1" x14ac:dyDescent="0.3">
      <c r="A148" s="638" t="s">
        <v>537</v>
      </c>
      <c r="B148" s="639" t="s">
        <v>538</v>
      </c>
      <c r="C148" s="640" t="s">
        <v>547</v>
      </c>
      <c r="D148" s="641" t="s">
        <v>1128</v>
      </c>
      <c r="E148" s="640" t="s">
        <v>1694</v>
      </c>
      <c r="F148" s="641" t="s">
        <v>1695</v>
      </c>
      <c r="G148" s="640" t="s">
        <v>1450</v>
      </c>
      <c r="H148" s="640" t="s">
        <v>1451</v>
      </c>
      <c r="I148" s="642">
        <v>0.9</v>
      </c>
      <c r="J148" s="642">
        <v>180</v>
      </c>
      <c r="K148" s="643">
        <v>161.16999999999999</v>
      </c>
    </row>
    <row r="149" spans="1:11" ht="14.4" customHeight="1" x14ac:dyDescent="0.3">
      <c r="A149" s="638" t="s">
        <v>537</v>
      </c>
      <c r="B149" s="639" t="s">
        <v>538</v>
      </c>
      <c r="C149" s="640" t="s">
        <v>547</v>
      </c>
      <c r="D149" s="641" t="s">
        <v>1128</v>
      </c>
      <c r="E149" s="640" t="s">
        <v>1694</v>
      </c>
      <c r="F149" s="641" t="s">
        <v>1695</v>
      </c>
      <c r="G149" s="640" t="s">
        <v>1452</v>
      </c>
      <c r="H149" s="640" t="s">
        <v>1453</v>
      </c>
      <c r="I149" s="642">
        <v>0.9</v>
      </c>
      <c r="J149" s="642">
        <v>200</v>
      </c>
      <c r="K149" s="643">
        <v>179.08</v>
      </c>
    </row>
    <row r="150" spans="1:11" ht="14.4" customHeight="1" x14ac:dyDescent="0.3">
      <c r="A150" s="638" t="s">
        <v>537</v>
      </c>
      <c r="B150" s="639" t="s">
        <v>538</v>
      </c>
      <c r="C150" s="640" t="s">
        <v>547</v>
      </c>
      <c r="D150" s="641" t="s">
        <v>1128</v>
      </c>
      <c r="E150" s="640" t="s">
        <v>1694</v>
      </c>
      <c r="F150" s="641" t="s">
        <v>1695</v>
      </c>
      <c r="G150" s="640" t="s">
        <v>1454</v>
      </c>
      <c r="H150" s="640" t="s">
        <v>1455</v>
      </c>
      <c r="I150" s="642">
        <v>0.9</v>
      </c>
      <c r="J150" s="642">
        <v>1000</v>
      </c>
      <c r="K150" s="643">
        <v>895.4</v>
      </c>
    </row>
    <row r="151" spans="1:11" ht="14.4" customHeight="1" x14ac:dyDescent="0.3">
      <c r="A151" s="638" t="s">
        <v>537</v>
      </c>
      <c r="B151" s="639" t="s">
        <v>538</v>
      </c>
      <c r="C151" s="640" t="s">
        <v>547</v>
      </c>
      <c r="D151" s="641" t="s">
        <v>1128</v>
      </c>
      <c r="E151" s="640" t="s">
        <v>1694</v>
      </c>
      <c r="F151" s="641" t="s">
        <v>1695</v>
      </c>
      <c r="G151" s="640" t="s">
        <v>1456</v>
      </c>
      <c r="H151" s="640" t="s">
        <v>1457</v>
      </c>
      <c r="I151" s="642">
        <v>0.9</v>
      </c>
      <c r="J151" s="642">
        <v>1400</v>
      </c>
      <c r="K151" s="643">
        <v>1253.56</v>
      </c>
    </row>
    <row r="152" spans="1:11" ht="14.4" customHeight="1" x14ac:dyDescent="0.3">
      <c r="A152" s="638" t="s">
        <v>537</v>
      </c>
      <c r="B152" s="639" t="s">
        <v>538</v>
      </c>
      <c r="C152" s="640" t="s">
        <v>547</v>
      </c>
      <c r="D152" s="641" t="s">
        <v>1128</v>
      </c>
      <c r="E152" s="640" t="s">
        <v>1696</v>
      </c>
      <c r="F152" s="641" t="s">
        <v>1697</v>
      </c>
      <c r="G152" s="640" t="s">
        <v>1360</v>
      </c>
      <c r="H152" s="640" t="s">
        <v>1361</v>
      </c>
      <c r="I152" s="642">
        <v>139.4375</v>
      </c>
      <c r="J152" s="642">
        <v>35</v>
      </c>
      <c r="K152" s="643">
        <v>4880.1899999999996</v>
      </c>
    </row>
    <row r="153" spans="1:11" ht="14.4" customHeight="1" x14ac:dyDescent="0.3">
      <c r="A153" s="638" t="s">
        <v>537</v>
      </c>
      <c r="B153" s="639" t="s">
        <v>538</v>
      </c>
      <c r="C153" s="640" t="s">
        <v>547</v>
      </c>
      <c r="D153" s="641" t="s">
        <v>1128</v>
      </c>
      <c r="E153" s="640" t="s">
        <v>1696</v>
      </c>
      <c r="F153" s="641" t="s">
        <v>1697</v>
      </c>
      <c r="G153" s="640" t="s">
        <v>1362</v>
      </c>
      <c r="H153" s="640" t="s">
        <v>1363</v>
      </c>
      <c r="I153" s="642">
        <v>11.65</v>
      </c>
      <c r="J153" s="642">
        <v>10</v>
      </c>
      <c r="K153" s="643">
        <v>116.52</v>
      </c>
    </row>
    <row r="154" spans="1:11" ht="14.4" customHeight="1" x14ac:dyDescent="0.3">
      <c r="A154" s="638" t="s">
        <v>537</v>
      </c>
      <c r="B154" s="639" t="s">
        <v>538</v>
      </c>
      <c r="C154" s="640" t="s">
        <v>547</v>
      </c>
      <c r="D154" s="641" t="s">
        <v>1128</v>
      </c>
      <c r="E154" s="640" t="s">
        <v>1696</v>
      </c>
      <c r="F154" s="641" t="s">
        <v>1697</v>
      </c>
      <c r="G154" s="640" t="s">
        <v>1458</v>
      </c>
      <c r="H154" s="640" t="s">
        <v>1459</v>
      </c>
      <c r="I154" s="642">
        <v>2210.7199999999998</v>
      </c>
      <c r="J154" s="642">
        <v>1</v>
      </c>
      <c r="K154" s="643">
        <v>2210.7199999999998</v>
      </c>
    </row>
    <row r="155" spans="1:11" ht="14.4" customHeight="1" x14ac:dyDescent="0.3">
      <c r="A155" s="638" t="s">
        <v>537</v>
      </c>
      <c r="B155" s="639" t="s">
        <v>538</v>
      </c>
      <c r="C155" s="640" t="s">
        <v>547</v>
      </c>
      <c r="D155" s="641" t="s">
        <v>1128</v>
      </c>
      <c r="E155" s="640" t="s">
        <v>1696</v>
      </c>
      <c r="F155" s="641" t="s">
        <v>1697</v>
      </c>
      <c r="G155" s="640" t="s">
        <v>1364</v>
      </c>
      <c r="H155" s="640" t="s">
        <v>1365</v>
      </c>
      <c r="I155" s="642">
        <v>3035.31</v>
      </c>
      <c r="J155" s="642">
        <v>6</v>
      </c>
      <c r="K155" s="643">
        <v>18211.86</v>
      </c>
    </row>
    <row r="156" spans="1:11" ht="14.4" customHeight="1" x14ac:dyDescent="0.3">
      <c r="A156" s="638" t="s">
        <v>537</v>
      </c>
      <c r="B156" s="639" t="s">
        <v>538</v>
      </c>
      <c r="C156" s="640" t="s">
        <v>547</v>
      </c>
      <c r="D156" s="641" t="s">
        <v>1128</v>
      </c>
      <c r="E156" s="640" t="s">
        <v>1696</v>
      </c>
      <c r="F156" s="641" t="s">
        <v>1697</v>
      </c>
      <c r="G156" s="640" t="s">
        <v>1460</v>
      </c>
      <c r="H156" s="640" t="s">
        <v>1461</v>
      </c>
      <c r="I156" s="642">
        <v>16187.72</v>
      </c>
      <c r="J156" s="642">
        <v>0.25</v>
      </c>
      <c r="K156" s="643">
        <v>4046.93</v>
      </c>
    </row>
    <row r="157" spans="1:11" ht="14.4" customHeight="1" x14ac:dyDescent="0.3">
      <c r="A157" s="638" t="s">
        <v>537</v>
      </c>
      <c r="B157" s="639" t="s">
        <v>538</v>
      </c>
      <c r="C157" s="640" t="s">
        <v>547</v>
      </c>
      <c r="D157" s="641" t="s">
        <v>1128</v>
      </c>
      <c r="E157" s="640" t="s">
        <v>1696</v>
      </c>
      <c r="F157" s="641" t="s">
        <v>1697</v>
      </c>
      <c r="G157" s="640" t="s">
        <v>1366</v>
      </c>
      <c r="H157" s="640" t="s">
        <v>1367</v>
      </c>
      <c r="I157" s="642">
        <v>2722.5</v>
      </c>
      <c r="J157" s="642">
        <v>16</v>
      </c>
      <c r="K157" s="643">
        <v>43559.99</v>
      </c>
    </row>
    <row r="158" spans="1:11" ht="14.4" customHeight="1" x14ac:dyDescent="0.3">
      <c r="A158" s="638" t="s">
        <v>537</v>
      </c>
      <c r="B158" s="639" t="s">
        <v>538</v>
      </c>
      <c r="C158" s="640" t="s">
        <v>547</v>
      </c>
      <c r="D158" s="641" t="s">
        <v>1128</v>
      </c>
      <c r="E158" s="640" t="s">
        <v>1696</v>
      </c>
      <c r="F158" s="641" t="s">
        <v>1697</v>
      </c>
      <c r="G158" s="640" t="s">
        <v>1462</v>
      </c>
      <c r="H158" s="640" t="s">
        <v>1463</v>
      </c>
      <c r="I158" s="642">
        <v>2277.85</v>
      </c>
      <c r="J158" s="642">
        <v>1</v>
      </c>
      <c r="K158" s="643">
        <v>2277.85</v>
      </c>
    </row>
    <row r="159" spans="1:11" ht="14.4" customHeight="1" x14ac:dyDescent="0.3">
      <c r="A159" s="638" t="s">
        <v>537</v>
      </c>
      <c r="B159" s="639" t="s">
        <v>538</v>
      </c>
      <c r="C159" s="640" t="s">
        <v>547</v>
      </c>
      <c r="D159" s="641" t="s">
        <v>1128</v>
      </c>
      <c r="E159" s="640" t="s">
        <v>1696</v>
      </c>
      <c r="F159" s="641" t="s">
        <v>1697</v>
      </c>
      <c r="G159" s="640" t="s">
        <v>1464</v>
      </c>
      <c r="H159" s="640" t="s">
        <v>1465</v>
      </c>
      <c r="I159" s="642">
        <v>3130.7525000000001</v>
      </c>
      <c r="J159" s="642">
        <v>4</v>
      </c>
      <c r="K159" s="643">
        <v>12523.01</v>
      </c>
    </row>
    <row r="160" spans="1:11" ht="14.4" customHeight="1" x14ac:dyDescent="0.3">
      <c r="A160" s="638" t="s">
        <v>537</v>
      </c>
      <c r="B160" s="639" t="s">
        <v>538</v>
      </c>
      <c r="C160" s="640" t="s">
        <v>547</v>
      </c>
      <c r="D160" s="641" t="s">
        <v>1128</v>
      </c>
      <c r="E160" s="640" t="s">
        <v>1696</v>
      </c>
      <c r="F160" s="641" t="s">
        <v>1697</v>
      </c>
      <c r="G160" s="640" t="s">
        <v>1466</v>
      </c>
      <c r="H160" s="640" t="s">
        <v>1467</v>
      </c>
      <c r="I160" s="642">
        <v>2277.85</v>
      </c>
      <c r="J160" s="642">
        <v>2</v>
      </c>
      <c r="K160" s="643">
        <v>4555.7</v>
      </c>
    </row>
    <row r="161" spans="1:11" ht="14.4" customHeight="1" x14ac:dyDescent="0.3">
      <c r="A161" s="638" t="s">
        <v>537</v>
      </c>
      <c r="B161" s="639" t="s">
        <v>538</v>
      </c>
      <c r="C161" s="640" t="s">
        <v>547</v>
      </c>
      <c r="D161" s="641" t="s">
        <v>1128</v>
      </c>
      <c r="E161" s="640" t="s">
        <v>1696</v>
      </c>
      <c r="F161" s="641" t="s">
        <v>1697</v>
      </c>
      <c r="G161" s="640" t="s">
        <v>1468</v>
      </c>
      <c r="H161" s="640" t="s">
        <v>1469</v>
      </c>
      <c r="I161" s="642">
        <v>3035.31</v>
      </c>
      <c r="J161" s="642">
        <v>3</v>
      </c>
      <c r="K161" s="643">
        <v>9105.93</v>
      </c>
    </row>
    <row r="162" spans="1:11" ht="14.4" customHeight="1" x14ac:dyDescent="0.3">
      <c r="A162" s="638" t="s">
        <v>537</v>
      </c>
      <c r="B162" s="639" t="s">
        <v>538</v>
      </c>
      <c r="C162" s="640" t="s">
        <v>547</v>
      </c>
      <c r="D162" s="641" t="s">
        <v>1128</v>
      </c>
      <c r="E162" s="640" t="s">
        <v>1696</v>
      </c>
      <c r="F162" s="641" t="s">
        <v>1697</v>
      </c>
      <c r="G162" s="640" t="s">
        <v>1470</v>
      </c>
      <c r="H162" s="640" t="s">
        <v>1471</v>
      </c>
      <c r="I162" s="642">
        <v>213.34800000000001</v>
      </c>
      <c r="J162" s="642">
        <v>13</v>
      </c>
      <c r="K162" s="643">
        <v>2773.5099999999998</v>
      </c>
    </row>
    <row r="163" spans="1:11" ht="14.4" customHeight="1" x14ac:dyDescent="0.3">
      <c r="A163" s="638" t="s">
        <v>537</v>
      </c>
      <c r="B163" s="639" t="s">
        <v>538</v>
      </c>
      <c r="C163" s="640" t="s">
        <v>547</v>
      </c>
      <c r="D163" s="641" t="s">
        <v>1128</v>
      </c>
      <c r="E163" s="640" t="s">
        <v>1696</v>
      </c>
      <c r="F163" s="641" t="s">
        <v>1697</v>
      </c>
      <c r="G163" s="640" t="s">
        <v>1472</v>
      </c>
      <c r="H163" s="640" t="s">
        <v>1473</v>
      </c>
      <c r="I163" s="642">
        <v>9228.1949999999997</v>
      </c>
      <c r="J163" s="642">
        <v>1.25</v>
      </c>
      <c r="K163" s="643">
        <v>11535.240000000002</v>
      </c>
    </row>
    <row r="164" spans="1:11" ht="14.4" customHeight="1" x14ac:dyDescent="0.3">
      <c r="A164" s="638" t="s">
        <v>537</v>
      </c>
      <c r="B164" s="639" t="s">
        <v>538</v>
      </c>
      <c r="C164" s="640" t="s">
        <v>547</v>
      </c>
      <c r="D164" s="641" t="s">
        <v>1128</v>
      </c>
      <c r="E164" s="640" t="s">
        <v>1696</v>
      </c>
      <c r="F164" s="641" t="s">
        <v>1697</v>
      </c>
      <c r="G164" s="640" t="s">
        <v>1474</v>
      </c>
      <c r="H164" s="640" t="s">
        <v>1475</v>
      </c>
      <c r="I164" s="642">
        <v>22994.6</v>
      </c>
      <c r="J164" s="642">
        <v>0.25</v>
      </c>
      <c r="K164" s="643">
        <v>5748.65</v>
      </c>
    </row>
    <row r="165" spans="1:11" ht="14.4" customHeight="1" x14ac:dyDescent="0.3">
      <c r="A165" s="638" t="s">
        <v>537</v>
      </c>
      <c r="B165" s="639" t="s">
        <v>538</v>
      </c>
      <c r="C165" s="640" t="s">
        <v>547</v>
      </c>
      <c r="D165" s="641" t="s">
        <v>1128</v>
      </c>
      <c r="E165" s="640" t="s">
        <v>1696</v>
      </c>
      <c r="F165" s="641" t="s">
        <v>1697</v>
      </c>
      <c r="G165" s="640" t="s">
        <v>1476</v>
      </c>
      <c r="H165" s="640" t="s">
        <v>1477</v>
      </c>
      <c r="I165" s="642">
        <v>16187.72</v>
      </c>
      <c r="J165" s="642">
        <v>0.25</v>
      </c>
      <c r="K165" s="643">
        <v>4046.93</v>
      </c>
    </row>
    <row r="166" spans="1:11" ht="14.4" customHeight="1" x14ac:dyDescent="0.3">
      <c r="A166" s="638" t="s">
        <v>537</v>
      </c>
      <c r="B166" s="639" t="s">
        <v>538</v>
      </c>
      <c r="C166" s="640" t="s">
        <v>547</v>
      </c>
      <c r="D166" s="641" t="s">
        <v>1128</v>
      </c>
      <c r="E166" s="640" t="s">
        <v>1696</v>
      </c>
      <c r="F166" s="641" t="s">
        <v>1697</v>
      </c>
      <c r="G166" s="640" t="s">
        <v>1478</v>
      </c>
      <c r="H166" s="640" t="s">
        <v>1479</v>
      </c>
      <c r="I166" s="642">
        <v>22994.6</v>
      </c>
      <c r="J166" s="642">
        <v>0.25</v>
      </c>
      <c r="K166" s="643">
        <v>5748.65</v>
      </c>
    </row>
    <row r="167" spans="1:11" ht="14.4" customHeight="1" x14ac:dyDescent="0.3">
      <c r="A167" s="638" t="s">
        <v>537</v>
      </c>
      <c r="B167" s="639" t="s">
        <v>538</v>
      </c>
      <c r="C167" s="640" t="s">
        <v>547</v>
      </c>
      <c r="D167" s="641" t="s">
        <v>1128</v>
      </c>
      <c r="E167" s="640" t="s">
        <v>1696</v>
      </c>
      <c r="F167" s="641" t="s">
        <v>1697</v>
      </c>
      <c r="G167" s="640" t="s">
        <v>1480</v>
      </c>
      <c r="H167" s="640" t="s">
        <v>1481</v>
      </c>
      <c r="I167" s="642">
        <v>1149.5</v>
      </c>
      <c r="J167" s="642">
        <v>5</v>
      </c>
      <c r="K167" s="643">
        <v>5747.5</v>
      </c>
    </row>
    <row r="168" spans="1:11" ht="14.4" customHeight="1" x14ac:dyDescent="0.3">
      <c r="A168" s="638" t="s">
        <v>537</v>
      </c>
      <c r="B168" s="639" t="s">
        <v>538</v>
      </c>
      <c r="C168" s="640" t="s">
        <v>547</v>
      </c>
      <c r="D168" s="641" t="s">
        <v>1128</v>
      </c>
      <c r="E168" s="640" t="s">
        <v>1696</v>
      </c>
      <c r="F168" s="641" t="s">
        <v>1697</v>
      </c>
      <c r="G168" s="640" t="s">
        <v>1482</v>
      </c>
      <c r="H168" s="640" t="s">
        <v>1483</v>
      </c>
      <c r="I168" s="642">
        <v>2397.4</v>
      </c>
      <c r="J168" s="642">
        <v>1</v>
      </c>
      <c r="K168" s="643">
        <v>2397.4</v>
      </c>
    </row>
    <row r="169" spans="1:11" ht="14.4" customHeight="1" x14ac:dyDescent="0.3">
      <c r="A169" s="638" t="s">
        <v>537</v>
      </c>
      <c r="B169" s="639" t="s">
        <v>538</v>
      </c>
      <c r="C169" s="640" t="s">
        <v>547</v>
      </c>
      <c r="D169" s="641" t="s">
        <v>1128</v>
      </c>
      <c r="E169" s="640" t="s">
        <v>1696</v>
      </c>
      <c r="F169" s="641" t="s">
        <v>1697</v>
      </c>
      <c r="G169" s="640" t="s">
        <v>1484</v>
      </c>
      <c r="H169" s="640" t="s">
        <v>1485</v>
      </c>
      <c r="I169" s="642">
        <v>22994.6</v>
      </c>
      <c r="J169" s="642">
        <v>0.25</v>
      </c>
      <c r="K169" s="643">
        <v>5748.65</v>
      </c>
    </row>
    <row r="170" spans="1:11" ht="14.4" customHeight="1" x14ac:dyDescent="0.3">
      <c r="A170" s="638" t="s">
        <v>537</v>
      </c>
      <c r="B170" s="639" t="s">
        <v>538</v>
      </c>
      <c r="C170" s="640" t="s">
        <v>547</v>
      </c>
      <c r="D170" s="641" t="s">
        <v>1128</v>
      </c>
      <c r="E170" s="640" t="s">
        <v>1696</v>
      </c>
      <c r="F170" s="641" t="s">
        <v>1697</v>
      </c>
      <c r="G170" s="640" t="s">
        <v>1486</v>
      </c>
      <c r="H170" s="640" t="s">
        <v>1487</v>
      </c>
      <c r="I170" s="642">
        <v>22994.6</v>
      </c>
      <c r="J170" s="642">
        <v>0.25</v>
      </c>
      <c r="K170" s="643">
        <v>5748.65</v>
      </c>
    </row>
    <row r="171" spans="1:11" ht="14.4" customHeight="1" x14ac:dyDescent="0.3">
      <c r="A171" s="638" t="s">
        <v>537</v>
      </c>
      <c r="B171" s="639" t="s">
        <v>538</v>
      </c>
      <c r="C171" s="640" t="s">
        <v>550</v>
      </c>
      <c r="D171" s="641" t="s">
        <v>1129</v>
      </c>
      <c r="E171" s="640" t="s">
        <v>1688</v>
      </c>
      <c r="F171" s="641" t="s">
        <v>1689</v>
      </c>
      <c r="G171" s="640" t="s">
        <v>1230</v>
      </c>
      <c r="H171" s="640" t="s">
        <v>1231</v>
      </c>
      <c r="I171" s="642">
        <v>4.3012499999999996</v>
      </c>
      <c r="J171" s="642">
        <v>312</v>
      </c>
      <c r="K171" s="643">
        <v>1342.0800000000002</v>
      </c>
    </row>
    <row r="172" spans="1:11" ht="14.4" customHeight="1" x14ac:dyDescent="0.3">
      <c r="A172" s="638" t="s">
        <v>537</v>
      </c>
      <c r="B172" s="639" t="s">
        <v>538</v>
      </c>
      <c r="C172" s="640" t="s">
        <v>550</v>
      </c>
      <c r="D172" s="641" t="s">
        <v>1129</v>
      </c>
      <c r="E172" s="640" t="s">
        <v>1688</v>
      </c>
      <c r="F172" s="641" t="s">
        <v>1689</v>
      </c>
      <c r="G172" s="640" t="s">
        <v>1234</v>
      </c>
      <c r="H172" s="640" t="s">
        <v>1235</v>
      </c>
      <c r="I172" s="642">
        <v>0.42</v>
      </c>
      <c r="J172" s="642">
        <v>200</v>
      </c>
      <c r="K172" s="643">
        <v>84</v>
      </c>
    </row>
    <row r="173" spans="1:11" ht="14.4" customHeight="1" x14ac:dyDescent="0.3">
      <c r="A173" s="638" t="s">
        <v>537</v>
      </c>
      <c r="B173" s="639" t="s">
        <v>538</v>
      </c>
      <c r="C173" s="640" t="s">
        <v>550</v>
      </c>
      <c r="D173" s="641" t="s">
        <v>1129</v>
      </c>
      <c r="E173" s="640" t="s">
        <v>1688</v>
      </c>
      <c r="F173" s="641" t="s">
        <v>1689</v>
      </c>
      <c r="G173" s="640" t="s">
        <v>1238</v>
      </c>
      <c r="H173" s="640" t="s">
        <v>1239</v>
      </c>
      <c r="I173" s="642">
        <v>1.4212499999999999</v>
      </c>
      <c r="J173" s="642">
        <v>3000</v>
      </c>
      <c r="K173" s="643">
        <v>4271.26</v>
      </c>
    </row>
    <row r="174" spans="1:11" ht="14.4" customHeight="1" x14ac:dyDescent="0.3">
      <c r="A174" s="638" t="s">
        <v>537</v>
      </c>
      <c r="B174" s="639" t="s">
        <v>538</v>
      </c>
      <c r="C174" s="640" t="s">
        <v>550</v>
      </c>
      <c r="D174" s="641" t="s">
        <v>1129</v>
      </c>
      <c r="E174" s="640" t="s">
        <v>1688</v>
      </c>
      <c r="F174" s="641" t="s">
        <v>1689</v>
      </c>
      <c r="G174" s="640" t="s">
        <v>1372</v>
      </c>
      <c r="H174" s="640" t="s">
        <v>1373</v>
      </c>
      <c r="I174" s="642">
        <v>0.32</v>
      </c>
      <c r="J174" s="642">
        <v>18000</v>
      </c>
      <c r="K174" s="643">
        <v>5757.3</v>
      </c>
    </row>
    <row r="175" spans="1:11" ht="14.4" customHeight="1" x14ac:dyDescent="0.3">
      <c r="A175" s="638" t="s">
        <v>537</v>
      </c>
      <c r="B175" s="639" t="s">
        <v>538</v>
      </c>
      <c r="C175" s="640" t="s">
        <v>550</v>
      </c>
      <c r="D175" s="641" t="s">
        <v>1129</v>
      </c>
      <c r="E175" s="640" t="s">
        <v>1688</v>
      </c>
      <c r="F175" s="641" t="s">
        <v>1689</v>
      </c>
      <c r="G175" s="640" t="s">
        <v>1488</v>
      </c>
      <c r="H175" s="640" t="s">
        <v>1489</v>
      </c>
      <c r="I175" s="642">
        <v>25.55</v>
      </c>
      <c r="J175" s="642">
        <v>24</v>
      </c>
      <c r="K175" s="643">
        <v>613.28</v>
      </c>
    </row>
    <row r="176" spans="1:11" ht="14.4" customHeight="1" x14ac:dyDescent="0.3">
      <c r="A176" s="638" t="s">
        <v>537</v>
      </c>
      <c r="B176" s="639" t="s">
        <v>538</v>
      </c>
      <c r="C176" s="640" t="s">
        <v>550</v>
      </c>
      <c r="D176" s="641" t="s">
        <v>1129</v>
      </c>
      <c r="E176" s="640" t="s">
        <v>1688</v>
      </c>
      <c r="F176" s="641" t="s">
        <v>1689</v>
      </c>
      <c r="G176" s="640" t="s">
        <v>1490</v>
      </c>
      <c r="H176" s="640" t="s">
        <v>1491</v>
      </c>
      <c r="I176" s="642">
        <v>22.149999999999995</v>
      </c>
      <c r="J176" s="642">
        <v>75</v>
      </c>
      <c r="K176" s="643">
        <v>1661.25</v>
      </c>
    </row>
    <row r="177" spans="1:11" ht="14.4" customHeight="1" x14ac:dyDescent="0.3">
      <c r="A177" s="638" t="s">
        <v>537</v>
      </c>
      <c r="B177" s="639" t="s">
        <v>538</v>
      </c>
      <c r="C177" s="640" t="s">
        <v>550</v>
      </c>
      <c r="D177" s="641" t="s">
        <v>1129</v>
      </c>
      <c r="E177" s="640" t="s">
        <v>1688</v>
      </c>
      <c r="F177" s="641" t="s">
        <v>1689</v>
      </c>
      <c r="G177" s="640" t="s">
        <v>1242</v>
      </c>
      <c r="H177" s="640" t="s">
        <v>1243</v>
      </c>
      <c r="I177" s="642">
        <v>2.9519999999999995</v>
      </c>
      <c r="J177" s="642">
        <v>2000</v>
      </c>
      <c r="K177" s="643">
        <v>5907.55</v>
      </c>
    </row>
    <row r="178" spans="1:11" ht="14.4" customHeight="1" x14ac:dyDescent="0.3">
      <c r="A178" s="638" t="s">
        <v>537</v>
      </c>
      <c r="B178" s="639" t="s">
        <v>538</v>
      </c>
      <c r="C178" s="640" t="s">
        <v>550</v>
      </c>
      <c r="D178" s="641" t="s">
        <v>1129</v>
      </c>
      <c r="E178" s="640" t="s">
        <v>1688</v>
      </c>
      <c r="F178" s="641" t="s">
        <v>1689</v>
      </c>
      <c r="G178" s="640" t="s">
        <v>1374</v>
      </c>
      <c r="H178" s="640" t="s">
        <v>1375</v>
      </c>
      <c r="I178" s="642">
        <v>0.66833333333333345</v>
      </c>
      <c r="J178" s="642">
        <v>3700</v>
      </c>
      <c r="K178" s="643">
        <v>2474</v>
      </c>
    </row>
    <row r="179" spans="1:11" ht="14.4" customHeight="1" x14ac:dyDescent="0.3">
      <c r="A179" s="638" t="s">
        <v>537</v>
      </c>
      <c r="B179" s="639" t="s">
        <v>538</v>
      </c>
      <c r="C179" s="640" t="s">
        <v>550</v>
      </c>
      <c r="D179" s="641" t="s">
        <v>1129</v>
      </c>
      <c r="E179" s="640" t="s">
        <v>1688</v>
      </c>
      <c r="F179" s="641" t="s">
        <v>1689</v>
      </c>
      <c r="G179" s="640" t="s">
        <v>1492</v>
      </c>
      <c r="H179" s="640" t="s">
        <v>1493</v>
      </c>
      <c r="I179" s="642">
        <v>48.48</v>
      </c>
      <c r="J179" s="642">
        <v>60</v>
      </c>
      <c r="K179" s="643">
        <v>2908.65</v>
      </c>
    </row>
    <row r="180" spans="1:11" ht="14.4" customHeight="1" x14ac:dyDescent="0.3">
      <c r="A180" s="638" t="s">
        <v>537</v>
      </c>
      <c r="B180" s="639" t="s">
        <v>538</v>
      </c>
      <c r="C180" s="640" t="s">
        <v>550</v>
      </c>
      <c r="D180" s="641" t="s">
        <v>1129</v>
      </c>
      <c r="E180" s="640" t="s">
        <v>1688</v>
      </c>
      <c r="F180" s="641" t="s">
        <v>1689</v>
      </c>
      <c r="G180" s="640" t="s">
        <v>1376</v>
      </c>
      <c r="H180" s="640" t="s">
        <v>1377</v>
      </c>
      <c r="I180" s="642">
        <v>1.2912499999999998</v>
      </c>
      <c r="J180" s="642">
        <v>3500</v>
      </c>
      <c r="K180" s="643">
        <v>4523</v>
      </c>
    </row>
    <row r="181" spans="1:11" ht="14.4" customHeight="1" x14ac:dyDescent="0.3">
      <c r="A181" s="638" t="s">
        <v>537</v>
      </c>
      <c r="B181" s="639" t="s">
        <v>538</v>
      </c>
      <c r="C181" s="640" t="s">
        <v>550</v>
      </c>
      <c r="D181" s="641" t="s">
        <v>1129</v>
      </c>
      <c r="E181" s="640" t="s">
        <v>1688</v>
      </c>
      <c r="F181" s="641" t="s">
        <v>1689</v>
      </c>
      <c r="G181" s="640" t="s">
        <v>1494</v>
      </c>
      <c r="H181" s="640" t="s">
        <v>1495</v>
      </c>
      <c r="I181" s="642">
        <v>120.69</v>
      </c>
      <c r="J181" s="642">
        <v>60</v>
      </c>
      <c r="K181" s="643">
        <v>7241.5599999999995</v>
      </c>
    </row>
    <row r="182" spans="1:11" ht="14.4" customHeight="1" x14ac:dyDescent="0.3">
      <c r="A182" s="638" t="s">
        <v>537</v>
      </c>
      <c r="B182" s="639" t="s">
        <v>538</v>
      </c>
      <c r="C182" s="640" t="s">
        <v>550</v>
      </c>
      <c r="D182" s="641" t="s">
        <v>1129</v>
      </c>
      <c r="E182" s="640" t="s">
        <v>1688</v>
      </c>
      <c r="F182" s="641" t="s">
        <v>1689</v>
      </c>
      <c r="G182" s="640" t="s">
        <v>1496</v>
      </c>
      <c r="H182" s="640" t="s">
        <v>1497</v>
      </c>
      <c r="I182" s="642">
        <v>123.19</v>
      </c>
      <c r="J182" s="642">
        <v>20</v>
      </c>
      <c r="K182" s="643">
        <v>2463.7399999999998</v>
      </c>
    </row>
    <row r="183" spans="1:11" ht="14.4" customHeight="1" x14ac:dyDescent="0.3">
      <c r="A183" s="638" t="s">
        <v>537</v>
      </c>
      <c r="B183" s="639" t="s">
        <v>538</v>
      </c>
      <c r="C183" s="640" t="s">
        <v>550</v>
      </c>
      <c r="D183" s="641" t="s">
        <v>1129</v>
      </c>
      <c r="E183" s="640" t="s">
        <v>1688</v>
      </c>
      <c r="F183" s="641" t="s">
        <v>1689</v>
      </c>
      <c r="G183" s="640" t="s">
        <v>1498</v>
      </c>
      <c r="H183" s="640" t="s">
        <v>1499</v>
      </c>
      <c r="I183" s="642">
        <v>85.42</v>
      </c>
      <c r="J183" s="642">
        <v>110</v>
      </c>
      <c r="K183" s="643">
        <v>9396.42</v>
      </c>
    </row>
    <row r="184" spans="1:11" ht="14.4" customHeight="1" x14ac:dyDescent="0.3">
      <c r="A184" s="638" t="s">
        <v>537</v>
      </c>
      <c r="B184" s="639" t="s">
        <v>538</v>
      </c>
      <c r="C184" s="640" t="s">
        <v>550</v>
      </c>
      <c r="D184" s="641" t="s">
        <v>1129</v>
      </c>
      <c r="E184" s="640" t="s">
        <v>1688</v>
      </c>
      <c r="F184" s="641" t="s">
        <v>1689</v>
      </c>
      <c r="G184" s="640" t="s">
        <v>1244</v>
      </c>
      <c r="H184" s="640" t="s">
        <v>1245</v>
      </c>
      <c r="I184" s="642">
        <v>0.3</v>
      </c>
      <c r="J184" s="642">
        <v>250</v>
      </c>
      <c r="K184" s="643">
        <v>75.83</v>
      </c>
    </row>
    <row r="185" spans="1:11" ht="14.4" customHeight="1" x14ac:dyDescent="0.3">
      <c r="A185" s="638" t="s">
        <v>537</v>
      </c>
      <c r="B185" s="639" t="s">
        <v>538</v>
      </c>
      <c r="C185" s="640" t="s">
        <v>550</v>
      </c>
      <c r="D185" s="641" t="s">
        <v>1129</v>
      </c>
      <c r="E185" s="640" t="s">
        <v>1688</v>
      </c>
      <c r="F185" s="641" t="s">
        <v>1689</v>
      </c>
      <c r="G185" s="640" t="s">
        <v>1378</v>
      </c>
      <c r="H185" s="640" t="s">
        <v>1379</v>
      </c>
      <c r="I185" s="642">
        <v>13.158333333333333</v>
      </c>
      <c r="J185" s="642">
        <v>192</v>
      </c>
      <c r="K185" s="643">
        <v>2526.09</v>
      </c>
    </row>
    <row r="186" spans="1:11" ht="14.4" customHeight="1" x14ac:dyDescent="0.3">
      <c r="A186" s="638" t="s">
        <v>537</v>
      </c>
      <c r="B186" s="639" t="s">
        <v>538</v>
      </c>
      <c r="C186" s="640" t="s">
        <v>550</v>
      </c>
      <c r="D186" s="641" t="s">
        <v>1129</v>
      </c>
      <c r="E186" s="640" t="s">
        <v>1688</v>
      </c>
      <c r="F186" s="641" t="s">
        <v>1689</v>
      </c>
      <c r="G186" s="640" t="s">
        <v>1500</v>
      </c>
      <c r="H186" s="640" t="s">
        <v>1501</v>
      </c>
      <c r="I186" s="642">
        <v>124.41000000000001</v>
      </c>
      <c r="J186" s="642">
        <v>25</v>
      </c>
      <c r="K186" s="643">
        <v>3110.18</v>
      </c>
    </row>
    <row r="187" spans="1:11" ht="14.4" customHeight="1" x14ac:dyDescent="0.3">
      <c r="A187" s="638" t="s">
        <v>537</v>
      </c>
      <c r="B187" s="639" t="s">
        <v>538</v>
      </c>
      <c r="C187" s="640" t="s">
        <v>550</v>
      </c>
      <c r="D187" s="641" t="s">
        <v>1129</v>
      </c>
      <c r="E187" s="640" t="s">
        <v>1688</v>
      </c>
      <c r="F187" s="641" t="s">
        <v>1689</v>
      </c>
      <c r="G187" s="640" t="s">
        <v>1382</v>
      </c>
      <c r="H187" s="640" t="s">
        <v>1383</v>
      </c>
      <c r="I187" s="642">
        <v>0.85499999999999998</v>
      </c>
      <c r="J187" s="642">
        <v>150</v>
      </c>
      <c r="K187" s="643">
        <v>128</v>
      </c>
    </row>
    <row r="188" spans="1:11" ht="14.4" customHeight="1" x14ac:dyDescent="0.3">
      <c r="A188" s="638" t="s">
        <v>537</v>
      </c>
      <c r="B188" s="639" t="s">
        <v>538</v>
      </c>
      <c r="C188" s="640" t="s">
        <v>550</v>
      </c>
      <c r="D188" s="641" t="s">
        <v>1129</v>
      </c>
      <c r="E188" s="640" t="s">
        <v>1688</v>
      </c>
      <c r="F188" s="641" t="s">
        <v>1689</v>
      </c>
      <c r="G188" s="640" t="s">
        <v>1502</v>
      </c>
      <c r="H188" s="640" t="s">
        <v>1503</v>
      </c>
      <c r="I188" s="642">
        <v>1.52</v>
      </c>
      <c r="J188" s="642">
        <v>100</v>
      </c>
      <c r="K188" s="643">
        <v>152</v>
      </c>
    </row>
    <row r="189" spans="1:11" ht="14.4" customHeight="1" x14ac:dyDescent="0.3">
      <c r="A189" s="638" t="s">
        <v>537</v>
      </c>
      <c r="B189" s="639" t="s">
        <v>538</v>
      </c>
      <c r="C189" s="640" t="s">
        <v>550</v>
      </c>
      <c r="D189" s="641" t="s">
        <v>1129</v>
      </c>
      <c r="E189" s="640" t="s">
        <v>1688</v>
      </c>
      <c r="F189" s="641" t="s">
        <v>1689</v>
      </c>
      <c r="G189" s="640" t="s">
        <v>1246</v>
      </c>
      <c r="H189" s="640" t="s">
        <v>1247</v>
      </c>
      <c r="I189" s="642">
        <v>0.31</v>
      </c>
      <c r="J189" s="642">
        <v>16800</v>
      </c>
      <c r="K189" s="643">
        <v>5215.5599999999995</v>
      </c>
    </row>
    <row r="190" spans="1:11" ht="14.4" customHeight="1" x14ac:dyDescent="0.3">
      <c r="A190" s="638" t="s">
        <v>537</v>
      </c>
      <c r="B190" s="639" t="s">
        <v>538</v>
      </c>
      <c r="C190" s="640" t="s">
        <v>550</v>
      </c>
      <c r="D190" s="641" t="s">
        <v>1129</v>
      </c>
      <c r="E190" s="640" t="s">
        <v>1688</v>
      </c>
      <c r="F190" s="641" t="s">
        <v>1689</v>
      </c>
      <c r="G190" s="640" t="s">
        <v>1504</v>
      </c>
      <c r="H190" s="640" t="s">
        <v>1505</v>
      </c>
      <c r="I190" s="642">
        <v>19.739999999999998</v>
      </c>
      <c r="J190" s="642">
        <v>42</v>
      </c>
      <c r="K190" s="643">
        <v>829.12</v>
      </c>
    </row>
    <row r="191" spans="1:11" ht="14.4" customHeight="1" x14ac:dyDescent="0.3">
      <c r="A191" s="638" t="s">
        <v>537</v>
      </c>
      <c r="B191" s="639" t="s">
        <v>538</v>
      </c>
      <c r="C191" s="640" t="s">
        <v>550</v>
      </c>
      <c r="D191" s="641" t="s">
        <v>1129</v>
      </c>
      <c r="E191" s="640" t="s">
        <v>1688</v>
      </c>
      <c r="F191" s="641" t="s">
        <v>1689</v>
      </c>
      <c r="G191" s="640" t="s">
        <v>1506</v>
      </c>
      <c r="H191" s="640" t="s">
        <v>1507</v>
      </c>
      <c r="I191" s="642">
        <v>834.62</v>
      </c>
      <c r="J191" s="642">
        <v>1</v>
      </c>
      <c r="K191" s="643">
        <v>834.62</v>
      </c>
    </row>
    <row r="192" spans="1:11" ht="14.4" customHeight="1" x14ac:dyDescent="0.3">
      <c r="A192" s="638" t="s">
        <v>537</v>
      </c>
      <c r="B192" s="639" t="s">
        <v>538</v>
      </c>
      <c r="C192" s="640" t="s">
        <v>550</v>
      </c>
      <c r="D192" s="641" t="s">
        <v>1129</v>
      </c>
      <c r="E192" s="640" t="s">
        <v>1688</v>
      </c>
      <c r="F192" s="641" t="s">
        <v>1689</v>
      </c>
      <c r="G192" s="640" t="s">
        <v>1508</v>
      </c>
      <c r="H192" s="640" t="s">
        <v>1509</v>
      </c>
      <c r="I192" s="642">
        <v>185.97499999999999</v>
      </c>
      <c r="J192" s="642">
        <v>2</v>
      </c>
      <c r="K192" s="643">
        <v>371.95</v>
      </c>
    </row>
    <row r="193" spans="1:11" ht="14.4" customHeight="1" x14ac:dyDescent="0.3">
      <c r="A193" s="638" t="s">
        <v>537</v>
      </c>
      <c r="B193" s="639" t="s">
        <v>538</v>
      </c>
      <c r="C193" s="640" t="s">
        <v>550</v>
      </c>
      <c r="D193" s="641" t="s">
        <v>1129</v>
      </c>
      <c r="E193" s="640" t="s">
        <v>1688</v>
      </c>
      <c r="F193" s="641" t="s">
        <v>1689</v>
      </c>
      <c r="G193" s="640" t="s">
        <v>1510</v>
      </c>
      <c r="H193" s="640" t="s">
        <v>1511</v>
      </c>
      <c r="I193" s="642">
        <v>61.75</v>
      </c>
      <c r="J193" s="642">
        <v>20</v>
      </c>
      <c r="K193" s="643">
        <v>1235.0999999999999</v>
      </c>
    </row>
    <row r="194" spans="1:11" ht="14.4" customHeight="1" x14ac:dyDescent="0.3">
      <c r="A194" s="638" t="s">
        <v>537</v>
      </c>
      <c r="B194" s="639" t="s">
        <v>538</v>
      </c>
      <c r="C194" s="640" t="s">
        <v>550</v>
      </c>
      <c r="D194" s="641" t="s">
        <v>1129</v>
      </c>
      <c r="E194" s="640" t="s">
        <v>1688</v>
      </c>
      <c r="F194" s="641" t="s">
        <v>1689</v>
      </c>
      <c r="G194" s="640" t="s">
        <v>1386</v>
      </c>
      <c r="H194" s="640" t="s">
        <v>1387</v>
      </c>
      <c r="I194" s="642">
        <v>114.79249999999999</v>
      </c>
      <c r="J194" s="642">
        <v>4</v>
      </c>
      <c r="K194" s="643">
        <v>459.16999999999996</v>
      </c>
    </row>
    <row r="195" spans="1:11" ht="14.4" customHeight="1" x14ac:dyDescent="0.3">
      <c r="A195" s="638" t="s">
        <v>537</v>
      </c>
      <c r="B195" s="639" t="s">
        <v>538</v>
      </c>
      <c r="C195" s="640" t="s">
        <v>550</v>
      </c>
      <c r="D195" s="641" t="s">
        <v>1129</v>
      </c>
      <c r="E195" s="640" t="s">
        <v>1688</v>
      </c>
      <c r="F195" s="641" t="s">
        <v>1689</v>
      </c>
      <c r="G195" s="640" t="s">
        <v>1512</v>
      </c>
      <c r="H195" s="640" t="s">
        <v>1513</v>
      </c>
      <c r="I195" s="642">
        <v>1.06</v>
      </c>
      <c r="J195" s="642">
        <v>650</v>
      </c>
      <c r="K195" s="643">
        <v>686.21</v>
      </c>
    </row>
    <row r="196" spans="1:11" ht="14.4" customHeight="1" x14ac:dyDescent="0.3">
      <c r="A196" s="638" t="s">
        <v>537</v>
      </c>
      <c r="B196" s="639" t="s">
        <v>538</v>
      </c>
      <c r="C196" s="640" t="s">
        <v>550</v>
      </c>
      <c r="D196" s="641" t="s">
        <v>1129</v>
      </c>
      <c r="E196" s="640" t="s">
        <v>1688</v>
      </c>
      <c r="F196" s="641" t="s">
        <v>1689</v>
      </c>
      <c r="G196" s="640" t="s">
        <v>1514</v>
      </c>
      <c r="H196" s="640" t="s">
        <v>1515</v>
      </c>
      <c r="I196" s="642">
        <v>125.47</v>
      </c>
      <c r="J196" s="642">
        <v>10</v>
      </c>
      <c r="K196" s="643">
        <v>1254.7</v>
      </c>
    </row>
    <row r="197" spans="1:11" ht="14.4" customHeight="1" x14ac:dyDescent="0.3">
      <c r="A197" s="638" t="s">
        <v>537</v>
      </c>
      <c r="B197" s="639" t="s">
        <v>538</v>
      </c>
      <c r="C197" s="640" t="s">
        <v>550</v>
      </c>
      <c r="D197" s="641" t="s">
        <v>1129</v>
      </c>
      <c r="E197" s="640" t="s">
        <v>1688</v>
      </c>
      <c r="F197" s="641" t="s">
        <v>1689</v>
      </c>
      <c r="G197" s="640" t="s">
        <v>1516</v>
      </c>
      <c r="H197" s="640" t="s">
        <v>1517</v>
      </c>
      <c r="I197" s="642">
        <v>21.78</v>
      </c>
      <c r="J197" s="642">
        <v>150</v>
      </c>
      <c r="K197" s="643">
        <v>3267</v>
      </c>
    </row>
    <row r="198" spans="1:11" ht="14.4" customHeight="1" x14ac:dyDescent="0.3">
      <c r="A198" s="638" t="s">
        <v>537</v>
      </c>
      <c r="B198" s="639" t="s">
        <v>538</v>
      </c>
      <c r="C198" s="640" t="s">
        <v>550</v>
      </c>
      <c r="D198" s="641" t="s">
        <v>1129</v>
      </c>
      <c r="E198" s="640" t="s">
        <v>1688</v>
      </c>
      <c r="F198" s="641" t="s">
        <v>1689</v>
      </c>
      <c r="G198" s="640" t="s">
        <v>1518</v>
      </c>
      <c r="H198" s="640" t="s">
        <v>1519</v>
      </c>
      <c r="I198" s="642">
        <v>23.23</v>
      </c>
      <c r="J198" s="642">
        <v>100</v>
      </c>
      <c r="K198" s="643">
        <v>2323</v>
      </c>
    </row>
    <row r="199" spans="1:11" ht="14.4" customHeight="1" x14ac:dyDescent="0.3">
      <c r="A199" s="638" t="s">
        <v>537</v>
      </c>
      <c r="B199" s="639" t="s">
        <v>538</v>
      </c>
      <c r="C199" s="640" t="s">
        <v>550</v>
      </c>
      <c r="D199" s="641" t="s">
        <v>1129</v>
      </c>
      <c r="E199" s="640" t="s">
        <v>1688</v>
      </c>
      <c r="F199" s="641" t="s">
        <v>1689</v>
      </c>
      <c r="G199" s="640" t="s">
        <v>1520</v>
      </c>
      <c r="H199" s="640" t="s">
        <v>1521</v>
      </c>
      <c r="I199" s="642">
        <v>53.43</v>
      </c>
      <c r="J199" s="642">
        <v>12</v>
      </c>
      <c r="K199" s="643">
        <v>641.1</v>
      </c>
    </row>
    <row r="200" spans="1:11" ht="14.4" customHeight="1" x14ac:dyDescent="0.3">
      <c r="A200" s="638" t="s">
        <v>537</v>
      </c>
      <c r="B200" s="639" t="s">
        <v>538</v>
      </c>
      <c r="C200" s="640" t="s">
        <v>550</v>
      </c>
      <c r="D200" s="641" t="s">
        <v>1129</v>
      </c>
      <c r="E200" s="640" t="s">
        <v>1688</v>
      </c>
      <c r="F200" s="641" t="s">
        <v>1689</v>
      </c>
      <c r="G200" s="640" t="s">
        <v>1522</v>
      </c>
      <c r="H200" s="640" t="s">
        <v>1523</v>
      </c>
      <c r="I200" s="642">
        <v>17.420000000000002</v>
      </c>
      <c r="J200" s="642">
        <v>250</v>
      </c>
      <c r="K200" s="643">
        <v>4356</v>
      </c>
    </row>
    <row r="201" spans="1:11" ht="14.4" customHeight="1" x14ac:dyDescent="0.3">
      <c r="A201" s="638" t="s">
        <v>537</v>
      </c>
      <c r="B201" s="639" t="s">
        <v>538</v>
      </c>
      <c r="C201" s="640" t="s">
        <v>550</v>
      </c>
      <c r="D201" s="641" t="s">
        <v>1129</v>
      </c>
      <c r="E201" s="640" t="s">
        <v>1688</v>
      </c>
      <c r="F201" s="641" t="s">
        <v>1689</v>
      </c>
      <c r="G201" s="640" t="s">
        <v>1524</v>
      </c>
      <c r="H201" s="640" t="s">
        <v>1525</v>
      </c>
      <c r="I201" s="642">
        <v>43.31</v>
      </c>
      <c r="J201" s="642">
        <v>70</v>
      </c>
      <c r="K201" s="643">
        <v>3031.7</v>
      </c>
    </row>
    <row r="202" spans="1:11" ht="14.4" customHeight="1" x14ac:dyDescent="0.3">
      <c r="A202" s="638" t="s">
        <v>537</v>
      </c>
      <c r="B202" s="639" t="s">
        <v>538</v>
      </c>
      <c r="C202" s="640" t="s">
        <v>550</v>
      </c>
      <c r="D202" s="641" t="s">
        <v>1129</v>
      </c>
      <c r="E202" s="640" t="s">
        <v>1688</v>
      </c>
      <c r="F202" s="641" t="s">
        <v>1689</v>
      </c>
      <c r="G202" s="640" t="s">
        <v>1526</v>
      </c>
      <c r="H202" s="640" t="s">
        <v>1527</v>
      </c>
      <c r="I202" s="642">
        <v>5.17</v>
      </c>
      <c r="J202" s="642">
        <v>100</v>
      </c>
      <c r="K202" s="643">
        <v>517.5</v>
      </c>
    </row>
    <row r="203" spans="1:11" ht="14.4" customHeight="1" x14ac:dyDescent="0.3">
      <c r="A203" s="638" t="s">
        <v>537</v>
      </c>
      <c r="B203" s="639" t="s">
        <v>538</v>
      </c>
      <c r="C203" s="640" t="s">
        <v>550</v>
      </c>
      <c r="D203" s="641" t="s">
        <v>1129</v>
      </c>
      <c r="E203" s="640" t="s">
        <v>1688</v>
      </c>
      <c r="F203" s="641" t="s">
        <v>1689</v>
      </c>
      <c r="G203" s="640" t="s">
        <v>1528</v>
      </c>
      <c r="H203" s="640" t="s">
        <v>1529</v>
      </c>
      <c r="I203" s="642">
        <v>67.52</v>
      </c>
      <c r="J203" s="642">
        <v>100</v>
      </c>
      <c r="K203" s="643">
        <v>6751.75</v>
      </c>
    </row>
    <row r="204" spans="1:11" ht="14.4" customHeight="1" x14ac:dyDescent="0.3">
      <c r="A204" s="638" t="s">
        <v>537</v>
      </c>
      <c r="B204" s="639" t="s">
        <v>538</v>
      </c>
      <c r="C204" s="640" t="s">
        <v>550</v>
      </c>
      <c r="D204" s="641" t="s">
        <v>1129</v>
      </c>
      <c r="E204" s="640" t="s">
        <v>1688</v>
      </c>
      <c r="F204" s="641" t="s">
        <v>1689</v>
      </c>
      <c r="G204" s="640" t="s">
        <v>1388</v>
      </c>
      <c r="H204" s="640" t="s">
        <v>1389</v>
      </c>
      <c r="I204" s="642">
        <v>5.1724999999999994</v>
      </c>
      <c r="J204" s="642">
        <v>600</v>
      </c>
      <c r="K204" s="643">
        <v>3105.5</v>
      </c>
    </row>
    <row r="205" spans="1:11" ht="14.4" customHeight="1" x14ac:dyDescent="0.3">
      <c r="A205" s="638" t="s">
        <v>537</v>
      </c>
      <c r="B205" s="639" t="s">
        <v>538</v>
      </c>
      <c r="C205" s="640" t="s">
        <v>550</v>
      </c>
      <c r="D205" s="641" t="s">
        <v>1129</v>
      </c>
      <c r="E205" s="640" t="s">
        <v>1690</v>
      </c>
      <c r="F205" s="641" t="s">
        <v>1691</v>
      </c>
      <c r="G205" s="640" t="s">
        <v>1530</v>
      </c>
      <c r="H205" s="640" t="s">
        <v>1531</v>
      </c>
      <c r="I205" s="642">
        <v>11.676666666666668</v>
      </c>
      <c r="J205" s="642">
        <v>120</v>
      </c>
      <c r="K205" s="643">
        <v>1401.27</v>
      </c>
    </row>
    <row r="206" spans="1:11" ht="14.4" customHeight="1" x14ac:dyDescent="0.3">
      <c r="A206" s="638" t="s">
        <v>537</v>
      </c>
      <c r="B206" s="639" t="s">
        <v>538</v>
      </c>
      <c r="C206" s="640" t="s">
        <v>550</v>
      </c>
      <c r="D206" s="641" t="s">
        <v>1129</v>
      </c>
      <c r="E206" s="640" t="s">
        <v>1690</v>
      </c>
      <c r="F206" s="641" t="s">
        <v>1691</v>
      </c>
      <c r="G206" s="640" t="s">
        <v>1248</v>
      </c>
      <c r="H206" s="640" t="s">
        <v>1249</v>
      </c>
      <c r="I206" s="642">
        <v>16.397500000000001</v>
      </c>
      <c r="J206" s="642">
        <v>2000</v>
      </c>
      <c r="K206" s="643">
        <v>32789.019999999997</v>
      </c>
    </row>
    <row r="207" spans="1:11" ht="14.4" customHeight="1" x14ac:dyDescent="0.3">
      <c r="A207" s="638" t="s">
        <v>537</v>
      </c>
      <c r="B207" s="639" t="s">
        <v>538</v>
      </c>
      <c r="C207" s="640" t="s">
        <v>550</v>
      </c>
      <c r="D207" s="641" t="s">
        <v>1129</v>
      </c>
      <c r="E207" s="640" t="s">
        <v>1690</v>
      </c>
      <c r="F207" s="641" t="s">
        <v>1691</v>
      </c>
      <c r="G207" s="640" t="s">
        <v>1532</v>
      </c>
      <c r="H207" s="640" t="s">
        <v>1533</v>
      </c>
      <c r="I207" s="642">
        <v>260.14999999999998</v>
      </c>
      <c r="J207" s="642">
        <v>36</v>
      </c>
      <c r="K207" s="643">
        <v>9365.4</v>
      </c>
    </row>
    <row r="208" spans="1:11" ht="14.4" customHeight="1" x14ac:dyDescent="0.3">
      <c r="A208" s="638" t="s">
        <v>537</v>
      </c>
      <c r="B208" s="639" t="s">
        <v>538</v>
      </c>
      <c r="C208" s="640" t="s">
        <v>550</v>
      </c>
      <c r="D208" s="641" t="s">
        <v>1129</v>
      </c>
      <c r="E208" s="640" t="s">
        <v>1690</v>
      </c>
      <c r="F208" s="641" t="s">
        <v>1691</v>
      </c>
      <c r="G208" s="640" t="s">
        <v>1250</v>
      </c>
      <c r="H208" s="640" t="s">
        <v>1251</v>
      </c>
      <c r="I208" s="642">
        <v>15.924999999999999</v>
      </c>
      <c r="J208" s="642">
        <v>650</v>
      </c>
      <c r="K208" s="643">
        <v>10352</v>
      </c>
    </row>
    <row r="209" spans="1:11" ht="14.4" customHeight="1" x14ac:dyDescent="0.3">
      <c r="A209" s="638" t="s">
        <v>537</v>
      </c>
      <c r="B209" s="639" t="s">
        <v>538</v>
      </c>
      <c r="C209" s="640" t="s">
        <v>550</v>
      </c>
      <c r="D209" s="641" t="s">
        <v>1129</v>
      </c>
      <c r="E209" s="640" t="s">
        <v>1690</v>
      </c>
      <c r="F209" s="641" t="s">
        <v>1691</v>
      </c>
      <c r="G209" s="640" t="s">
        <v>1252</v>
      </c>
      <c r="H209" s="640" t="s">
        <v>1253</v>
      </c>
      <c r="I209" s="642">
        <v>2.5299999999999998</v>
      </c>
      <c r="J209" s="642">
        <v>700</v>
      </c>
      <c r="K209" s="643">
        <v>1771</v>
      </c>
    </row>
    <row r="210" spans="1:11" ht="14.4" customHeight="1" x14ac:dyDescent="0.3">
      <c r="A210" s="638" t="s">
        <v>537</v>
      </c>
      <c r="B210" s="639" t="s">
        <v>538</v>
      </c>
      <c r="C210" s="640" t="s">
        <v>550</v>
      </c>
      <c r="D210" s="641" t="s">
        <v>1129</v>
      </c>
      <c r="E210" s="640" t="s">
        <v>1690</v>
      </c>
      <c r="F210" s="641" t="s">
        <v>1691</v>
      </c>
      <c r="G210" s="640" t="s">
        <v>1254</v>
      </c>
      <c r="H210" s="640" t="s">
        <v>1255</v>
      </c>
      <c r="I210" s="642">
        <v>30.25</v>
      </c>
      <c r="J210" s="642">
        <v>850</v>
      </c>
      <c r="K210" s="643">
        <v>25713.05</v>
      </c>
    </row>
    <row r="211" spans="1:11" ht="14.4" customHeight="1" x14ac:dyDescent="0.3">
      <c r="A211" s="638" t="s">
        <v>537</v>
      </c>
      <c r="B211" s="639" t="s">
        <v>538</v>
      </c>
      <c r="C211" s="640" t="s">
        <v>550</v>
      </c>
      <c r="D211" s="641" t="s">
        <v>1129</v>
      </c>
      <c r="E211" s="640" t="s">
        <v>1690</v>
      </c>
      <c r="F211" s="641" t="s">
        <v>1691</v>
      </c>
      <c r="G211" s="640" t="s">
        <v>1256</v>
      </c>
      <c r="H211" s="640" t="s">
        <v>1257</v>
      </c>
      <c r="I211" s="642">
        <v>2.7512499999999998</v>
      </c>
      <c r="J211" s="642">
        <v>2800</v>
      </c>
      <c r="K211" s="643">
        <v>7706</v>
      </c>
    </row>
    <row r="212" spans="1:11" ht="14.4" customHeight="1" x14ac:dyDescent="0.3">
      <c r="A212" s="638" t="s">
        <v>537</v>
      </c>
      <c r="B212" s="639" t="s">
        <v>538</v>
      </c>
      <c r="C212" s="640" t="s">
        <v>550</v>
      </c>
      <c r="D212" s="641" t="s">
        <v>1129</v>
      </c>
      <c r="E212" s="640" t="s">
        <v>1690</v>
      </c>
      <c r="F212" s="641" t="s">
        <v>1691</v>
      </c>
      <c r="G212" s="640" t="s">
        <v>1392</v>
      </c>
      <c r="H212" s="640" t="s">
        <v>1393</v>
      </c>
      <c r="I212" s="642">
        <v>7.4285714285714288</v>
      </c>
      <c r="J212" s="642">
        <v>1200</v>
      </c>
      <c r="K212" s="643">
        <v>8913</v>
      </c>
    </row>
    <row r="213" spans="1:11" ht="14.4" customHeight="1" x14ac:dyDescent="0.3">
      <c r="A213" s="638" t="s">
        <v>537</v>
      </c>
      <c r="B213" s="639" t="s">
        <v>538</v>
      </c>
      <c r="C213" s="640" t="s">
        <v>550</v>
      </c>
      <c r="D213" s="641" t="s">
        <v>1129</v>
      </c>
      <c r="E213" s="640" t="s">
        <v>1690</v>
      </c>
      <c r="F213" s="641" t="s">
        <v>1691</v>
      </c>
      <c r="G213" s="640" t="s">
        <v>1534</v>
      </c>
      <c r="H213" s="640" t="s">
        <v>1535</v>
      </c>
      <c r="I213" s="642">
        <v>6.31</v>
      </c>
      <c r="J213" s="642">
        <v>600</v>
      </c>
      <c r="K213" s="643">
        <v>3787.03</v>
      </c>
    </row>
    <row r="214" spans="1:11" ht="14.4" customHeight="1" x14ac:dyDescent="0.3">
      <c r="A214" s="638" t="s">
        <v>537</v>
      </c>
      <c r="B214" s="639" t="s">
        <v>538</v>
      </c>
      <c r="C214" s="640" t="s">
        <v>550</v>
      </c>
      <c r="D214" s="641" t="s">
        <v>1129</v>
      </c>
      <c r="E214" s="640" t="s">
        <v>1690</v>
      </c>
      <c r="F214" s="641" t="s">
        <v>1691</v>
      </c>
      <c r="G214" s="640" t="s">
        <v>1258</v>
      </c>
      <c r="H214" s="640" t="s">
        <v>1259</v>
      </c>
      <c r="I214" s="642">
        <v>4.1850000000000005</v>
      </c>
      <c r="J214" s="642">
        <v>200</v>
      </c>
      <c r="K214" s="643">
        <v>837</v>
      </c>
    </row>
    <row r="215" spans="1:11" ht="14.4" customHeight="1" x14ac:dyDescent="0.3">
      <c r="A215" s="638" t="s">
        <v>537</v>
      </c>
      <c r="B215" s="639" t="s">
        <v>538</v>
      </c>
      <c r="C215" s="640" t="s">
        <v>550</v>
      </c>
      <c r="D215" s="641" t="s">
        <v>1129</v>
      </c>
      <c r="E215" s="640" t="s">
        <v>1690</v>
      </c>
      <c r="F215" s="641" t="s">
        <v>1691</v>
      </c>
      <c r="G215" s="640" t="s">
        <v>1260</v>
      </c>
      <c r="H215" s="640" t="s">
        <v>1261</v>
      </c>
      <c r="I215" s="642">
        <v>1.0900000000000001</v>
      </c>
      <c r="J215" s="642">
        <v>3700</v>
      </c>
      <c r="K215" s="643">
        <v>4033</v>
      </c>
    </row>
    <row r="216" spans="1:11" ht="14.4" customHeight="1" x14ac:dyDescent="0.3">
      <c r="A216" s="638" t="s">
        <v>537</v>
      </c>
      <c r="B216" s="639" t="s">
        <v>538</v>
      </c>
      <c r="C216" s="640" t="s">
        <v>550</v>
      </c>
      <c r="D216" s="641" t="s">
        <v>1129</v>
      </c>
      <c r="E216" s="640" t="s">
        <v>1690</v>
      </c>
      <c r="F216" s="641" t="s">
        <v>1691</v>
      </c>
      <c r="G216" s="640" t="s">
        <v>1262</v>
      </c>
      <c r="H216" s="640" t="s">
        <v>1263</v>
      </c>
      <c r="I216" s="642">
        <v>1.6742857142857142</v>
      </c>
      <c r="J216" s="642">
        <v>10900</v>
      </c>
      <c r="K216" s="643">
        <v>18244</v>
      </c>
    </row>
    <row r="217" spans="1:11" ht="14.4" customHeight="1" x14ac:dyDescent="0.3">
      <c r="A217" s="638" t="s">
        <v>537</v>
      </c>
      <c r="B217" s="639" t="s">
        <v>538</v>
      </c>
      <c r="C217" s="640" t="s">
        <v>550</v>
      </c>
      <c r="D217" s="641" t="s">
        <v>1129</v>
      </c>
      <c r="E217" s="640" t="s">
        <v>1690</v>
      </c>
      <c r="F217" s="641" t="s">
        <v>1691</v>
      </c>
      <c r="G217" s="640" t="s">
        <v>1264</v>
      </c>
      <c r="H217" s="640" t="s">
        <v>1265</v>
      </c>
      <c r="I217" s="642">
        <v>0.4757142857142857</v>
      </c>
      <c r="J217" s="642">
        <v>7400</v>
      </c>
      <c r="K217" s="643">
        <v>3516</v>
      </c>
    </row>
    <row r="218" spans="1:11" ht="14.4" customHeight="1" x14ac:dyDescent="0.3">
      <c r="A218" s="638" t="s">
        <v>537</v>
      </c>
      <c r="B218" s="639" t="s">
        <v>538</v>
      </c>
      <c r="C218" s="640" t="s">
        <v>550</v>
      </c>
      <c r="D218" s="641" t="s">
        <v>1129</v>
      </c>
      <c r="E218" s="640" t="s">
        <v>1690</v>
      </c>
      <c r="F218" s="641" t="s">
        <v>1691</v>
      </c>
      <c r="G218" s="640" t="s">
        <v>1266</v>
      </c>
      <c r="H218" s="640" t="s">
        <v>1267</v>
      </c>
      <c r="I218" s="642">
        <v>0.67</v>
      </c>
      <c r="J218" s="642">
        <v>4100</v>
      </c>
      <c r="K218" s="643">
        <v>2747</v>
      </c>
    </row>
    <row r="219" spans="1:11" ht="14.4" customHeight="1" x14ac:dyDescent="0.3">
      <c r="A219" s="638" t="s">
        <v>537</v>
      </c>
      <c r="B219" s="639" t="s">
        <v>538</v>
      </c>
      <c r="C219" s="640" t="s">
        <v>550</v>
      </c>
      <c r="D219" s="641" t="s">
        <v>1129</v>
      </c>
      <c r="E219" s="640" t="s">
        <v>1690</v>
      </c>
      <c r="F219" s="641" t="s">
        <v>1691</v>
      </c>
      <c r="G219" s="640" t="s">
        <v>1268</v>
      </c>
      <c r="H219" s="640" t="s">
        <v>1269</v>
      </c>
      <c r="I219" s="642">
        <v>3.7400000000000011</v>
      </c>
      <c r="J219" s="642">
        <v>700</v>
      </c>
      <c r="K219" s="643">
        <v>2618</v>
      </c>
    </row>
    <row r="220" spans="1:11" ht="14.4" customHeight="1" x14ac:dyDescent="0.3">
      <c r="A220" s="638" t="s">
        <v>537</v>
      </c>
      <c r="B220" s="639" t="s">
        <v>538</v>
      </c>
      <c r="C220" s="640" t="s">
        <v>550</v>
      </c>
      <c r="D220" s="641" t="s">
        <v>1129</v>
      </c>
      <c r="E220" s="640" t="s">
        <v>1690</v>
      </c>
      <c r="F220" s="641" t="s">
        <v>1691</v>
      </c>
      <c r="G220" s="640" t="s">
        <v>1536</v>
      </c>
      <c r="H220" s="640" t="s">
        <v>1537</v>
      </c>
      <c r="I220" s="642">
        <v>81.734999999999999</v>
      </c>
      <c r="J220" s="642">
        <v>135</v>
      </c>
      <c r="K220" s="643">
        <v>11034.54</v>
      </c>
    </row>
    <row r="221" spans="1:11" ht="14.4" customHeight="1" x14ac:dyDescent="0.3">
      <c r="A221" s="638" t="s">
        <v>537</v>
      </c>
      <c r="B221" s="639" t="s">
        <v>538</v>
      </c>
      <c r="C221" s="640" t="s">
        <v>550</v>
      </c>
      <c r="D221" s="641" t="s">
        <v>1129</v>
      </c>
      <c r="E221" s="640" t="s">
        <v>1690</v>
      </c>
      <c r="F221" s="641" t="s">
        <v>1691</v>
      </c>
      <c r="G221" s="640" t="s">
        <v>1538</v>
      </c>
      <c r="H221" s="640" t="s">
        <v>1539</v>
      </c>
      <c r="I221" s="642">
        <v>80.574999999999989</v>
      </c>
      <c r="J221" s="642">
        <v>18</v>
      </c>
      <c r="K221" s="643">
        <v>1450.27</v>
      </c>
    </row>
    <row r="222" spans="1:11" ht="14.4" customHeight="1" x14ac:dyDescent="0.3">
      <c r="A222" s="638" t="s">
        <v>537</v>
      </c>
      <c r="B222" s="639" t="s">
        <v>538</v>
      </c>
      <c r="C222" s="640" t="s">
        <v>550</v>
      </c>
      <c r="D222" s="641" t="s">
        <v>1129</v>
      </c>
      <c r="E222" s="640" t="s">
        <v>1690</v>
      </c>
      <c r="F222" s="641" t="s">
        <v>1691</v>
      </c>
      <c r="G222" s="640" t="s">
        <v>1540</v>
      </c>
      <c r="H222" s="640" t="s">
        <v>1541</v>
      </c>
      <c r="I222" s="642">
        <v>30.25</v>
      </c>
      <c r="J222" s="642">
        <v>100</v>
      </c>
      <c r="K222" s="643">
        <v>3025</v>
      </c>
    </row>
    <row r="223" spans="1:11" ht="14.4" customHeight="1" x14ac:dyDescent="0.3">
      <c r="A223" s="638" t="s">
        <v>537</v>
      </c>
      <c r="B223" s="639" t="s">
        <v>538</v>
      </c>
      <c r="C223" s="640" t="s">
        <v>550</v>
      </c>
      <c r="D223" s="641" t="s">
        <v>1129</v>
      </c>
      <c r="E223" s="640" t="s">
        <v>1690</v>
      </c>
      <c r="F223" s="641" t="s">
        <v>1691</v>
      </c>
      <c r="G223" s="640" t="s">
        <v>1272</v>
      </c>
      <c r="H223" s="640" t="s">
        <v>1273</v>
      </c>
      <c r="I223" s="642">
        <v>32.670000000000009</v>
      </c>
      <c r="J223" s="642">
        <v>750</v>
      </c>
      <c r="K223" s="643">
        <v>24502.5</v>
      </c>
    </row>
    <row r="224" spans="1:11" ht="14.4" customHeight="1" x14ac:dyDescent="0.3">
      <c r="A224" s="638" t="s">
        <v>537</v>
      </c>
      <c r="B224" s="639" t="s">
        <v>538</v>
      </c>
      <c r="C224" s="640" t="s">
        <v>550</v>
      </c>
      <c r="D224" s="641" t="s">
        <v>1129</v>
      </c>
      <c r="E224" s="640" t="s">
        <v>1690</v>
      </c>
      <c r="F224" s="641" t="s">
        <v>1691</v>
      </c>
      <c r="G224" s="640" t="s">
        <v>1542</v>
      </c>
      <c r="H224" s="640" t="s">
        <v>1543</v>
      </c>
      <c r="I224" s="642">
        <v>108.3</v>
      </c>
      <c r="J224" s="642">
        <v>100</v>
      </c>
      <c r="K224" s="643">
        <v>10829.5</v>
      </c>
    </row>
    <row r="225" spans="1:11" ht="14.4" customHeight="1" x14ac:dyDescent="0.3">
      <c r="A225" s="638" t="s">
        <v>537</v>
      </c>
      <c r="B225" s="639" t="s">
        <v>538</v>
      </c>
      <c r="C225" s="640" t="s">
        <v>550</v>
      </c>
      <c r="D225" s="641" t="s">
        <v>1129</v>
      </c>
      <c r="E225" s="640" t="s">
        <v>1690</v>
      </c>
      <c r="F225" s="641" t="s">
        <v>1691</v>
      </c>
      <c r="G225" s="640" t="s">
        <v>1544</v>
      </c>
      <c r="H225" s="640" t="s">
        <v>1545</v>
      </c>
      <c r="I225" s="642">
        <v>2.67</v>
      </c>
      <c r="J225" s="642">
        <v>100</v>
      </c>
      <c r="K225" s="643">
        <v>267.42</v>
      </c>
    </row>
    <row r="226" spans="1:11" ht="14.4" customHeight="1" x14ac:dyDescent="0.3">
      <c r="A226" s="638" t="s">
        <v>537</v>
      </c>
      <c r="B226" s="639" t="s">
        <v>538</v>
      </c>
      <c r="C226" s="640" t="s">
        <v>550</v>
      </c>
      <c r="D226" s="641" t="s">
        <v>1129</v>
      </c>
      <c r="E226" s="640" t="s">
        <v>1690</v>
      </c>
      <c r="F226" s="641" t="s">
        <v>1691</v>
      </c>
      <c r="G226" s="640" t="s">
        <v>1274</v>
      </c>
      <c r="H226" s="640" t="s">
        <v>1275</v>
      </c>
      <c r="I226" s="642">
        <v>26.016666666666666</v>
      </c>
      <c r="J226" s="642">
        <v>2600</v>
      </c>
      <c r="K226" s="643">
        <v>67645.600000000006</v>
      </c>
    </row>
    <row r="227" spans="1:11" ht="14.4" customHeight="1" x14ac:dyDescent="0.3">
      <c r="A227" s="638" t="s">
        <v>537</v>
      </c>
      <c r="B227" s="639" t="s">
        <v>538</v>
      </c>
      <c r="C227" s="640" t="s">
        <v>550</v>
      </c>
      <c r="D227" s="641" t="s">
        <v>1129</v>
      </c>
      <c r="E227" s="640" t="s">
        <v>1690</v>
      </c>
      <c r="F227" s="641" t="s">
        <v>1691</v>
      </c>
      <c r="G227" s="640" t="s">
        <v>1394</v>
      </c>
      <c r="H227" s="640" t="s">
        <v>1395</v>
      </c>
      <c r="I227" s="642">
        <v>14.299999999999999</v>
      </c>
      <c r="J227" s="642">
        <v>180</v>
      </c>
      <c r="K227" s="643">
        <v>2574.34</v>
      </c>
    </row>
    <row r="228" spans="1:11" ht="14.4" customHeight="1" x14ac:dyDescent="0.3">
      <c r="A228" s="638" t="s">
        <v>537</v>
      </c>
      <c r="B228" s="639" t="s">
        <v>538</v>
      </c>
      <c r="C228" s="640" t="s">
        <v>550</v>
      </c>
      <c r="D228" s="641" t="s">
        <v>1129</v>
      </c>
      <c r="E228" s="640" t="s">
        <v>1690</v>
      </c>
      <c r="F228" s="641" t="s">
        <v>1691</v>
      </c>
      <c r="G228" s="640" t="s">
        <v>1276</v>
      </c>
      <c r="H228" s="640" t="s">
        <v>1277</v>
      </c>
      <c r="I228" s="642">
        <v>9.15</v>
      </c>
      <c r="J228" s="642">
        <v>1800</v>
      </c>
      <c r="K228" s="643">
        <v>16463.72</v>
      </c>
    </row>
    <row r="229" spans="1:11" ht="14.4" customHeight="1" x14ac:dyDescent="0.3">
      <c r="A229" s="638" t="s">
        <v>537</v>
      </c>
      <c r="B229" s="639" t="s">
        <v>538</v>
      </c>
      <c r="C229" s="640" t="s">
        <v>550</v>
      </c>
      <c r="D229" s="641" t="s">
        <v>1129</v>
      </c>
      <c r="E229" s="640" t="s">
        <v>1690</v>
      </c>
      <c r="F229" s="641" t="s">
        <v>1691</v>
      </c>
      <c r="G229" s="640" t="s">
        <v>1278</v>
      </c>
      <c r="H229" s="640" t="s">
        <v>1279</v>
      </c>
      <c r="I229" s="642">
        <v>4.8</v>
      </c>
      <c r="J229" s="642">
        <v>2300</v>
      </c>
      <c r="K229" s="643">
        <v>11039.58</v>
      </c>
    </row>
    <row r="230" spans="1:11" ht="14.4" customHeight="1" x14ac:dyDescent="0.3">
      <c r="A230" s="638" t="s">
        <v>537</v>
      </c>
      <c r="B230" s="639" t="s">
        <v>538</v>
      </c>
      <c r="C230" s="640" t="s">
        <v>550</v>
      </c>
      <c r="D230" s="641" t="s">
        <v>1129</v>
      </c>
      <c r="E230" s="640" t="s">
        <v>1690</v>
      </c>
      <c r="F230" s="641" t="s">
        <v>1691</v>
      </c>
      <c r="G230" s="640" t="s">
        <v>1546</v>
      </c>
      <c r="H230" s="640" t="s">
        <v>1547</v>
      </c>
      <c r="I230" s="642">
        <v>206.04666666666665</v>
      </c>
      <c r="J230" s="642">
        <v>4</v>
      </c>
      <c r="K230" s="643">
        <v>824.18000000000006</v>
      </c>
    </row>
    <row r="231" spans="1:11" ht="14.4" customHeight="1" x14ac:dyDescent="0.3">
      <c r="A231" s="638" t="s">
        <v>537</v>
      </c>
      <c r="B231" s="639" t="s">
        <v>538</v>
      </c>
      <c r="C231" s="640" t="s">
        <v>550</v>
      </c>
      <c r="D231" s="641" t="s">
        <v>1129</v>
      </c>
      <c r="E231" s="640" t="s">
        <v>1690</v>
      </c>
      <c r="F231" s="641" t="s">
        <v>1691</v>
      </c>
      <c r="G231" s="640" t="s">
        <v>1396</v>
      </c>
      <c r="H231" s="640" t="s">
        <v>1397</v>
      </c>
      <c r="I231" s="642">
        <v>2.63</v>
      </c>
      <c r="J231" s="642">
        <v>100</v>
      </c>
      <c r="K231" s="643">
        <v>263</v>
      </c>
    </row>
    <row r="232" spans="1:11" ht="14.4" customHeight="1" x14ac:dyDescent="0.3">
      <c r="A232" s="638" t="s">
        <v>537</v>
      </c>
      <c r="B232" s="639" t="s">
        <v>538</v>
      </c>
      <c r="C232" s="640" t="s">
        <v>550</v>
      </c>
      <c r="D232" s="641" t="s">
        <v>1129</v>
      </c>
      <c r="E232" s="640" t="s">
        <v>1690</v>
      </c>
      <c r="F232" s="641" t="s">
        <v>1691</v>
      </c>
      <c r="G232" s="640" t="s">
        <v>1548</v>
      </c>
      <c r="H232" s="640" t="s">
        <v>1549</v>
      </c>
      <c r="I232" s="642">
        <v>16.452000000000002</v>
      </c>
      <c r="J232" s="642">
        <v>60</v>
      </c>
      <c r="K232" s="643">
        <v>987.1</v>
      </c>
    </row>
    <row r="233" spans="1:11" ht="14.4" customHeight="1" x14ac:dyDescent="0.3">
      <c r="A233" s="638" t="s">
        <v>537</v>
      </c>
      <c r="B233" s="639" t="s">
        <v>538</v>
      </c>
      <c r="C233" s="640" t="s">
        <v>550</v>
      </c>
      <c r="D233" s="641" t="s">
        <v>1129</v>
      </c>
      <c r="E233" s="640" t="s">
        <v>1690</v>
      </c>
      <c r="F233" s="641" t="s">
        <v>1691</v>
      </c>
      <c r="G233" s="640" t="s">
        <v>1280</v>
      </c>
      <c r="H233" s="640" t="s">
        <v>1281</v>
      </c>
      <c r="I233" s="642">
        <v>26.013333333333332</v>
      </c>
      <c r="J233" s="642">
        <v>1000</v>
      </c>
      <c r="K233" s="643">
        <v>26015.000000000004</v>
      </c>
    </row>
    <row r="234" spans="1:11" ht="14.4" customHeight="1" x14ac:dyDescent="0.3">
      <c r="A234" s="638" t="s">
        <v>537</v>
      </c>
      <c r="B234" s="639" t="s">
        <v>538</v>
      </c>
      <c r="C234" s="640" t="s">
        <v>550</v>
      </c>
      <c r="D234" s="641" t="s">
        <v>1129</v>
      </c>
      <c r="E234" s="640" t="s">
        <v>1690</v>
      </c>
      <c r="F234" s="641" t="s">
        <v>1691</v>
      </c>
      <c r="G234" s="640" t="s">
        <v>1550</v>
      </c>
      <c r="H234" s="640" t="s">
        <v>1551</v>
      </c>
      <c r="I234" s="642">
        <v>1.9</v>
      </c>
      <c r="J234" s="642">
        <v>4</v>
      </c>
      <c r="K234" s="643">
        <v>7.6</v>
      </c>
    </row>
    <row r="235" spans="1:11" ht="14.4" customHeight="1" x14ac:dyDescent="0.3">
      <c r="A235" s="638" t="s">
        <v>537</v>
      </c>
      <c r="B235" s="639" t="s">
        <v>538</v>
      </c>
      <c r="C235" s="640" t="s">
        <v>550</v>
      </c>
      <c r="D235" s="641" t="s">
        <v>1129</v>
      </c>
      <c r="E235" s="640" t="s">
        <v>1690</v>
      </c>
      <c r="F235" s="641" t="s">
        <v>1691</v>
      </c>
      <c r="G235" s="640" t="s">
        <v>1552</v>
      </c>
      <c r="H235" s="640" t="s">
        <v>1553</v>
      </c>
      <c r="I235" s="642">
        <v>2.3733333333333335</v>
      </c>
      <c r="J235" s="642">
        <v>150</v>
      </c>
      <c r="K235" s="643">
        <v>356</v>
      </c>
    </row>
    <row r="236" spans="1:11" ht="14.4" customHeight="1" x14ac:dyDescent="0.3">
      <c r="A236" s="638" t="s">
        <v>537</v>
      </c>
      <c r="B236" s="639" t="s">
        <v>538</v>
      </c>
      <c r="C236" s="640" t="s">
        <v>550</v>
      </c>
      <c r="D236" s="641" t="s">
        <v>1129</v>
      </c>
      <c r="E236" s="640" t="s">
        <v>1690</v>
      </c>
      <c r="F236" s="641" t="s">
        <v>1691</v>
      </c>
      <c r="G236" s="640" t="s">
        <v>1282</v>
      </c>
      <c r="H236" s="640" t="s">
        <v>1283</v>
      </c>
      <c r="I236" s="642">
        <v>1.8</v>
      </c>
      <c r="J236" s="642">
        <v>20</v>
      </c>
      <c r="K236" s="643">
        <v>36</v>
      </c>
    </row>
    <row r="237" spans="1:11" ht="14.4" customHeight="1" x14ac:dyDescent="0.3">
      <c r="A237" s="638" t="s">
        <v>537</v>
      </c>
      <c r="B237" s="639" t="s">
        <v>538</v>
      </c>
      <c r="C237" s="640" t="s">
        <v>550</v>
      </c>
      <c r="D237" s="641" t="s">
        <v>1129</v>
      </c>
      <c r="E237" s="640" t="s">
        <v>1690</v>
      </c>
      <c r="F237" s="641" t="s">
        <v>1691</v>
      </c>
      <c r="G237" s="640" t="s">
        <v>1554</v>
      </c>
      <c r="H237" s="640" t="s">
        <v>1555</v>
      </c>
      <c r="I237" s="642">
        <v>1.9950000000000001</v>
      </c>
      <c r="J237" s="642">
        <v>30</v>
      </c>
      <c r="K237" s="643">
        <v>59.8</v>
      </c>
    </row>
    <row r="238" spans="1:11" ht="14.4" customHeight="1" x14ac:dyDescent="0.3">
      <c r="A238" s="638" t="s">
        <v>537</v>
      </c>
      <c r="B238" s="639" t="s">
        <v>538</v>
      </c>
      <c r="C238" s="640" t="s">
        <v>550</v>
      </c>
      <c r="D238" s="641" t="s">
        <v>1129</v>
      </c>
      <c r="E238" s="640" t="s">
        <v>1690</v>
      </c>
      <c r="F238" s="641" t="s">
        <v>1691</v>
      </c>
      <c r="G238" s="640" t="s">
        <v>1556</v>
      </c>
      <c r="H238" s="640" t="s">
        <v>1557</v>
      </c>
      <c r="I238" s="642">
        <v>3.15</v>
      </c>
      <c r="J238" s="642">
        <v>10</v>
      </c>
      <c r="K238" s="643">
        <v>31.5</v>
      </c>
    </row>
    <row r="239" spans="1:11" ht="14.4" customHeight="1" x14ac:dyDescent="0.3">
      <c r="A239" s="638" t="s">
        <v>537</v>
      </c>
      <c r="B239" s="639" t="s">
        <v>538</v>
      </c>
      <c r="C239" s="640" t="s">
        <v>550</v>
      </c>
      <c r="D239" s="641" t="s">
        <v>1129</v>
      </c>
      <c r="E239" s="640" t="s">
        <v>1690</v>
      </c>
      <c r="F239" s="641" t="s">
        <v>1691</v>
      </c>
      <c r="G239" s="640" t="s">
        <v>1284</v>
      </c>
      <c r="H239" s="640" t="s">
        <v>1285</v>
      </c>
      <c r="I239" s="642">
        <v>2.8579999999999997</v>
      </c>
      <c r="J239" s="642">
        <v>300</v>
      </c>
      <c r="K239" s="643">
        <v>857.5</v>
      </c>
    </row>
    <row r="240" spans="1:11" ht="14.4" customHeight="1" x14ac:dyDescent="0.3">
      <c r="A240" s="638" t="s">
        <v>537</v>
      </c>
      <c r="B240" s="639" t="s">
        <v>538</v>
      </c>
      <c r="C240" s="640" t="s">
        <v>550</v>
      </c>
      <c r="D240" s="641" t="s">
        <v>1129</v>
      </c>
      <c r="E240" s="640" t="s">
        <v>1690</v>
      </c>
      <c r="F240" s="641" t="s">
        <v>1691</v>
      </c>
      <c r="G240" s="640" t="s">
        <v>1286</v>
      </c>
      <c r="H240" s="640" t="s">
        <v>1287</v>
      </c>
      <c r="I240" s="642">
        <v>58.787142857142854</v>
      </c>
      <c r="J240" s="642">
        <v>84</v>
      </c>
      <c r="K240" s="643">
        <v>4937.96</v>
      </c>
    </row>
    <row r="241" spans="1:11" ht="14.4" customHeight="1" x14ac:dyDescent="0.3">
      <c r="A241" s="638" t="s">
        <v>537</v>
      </c>
      <c r="B241" s="639" t="s">
        <v>538</v>
      </c>
      <c r="C241" s="640" t="s">
        <v>550</v>
      </c>
      <c r="D241" s="641" t="s">
        <v>1129</v>
      </c>
      <c r="E241" s="640" t="s">
        <v>1690</v>
      </c>
      <c r="F241" s="641" t="s">
        <v>1691</v>
      </c>
      <c r="G241" s="640" t="s">
        <v>1288</v>
      </c>
      <c r="H241" s="640" t="s">
        <v>1289</v>
      </c>
      <c r="I241" s="642">
        <v>2.056</v>
      </c>
      <c r="J241" s="642">
        <v>70</v>
      </c>
      <c r="K241" s="643">
        <v>143.89999999999998</v>
      </c>
    </row>
    <row r="242" spans="1:11" ht="14.4" customHeight="1" x14ac:dyDescent="0.3">
      <c r="A242" s="638" t="s">
        <v>537</v>
      </c>
      <c r="B242" s="639" t="s">
        <v>538</v>
      </c>
      <c r="C242" s="640" t="s">
        <v>550</v>
      </c>
      <c r="D242" s="641" t="s">
        <v>1129</v>
      </c>
      <c r="E242" s="640" t="s">
        <v>1690</v>
      </c>
      <c r="F242" s="641" t="s">
        <v>1691</v>
      </c>
      <c r="G242" s="640" t="s">
        <v>1292</v>
      </c>
      <c r="H242" s="640" t="s">
        <v>1293</v>
      </c>
      <c r="I242" s="642">
        <v>4.3600000000000003</v>
      </c>
      <c r="J242" s="642">
        <v>1480</v>
      </c>
      <c r="K242" s="643">
        <v>6446.86</v>
      </c>
    </row>
    <row r="243" spans="1:11" ht="14.4" customHeight="1" x14ac:dyDescent="0.3">
      <c r="A243" s="638" t="s">
        <v>537</v>
      </c>
      <c r="B243" s="639" t="s">
        <v>538</v>
      </c>
      <c r="C243" s="640" t="s">
        <v>550</v>
      </c>
      <c r="D243" s="641" t="s">
        <v>1129</v>
      </c>
      <c r="E243" s="640" t="s">
        <v>1690</v>
      </c>
      <c r="F243" s="641" t="s">
        <v>1691</v>
      </c>
      <c r="G243" s="640" t="s">
        <v>1558</v>
      </c>
      <c r="H243" s="640" t="s">
        <v>1559</v>
      </c>
      <c r="I243" s="642">
        <v>17.98</v>
      </c>
      <c r="J243" s="642">
        <v>50</v>
      </c>
      <c r="K243" s="643">
        <v>899</v>
      </c>
    </row>
    <row r="244" spans="1:11" ht="14.4" customHeight="1" x14ac:dyDescent="0.3">
      <c r="A244" s="638" t="s">
        <v>537</v>
      </c>
      <c r="B244" s="639" t="s">
        <v>538</v>
      </c>
      <c r="C244" s="640" t="s">
        <v>550</v>
      </c>
      <c r="D244" s="641" t="s">
        <v>1129</v>
      </c>
      <c r="E244" s="640" t="s">
        <v>1690</v>
      </c>
      <c r="F244" s="641" t="s">
        <v>1691</v>
      </c>
      <c r="G244" s="640" t="s">
        <v>1560</v>
      </c>
      <c r="H244" s="640" t="s">
        <v>1561</v>
      </c>
      <c r="I244" s="642">
        <v>1.93</v>
      </c>
      <c r="J244" s="642">
        <v>30</v>
      </c>
      <c r="K244" s="643">
        <v>57.9</v>
      </c>
    </row>
    <row r="245" spans="1:11" ht="14.4" customHeight="1" x14ac:dyDescent="0.3">
      <c r="A245" s="638" t="s">
        <v>537</v>
      </c>
      <c r="B245" s="639" t="s">
        <v>538</v>
      </c>
      <c r="C245" s="640" t="s">
        <v>550</v>
      </c>
      <c r="D245" s="641" t="s">
        <v>1129</v>
      </c>
      <c r="E245" s="640" t="s">
        <v>1690</v>
      </c>
      <c r="F245" s="641" t="s">
        <v>1691</v>
      </c>
      <c r="G245" s="640" t="s">
        <v>1562</v>
      </c>
      <c r="H245" s="640" t="s">
        <v>1563</v>
      </c>
      <c r="I245" s="642">
        <v>5.4200000000000008</v>
      </c>
      <c r="J245" s="642">
        <v>2200</v>
      </c>
      <c r="K245" s="643">
        <v>11921.1</v>
      </c>
    </row>
    <row r="246" spans="1:11" ht="14.4" customHeight="1" x14ac:dyDescent="0.3">
      <c r="A246" s="638" t="s">
        <v>537</v>
      </c>
      <c r="B246" s="639" t="s">
        <v>538</v>
      </c>
      <c r="C246" s="640" t="s">
        <v>550</v>
      </c>
      <c r="D246" s="641" t="s">
        <v>1129</v>
      </c>
      <c r="E246" s="640" t="s">
        <v>1690</v>
      </c>
      <c r="F246" s="641" t="s">
        <v>1691</v>
      </c>
      <c r="G246" s="640" t="s">
        <v>1294</v>
      </c>
      <c r="H246" s="640" t="s">
        <v>1295</v>
      </c>
      <c r="I246" s="642">
        <v>12.104999999999999</v>
      </c>
      <c r="J246" s="642">
        <v>630</v>
      </c>
      <c r="K246" s="643">
        <v>7627</v>
      </c>
    </row>
    <row r="247" spans="1:11" ht="14.4" customHeight="1" x14ac:dyDescent="0.3">
      <c r="A247" s="638" t="s">
        <v>537</v>
      </c>
      <c r="B247" s="639" t="s">
        <v>538</v>
      </c>
      <c r="C247" s="640" t="s">
        <v>550</v>
      </c>
      <c r="D247" s="641" t="s">
        <v>1129</v>
      </c>
      <c r="E247" s="640" t="s">
        <v>1690</v>
      </c>
      <c r="F247" s="641" t="s">
        <v>1691</v>
      </c>
      <c r="G247" s="640" t="s">
        <v>1564</v>
      </c>
      <c r="H247" s="640" t="s">
        <v>1565</v>
      </c>
      <c r="I247" s="642">
        <v>8.9600000000000009</v>
      </c>
      <c r="J247" s="642">
        <v>50</v>
      </c>
      <c r="K247" s="643">
        <v>448</v>
      </c>
    </row>
    <row r="248" spans="1:11" ht="14.4" customHeight="1" x14ac:dyDescent="0.3">
      <c r="A248" s="638" t="s">
        <v>537</v>
      </c>
      <c r="B248" s="639" t="s">
        <v>538</v>
      </c>
      <c r="C248" s="640" t="s">
        <v>550</v>
      </c>
      <c r="D248" s="641" t="s">
        <v>1129</v>
      </c>
      <c r="E248" s="640" t="s">
        <v>1690</v>
      </c>
      <c r="F248" s="641" t="s">
        <v>1691</v>
      </c>
      <c r="G248" s="640" t="s">
        <v>1566</v>
      </c>
      <c r="H248" s="640" t="s">
        <v>1567</v>
      </c>
      <c r="I248" s="642">
        <v>1.2716666666666665</v>
      </c>
      <c r="J248" s="642">
        <v>975</v>
      </c>
      <c r="K248" s="643">
        <v>1239.75</v>
      </c>
    </row>
    <row r="249" spans="1:11" ht="14.4" customHeight="1" x14ac:dyDescent="0.3">
      <c r="A249" s="638" t="s">
        <v>537</v>
      </c>
      <c r="B249" s="639" t="s">
        <v>538</v>
      </c>
      <c r="C249" s="640" t="s">
        <v>550</v>
      </c>
      <c r="D249" s="641" t="s">
        <v>1129</v>
      </c>
      <c r="E249" s="640" t="s">
        <v>1690</v>
      </c>
      <c r="F249" s="641" t="s">
        <v>1691</v>
      </c>
      <c r="G249" s="640" t="s">
        <v>1298</v>
      </c>
      <c r="H249" s="640" t="s">
        <v>1299</v>
      </c>
      <c r="I249" s="642">
        <v>21.235714285714288</v>
      </c>
      <c r="J249" s="642">
        <v>1350</v>
      </c>
      <c r="K249" s="643">
        <v>28668.5</v>
      </c>
    </row>
    <row r="250" spans="1:11" ht="14.4" customHeight="1" x14ac:dyDescent="0.3">
      <c r="A250" s="638" t="s">
        <v>537</v>
      </c>
      <c r="B250" s="639" t="s">
        <v>538</v>
      </c>
      <c r="C250" s="640" t="s">
        <v>550</v>
      </c>
      <c r="D250" s="641" t="s">
        <v>1129</v>
      </c>
      <c r="E250" s="640" t="s">
        <v>1690</v>
      </c>
      <c r="F250" s="641" t="s">
        <v>1691</v>
      </c>
      <c r="G250" s="640" t="s">
        <v>1300</v>
      </c>
      <c r="H250" s="640" t="s">
        <v>1301</v>
      </c>
      <c r="I250" s="642">
        <v>2.8799999999999994</v>
      </c>
      <c r="J250" s="642">
        <v>1300</v>
      </c>
      <c r="K250" s="643">
        <v>3743.7200000000003</v>
      </c>
    </row>
    <row r="251" spans="1:11" ht="14.4" customHeight="1" x14ac:dyDescent="0.3">
      <c r="A251" s="638" t="s">
        <v>537</v>
      </c>
      <c r="B251" s="639" t="s">
        <v>538</v>
      </c>
      <c r="C251" s="640" t="s">
        <v>550</v>
      </c>
      <c r="D251" s="641" t="s">
        <v>1129</v>
      </c>
      <c r="E251" s="640" t="s">
        <v>1690</v>
      </c>
      <c r="F251" s="641" t="s">
        <v>1691</v>
      </c>
      <c r="G251" s="640" t="s">
        <v>1568</v>
      </c>
      <c r="H251" s="640" t="s">
        <v>1569</v>
      </c>
      <c r="I251" s="642">
        <v>18.150000000000002</v>
      </c>
      <c r="J251" s="642">
        <v>900</v>
      </c>
      <c r="K251" s="643">
        <v>16335</v>
      </c>
    </row>
    <row r="252" spans="1:11" ht="14.4" customHeight="1" x14ac:dyDescent="0.3">
      <c r="A252" s="638" t="s">
        <v>537</v>
      </c>
      <c r="B252" s="639" t="s">
        <v>538</v>
      </c>
      <c r="C252" s="640" t="s">
        <v>550</v>
      </c>
      <c r="D252" s="641" t="s">
        <v>1129</v>
      </c>
      <c r="E252" s="640" t="s">
        <v>1690</v>
      </c>
      <c r="F252" s="641" t="s">
        <v>1691</v>
      </c>
      <c r="G252" s="640" t="s">
        <v>1302</v>
      </c>
      <c r="H252" s="640" t="s">
        <v>1303</v>
      </c>
      <c r="I252" s="642">
        <v>0.47571428571428565</v>
      </c>
      <c r="J252" s="642">
        <v>4300</v>
      </c>
      <c r="K252" s="643">
        <v>2044</v>
      </c>
    </row>
    <row r="253" spans="1:11" ht="14.4" customHeight="1" x14ac:dyDescent="0.3">
      <c r="A253" s="638" t="s">
        <v>537</v>
      </c>
      <c r="B253" s="639" t="s">
        <v>538</v>
      </c>
      <c r="C253" s="640" t="s">
        <v>550</v>
      </c>
      <c r="D253" s="641" t="s">
        <v>1129</v>
      </c>
      <c r="E253" s="640" t="s">
        <v>1690</v>
      </c>
      <c r="F253" s="641" t="s">
        <v>1691</v>
      </c>
      <c r="G253" s="640" t="s">
        <v>1570</v>
      </c>
      <c r="H253" s="640" t="s">
        <v>1571</v>
      </c>
      <c r="I253" s="642">
        <v>4.03</v>
      </c>
      <c r="J253" s="642">
        <v>1600</v>
      </c>
      <c r="K253" s="643">
        <v>6448</v>
      </c>
    </row>
    <row r="254" spans="1:11" ht="14.4" customHeight="1" x14ac:dyDescent="0.3">
      <c r="A254" s="638" t="s">
        <v>537</v>
      </c>
      <c r="B254" s="639" t="s">
        <v>538</v>
      </c>
      <c r="C254" s="640" t="s">
        <v>550</v>
      </c>
      <c r="D254" s="641" t="s">
        <v>1129</v>
      </c>
      <c r="E254" s="640" t="s">
        <v>1690</v>
      </c>
      <c r="F254" s="641" t="s">
        <v>1691</v>
      </c>
      <c r="G254" s="640" t="s">
        <v>1572</v>
      </c>
      <c r="H254" s="640" t="s">
        <v>1573</v>
      </c>
      <c r="I254" s="642">
        <v>4.62</v>
      </c>
      <c r="J254" s="642">
        <v>5</v>
      </c>
      <c r="K254" s="643">
        <v>23.1</v>
      </c>
    </row>
    <row r="255" spans="1:11" ht="14.4" customHeight="1" x14ac:dyDescent="0.3">
      <c r="A255" s="638" t="s">
        <v>537</v>
      </c>
      <c r="B255" s="639" t="s">
        <v>538</v>
      </c>
      <c r="C255" s="640" t="s">
        <v>550</v>
      </c>
      <c r="D255" s="641" t="s">
        <v>1129</v>
      </c>
      <c r="E255" s="640" t="s">
        <v>1690</v>
      </c>
      <c r="F255" s="641" t="s">
        <v>1691</v>
      </c>
      <c r="G255" s="640" t="s">
        <v>1574</v>
      </c>
      <c r="H255" s="640" t="s">
        <v>1575</v>
      </c>
      <c r="I255" s="642">
        <v>387.19999999999993</v>
      </c>
      <c r="J255" s="642">
        <v>260</v>
      </c>
      <c r="K255" s="643">
        <v>100672</v>
      </c>
    </row>
    <row r="256" spans="1:11" ht="14.4" customHeight="1" x14ac:dyDescent="0.3">
      <c r="A256" s="638" t="s">
        <v>537</v>
      </c>
      <c r="B256" s="639" t="s">
        <v>538</v>
      </c>
      <c r="C256" s="640" t="s">
        <v>550</v>
      </c>
      <c r="D256" s="641" t="s">
        <v>1129</v>
      </c>
      <c r="E256" s="640" t="s">
        <v>1690</v>
      </c>
      <c r="F256" s="641" t="s">
        <v>1691</v>
      </c>
      <c r="G256" s="640" t="s">
        <v>1402</v>
      </c>
      <c r="H256" s="640" t="s">
        <v>1403</v>
      </c>
      <c r="I256" s="642">
        <v>12.1</v>
      </c>
      <c r="J256" s="642">
        <v>30</v>
      </c>
      <c r="K256" s="643">
        <v>363</v>
      </c>
    </row>
    <row r="257" spans="1:11" ht="14.4" customHeight="1" x14ac:dyDescent="0.3">
      <c r="A257" s="638" t="s">
        <v>537</v>
      </c>
      <c r="B257" s="639" t="s">
        <v>538</v>
      </c>
      <c r="C257" s="640" t="s">
        <v>550</v>
      </c>
      <c r="D257" s="641" t="s">
        <v>1129</v>
      </c>
      <c r="E257" s="640" t="s">
        <v>1690</v>
      </c>
      <c r="F257" s="641" t="s">
        <v>1691</v>
      </c>
      <c r="G257" s="640" t="s">
        <v>1304</v>
      </c>
      <c r="H257" s="640" t="s">
        <v>1305</v>
      </c>
      <c r="I257" s="642">
        <v>9.1999999999999993</v>
      </c>
      <c r="J257" s="642">
        <v>350</v>
      </c>
      <c r="K257" s="643">
        <v>3220</v>
      </c>
    </row>
    <row r="258" spans="1:11" ht="14.4" customHeight="1" x14ac:dyDescent="0.3">
      <c r="A258" s="638" t="s">
        <v>537</v>
      </c>
      <c r="B258" s="639" t="s">
        <v>538</v>
      </c>
      <c r="C258" s="640" t="s">
        <v>550</v>
      </c>
      <c r="D258" s="641" t="s">
        <v>1129</v>
      </c>
      <c r="E258" s="640" t="s">
        <v>1690</v>
      </c>
      <c r="F258" s="641" t="s">
        <v>1691</v>
      </c>
      <c r="G258" s="640" t="s">
        <v>1306</v>
      </c>
      <c r="H258" s="640" t="s">
        <v>1307</v>
      </c>
      <c r="I258" s="642">
        <v>172.5</v>
      </c>
      <c r="J258" s="642">
        <v>3</v>
      </c>
      <c r="K258" s="643">
        <v>517.5</v>
      </c>
    </row>
    <row r="259" spans="1:11" ht="14.4" customHeight="1" x14ac:dyDescent="0.3">
      <c r="A259" s="638" t="s">
        <v>537</v>
      </c>
      <c r="B259" s="639" t="s">
        <v>538</v>
      </c>
      <c r="C259" s="640" t="s">
        <v>550</v>
      </c>
      <c r="D259" s="641" t="s">
        <v>1129</v>
      </c>
      <c r="E259" s="640" t="s">
        <v>1690</v>
      </c>
      <c r="F259" s="641" t="s">
        <v>1691</v>
      </c>
      <c r="G259" s="640" t="s">
        <v>1404</v>
      </c>
      <c r="H259" s="640" t="s">
        <v>1405</v>
      </c>
      <c r="I259" s="642">
        <v>10.83</v>
      </c>
      <c r="J259" s="642">
        <v>900</v>
      </c>
      <c r="K259" s="643">
        <v>9746.5600000000013</v>
      </c>
    </row>
    <row r="260" spans="1:11" ht="14.4" customHeight="1" x14ac:dyDescent="0.3">
      <c r="A260" s="638" t="s">
        <v>537</v>
      </c>
      <c r="B260" s="639" t="s">
        <v>538</v>
      </c>
      <c r="C260" s="640" t="s">
        <v>550</v>
      </c>
      <c r="D260" s="641" t="s">
        <v>1129</v>
      </c>
      <c r="E260" s="640" t="s">
        <v>1690</v>
      </c>
      <c r="F260" s="641" t="s">
        <v>1691</v>
      </c>
      <c r="G260" s="640" t="s">
        <v>1576</v>
      </c>
      <c r="H260" s="640" t="s">
        <v>1577</v>
      </c>
      <c r="I260" s="642">
        <v>15.729999999999999</v>
      </c>
      <c r="J260" s="642">
        <v>180</v>
      </c>
      <c r="K260" s="643">
        <v>2831.3999999999996</v>
      </c>
    </row>
    <row r="261" spans="1:11" ht="14.4" customHeight="1" x14ac:dyDescent="0.3">
      <c r="A261" s="638" t="s">
        <v>537</v>
      </c>
      <c r="B261" s="639" t="s">
        <v>538</v>
      </c>
      <c r="C261" s="640" t="s">
        <v>550</v>
      </c>
      <c r="D261" s="641" t="s">
        <v>1129</v>
      </c>
      <c r="E261" s="640" t="s">
        <v>1690</v>
      </c>
      <c r="F261" s="641" t="s">
        <v>1691</v>
      </c>
      <c r="G261" s="640" t="s">
        <v>1578</v>
      </c>
      <c r="H261" s="640" t="s">
        <v>1579</v>
      </c>
      <c r="I261" s="642">
        <v>14.52</v>
      </c>
      <c r="J261" s="642">
        <v>180</v>
      </c>
      <c r="K261" s="643">
        <v>2613.6</v>
      </c>
    </row>
    <row r="262" spans="1:11" ht="14.4" customHeight="1" x14ac:dyDescent="0.3">
      <c r="A262" s="638" t="s">
        <v>537</v>
      </c>
      <c r="B262" s="639" t="s">
        <v>538</v>
      </c>
      <c r="C262" s="640" t="s">
        <v>550</v>
      </c>
      <c r="D262" s="641" t="s">
        <v>1129</v>
      </c>
      <c r="E262" s="640" t="s">
        <v>1690</v>
      </c>
      <c r="F262" s="641" t="s">
        <v>1691</v>
      </c>
      <c r="G262" s="640" t="s">
        <v>1406</v>
      </c>
      <c r="H262" s="640" t="s">
        <v>1407</v>
      </c>
      <c r="I262" s="642">
        <v>106.48</v>
      </c>
      <c r="J262" s="642">
        <v>20</v>
      </c>
      <c r="K262" s="643">
        <v>2129.6</v>
      </c>
    </row>
    <row r="263" spans="1:11" ht="14.4" customHeight="1" x14ac:dyDescent="0.3">
      <c r="A263" s="638" t="s">
        <v>537</v>
      </c>
      <c r="B263" s="639" t="s">
        <v>538</v>
      </c>
      <c r="C263" s="640" t="s">
        <v>550</v>
      </c>
      <c r="D263" s="641" t="s">
        <v>1129</v>
      </c>
      <c r="E263" s="640" t="s">
        <v>1690</v>
      </c>
      <c r="F263" s="641" t="s">
        <v>1691</v>
      </c>
      <c r="G263" s="640" t="s">
        <v>1580</v>
      </c>
      <c r="H263" s="640" t="s">
        <v>1581</v>
      </c>
      <c r="I263" s="642">
        <v>17.059999999999999</v>
      </c>
      <c r="J263" s="642">
        <v>40</v>
      </c>
      <c r="K263" s="643">
        <v>682.43000000000006</v>
      </c>
    </row>
    <row r="264" spans="1:11" ht="14.4" customHeight="1" x14ac:dyDescent="0.3">
      <c r="A264" s="638" t="s">
        <v>537</v>
      </c>
      <c r="B264" s="639" t="s">
        <v>538</v>
      </c>
      <c r="C264" s="640" t="s">
        <v>550</v>
      </c>
      <c r="D264" s="641" t="s">
        <v>1129</v>
      </c>
      <c r="E264" s="640" t="s">
        <v>1690</v>
      </c>
      <c r="F264" s="641" t="s">
        <v>1691</v>
      </c>
      <c r="G264" s="640" t="s">
        <v>1582</v>
      </c>
      <c r="H264" s="640" t="s">
        <v>1583</v>
      </c>
      <c r="I264" s="642">
        <v>39.93</v>
      </c>
      <c r="J264" s="642">
        <v>1080</v>
      </c>
      <c r="K264" s="643">
        <v>43124.4</v>
      </c>
    </row>
    <row r="265" spans="1:11" ht="14.4" customHeight="1" x14ac:dyDescent="0.3">
      <c r="A265" s="638" t="s">
        <v>537</v>
      </c>
      <c r="B265" s="639" t="s">
        <v>538</v>
      </c>
      <c r="C265" s="640" t="s">
        <v>550</v>
      </c>
      <c r="D265" s="641" t="s">
        <v>1129</v>
      </c>
      <c r="E265" s="640" t="s">
        <v>1690</v>
      </c>
      <c r="F265" s="641" t="s">
        <v>1691</v>
      </c>
      <c r="G265" s="640" t="s">
        <v>1584</v>
      </c>
      <c r="H265" s="640" t="s">
        <v>1585</v>
      </c>
      <c r="I265" s="642">
        <v>458.62999999999994</v>
      </c>
      <c r="J265" s="642">
        <v>30</v>
      </c>
      <c r="K265" s="643">
        <v>13758.940000000002</v>
      </c>
    </row>
    <row r="266" spans="1:11" ht="14.4" customHeight="1" x14ac:dyDescent="0.3">
      <c r="A266" s="638" t="s">
        <v>537</v>
      </c>
      <c r="B266" s="639" t="s">
        <v>538</v>
      </c>
      <c r="C266" s="640" t="s">
        <v>550</v>
      </c>
      <c r="D266" s="641" t="s">
        <v>1129</v>
      </c>
      <c r="E266" s="640" t="s">
        <v>1690</v>
      </c>
      <c r="F266" s="641" t="s">
        <v>1691</v>
      </c>
      <c r="G266" s="640" t="s">
        <v>1586</v>
      </c>
      <c r="H266" s="640" t="s">
        <v>1587</v>
      </c>
      <c r="I266" s="642">
        <v>104.06</v>
      </c>
      <c r="J266" s="642">
        <v>40</v>
      </c>
      <c r="K266" s="643">
        <v>4162.3999999999996</v>
      </c>
    </row>
    <row r="267" spans="1:11" ht="14.4" customHeight="1" x14ac:dyDescent="0.3">
      <c r="A267" s="638" t="s">
        <v>537</v>
      </c>
      <c r="B267" s="639" t="s">
        <v>538</v>
      </c>
      <c r="C267" s="640" t="s">
        <v>550</v>
      </c>
      <c r="D267" s="641" t="s">
        <v>1129</v>
      </c>
      <c r="E267" s="640" t="s">
        <v>1690</v>
      </c>
      <c r="F267" s="641" t="s">
        <v>1691</v>
      </c>
      <c r="G267" s="640" t="s">
        <v>1408</v>
      </c>
      <c r="H267" s="640" t="s">
        <v>1409</v>
      </c>
      <c r="I267" s="642">
        <v>5</v>
      </c>
      <c r="J267" s="642">
        <v>100</v>
      </c>
      <c r="K267" s="643">
        <v>500.1</v>
      </c>
    </row>
    <row r="268" spans="1:11" ht="14.4" customHeight="1" x14ac:dyDescent="0.3">
      <c r="A268" s="638" t="s">
        <v>537</v>
      </c>
      <c r="B268" s="639" t="s">
        <v>538</v>
      </c>
      <c r="C268" s="640" t="s">
        <v>550</v>
      </c>
      <c r="D268" s="641" t="s">
        <v>1129</v>
      </c>
      <c r="E268" s="640" t="s">
        <v>1690</v>
      </c>
      <c r="F268" s="641" t="s">
        <v>1691</v>
      </c>
      <c r="G268" s="640" t="s">
        <v>1588</v>
      </c>
      <c r="H268" s="640" t="s">
        <v>1589</v>
      </c>
      <c r="I268" s="642">
        <v>204.49</v>
      </c>
      <c r="J268" s="642">
        <v>20</v>
      </c>
      <c r="K268" s="643">
        <v>4089.8</v>
      </c>
    </row>
    <row r="269" spans="1:11" ht="14.4" customHeight="1" x14ac:dyDescent="0.3">
      <c r="A269" s="638" t="s">
        <v>537</v>
      </c>
      <c r="B269" s="639" t="s">
        <v>538</v>
      </c>
      <c r="C269" s="640" t="s">
        <v>550</v>
      </c>
      <c r="D269" s="641" t="s">
        <v>1129</v>
      </c>
      <c r="E269" s="640" t="s">
        <v>1690</v>
      </c>
      <c r="F269" s="641" t="s">
        <v>1691</v>
      </c>
      <c r="G269" s="640" t="s">
        <v>1310</v>
      </c>
      <c r="H269" s="640" t="s">
        <v>1311</v>
      </c>
      <c r="I269" s="642">
        <v>113</v>
      </c>
      <c r="J269" s="642">
        <v>6</v>
      </c>
      <c r="K269" s="643">
        <v>678</v>
      </c>
    </row>
    <row r="270" spans="1:11" ht="14.4" customHeight="1" x14ac:dyDescent="0.3">
      <c r="A270" s="638" t="s">
        <v>537</v>
      </c>
      <c r="B270" s="639" t="s">
        <v>538</v>
      </c>
      <c r="C270" s="640" t="s">
        <v>550</v>
      </c>
      <c r="D270" s="641" t="s">
        <v>1129</v>
      </c>
      <c r="E270" s="640" t="s">
        <v>1690</v>
      </c>
      <c r="F270" s="641" t="s">
        <v>1691</v>
      </c>
      <c r="G270" s="640" t="s">
        <v>1312</v>
      </c>
      <c r="H270" s="640" t="s">
        <v>1313</v>
      </c>
      <c r="I270" s="642">
        <v>27.83</v>
      </c>
      <c r="J270" s="642">
        <v>30</v>
      </c>
      <c r="K270" s="643">
        <v>834.90000000000009</v>
      </c>
    </row>
    <row r="271" spans="1:11" ht="14.4" customHeight="1" x14ac:dyDescent="0.3">
      <c r="A271" s="638" t="s">
        <v>537</v>
      </c>
      <c r="B271" s="639" t="s">
        <v>538</v>
      </c>
      <c r="C271" s="640" t="s">
        <v>550</v>
      </c>
      <c r="D271" s="641" t="s">
        <v>1129</v>
      </c>
      <c r="E271" s="640" t="s">
        <v>1690</v>
      </c>
      <c r="F271" s="641" t="s">
        <v>1691</v>
      </c>
      <c r="G271" s="640" t="s">
        <v>1590</v>
      </c>
      <c r="H271" s="640" t="s">
        <v>1591</v>
      </c>
      <c r="I271" s="642">
        <v>83.49</v>
      </c>
      <c r="J271" s="642">
        <v>10</v>
      </c>
      <c r="K271" s="643">
        <v>834.9</v>
      </c>
    </row>
    <row r="272" spans="1:11" ht="14.4" customHeight="1" x14ac:dyDescent="0.3">
      <c r="A272" s="638" t="s">
        <v>537</v>
      </c>
      <c r="B272" s="639" t="s">
        <v>538</v>
      </c>
      <c r="C272" s="640" t="s">
        <v>550</v>
      </c>
      <c r="D272" s="641" t="s">
        <v>1129</v>
      </c>
      <c r="E272" s="640" t="s">
        <v>1690</v>
      </c>
      <c r="F272" s="641" t="s">
        <v>1691</v>
      </c>
      <c r="G272" s="640" t="s">
        <v>1592</v>
      </c>
      <c r="H272" s="640" t="s">
        <v>1593</v>
      </c>
      <c r="I272" s="642">
        <v>307.45999999999998</v>
      </c>
      <c r="J272" s="642">
        <v>60</v>
      </c>
      <c r="K272" s="643">
        <v>18447.650000000001</v>
      </c>
    </row>
    <row r="273" spans="1:11" ht="14.4" customHeight="1" x14ac:dyDescent="0.3">
      <c r="A273" s="638" t="s">
        <v>537</v>
      </c>
      <c r="B273" s="639" t="s">
        <v>538</v>
      </c>
      <c r="C273" s="640" t="s">
        <v>550</v>
      </c>
      <c r="D273" s="641" t="s">
        <v>1129</v>
      </c>
      <c r="E273" s="640" t="s">
        <v>1690</v>
      </c>
      <c r="F273" s="641" t="s">
        <v>1691</v>
      </c>
      <c r="G273" s="640" t="s">
        <v>1316</v>
      </c>
      <c r="H273" s="640" t="s">
        <v>1317</v>
      </c>
      <c r="I273" s="642">
        <v>14.306666666666667</v>
      </c>
      <c r="J273" s="642">
        <v>30</v>
      </c>
      <c r="K273" s="643">
        <v>429.14</v>
      </c>
    </row>
    <row r="274" spans="1:11" ht="14.4" customHeight="1" x14ac:dyDescent="0.3">
      <c r="A274" s="638" t="s">
        <v>537</v>
      </c>
      <c r="B274" s="639" t="s">
        <v>538</v>
      </c>
      <c r="C274" s="640" t="s">
        <v>550</v>
      </c>
      <c r="D274" s="641" t="s">
        <v>1129</v>
      </c>
      <c r="E274" s="640" t="s">
        <v>1690</v>
      </c>
      <c r="F274" s="641" t="s">
        <v>1691</v>
      </c>
      <c r="G274" s="640" t="s">
        <v>1318</v>
      </c>
      <c r="H274" s="640" t="s">
        <v>1319</v>
      </c>
      <c r="I274" s="642">
        <v>209</v>
      </c>
      <c r="J274" s="642">
        <v>3</v>
      </c>
      <c r="K274" s="643">
        <v>627.01</v>
      </c>
    </row>
    <row r="275" spans="1:11" ht="14.4" customHeight="1" x14ac:dyDescent="0.3">
      <c r="A275" s="638" t="s">
        <v>537</v>
      </c>
      <c r="B275" s="639" t="s">
        <v>538</v>
      </c>
      <c r="C275" s="640" t="s">
        <v>550</v>
      </c>
      <c r="D275" s="641" t="s">
        <v>1129</v>
      </c>
      <c r="E275" s="640" t="s">
        <v>1690</v>
      </c>
      <c r="F275" s="641" t="s">
        <v>1691</v>
      </c>
      <c r="G275" s="640" t="s">
        <v>1594</v>
      </c>
      <c r="H275" s="640" t="s">
        <v>1595</v>
      </c>
      <c r="I275" s="642">
        <v>2305.9957142857143</v>
      </c>
      <c r="J275" s="642">
        <v>100</v>
      </c>
      <c r="K275" s="643">
        <v>230028.28000000003</v>
      </c>
    </row>
    <row r="276" spans="1:11" ht="14.4" customHeight="1" x14ac:dyDescent="0.3">
      <c r="A276" s="638" t="s">
        <v>537</v>
      </c>
      <c r="B276" s="639" t="s">
        <v>538</v>
      </c>
      <c r="C276" s="640" t="s">
        <v>550</v>
      </c>
      <c r="D276" s="641" t="s">
        <v>1129</v>
      </c>
      <c r="E276" s="640" t="s">
        <v>1690</v>
      </c>
      <c r="F276" s="641" t="s">
        <v>1691</v>
      </c>
      <c r="G276" s="640" t="s">
        <v>1596</v>
      </c>
      <c r="H276" s="640" t="s">
        <v>1597</v>
      </c>
      <c r="I276" s="642">
        <v>422.96</v>
      </c>
      <c r="J276" s="642">
        <v>30</v>
      </c>
      <c r="K276" s="643">
        <v>12688.77</v>
      </c>
    </row>
    <row r="277" spans="1:11" ht="14.4" customHeight="1" x14ac:dyDescent="0.3">
      <c r="A277" s="638" t="s">
        <v>537</v>
      </c>
      <c r="B277" s="639" t="s">
        <v>538</v>
      </c>
      <c r="C277" s="640" t="s">
        <v>550</v>
      </c>
      <c r="D277" s="641" t="s">
        <v>1129</v>
      </c>
      <c r="E277" s="640" t="s">
        <v>1690</v>
      </c>
      <c r="F277" s="641" t="s">
        <v>1691</v>
      </c>
      <c r="G277" s="640" t="s">
        <v>1598</v>
      </c>
      <c r="H277" s="640" t="s">
        <v>1599</v>
      </c>
      <c r="I277" s="642">
        <v>5.84</v>
      </c>
      <c r="J277" s="642">
        <v>20</v>
      </c>
      <c r="K277" s="643">
        <v>116.8</v>
      </c>
    </row>
    <row r="278" spans="1:11" ht="14.4" customHeight="1" x14ac:dyDescent="0.3">
      <c r="A278" s="638" t="s">
        <v>537</v>
      </c>
      <c r="B278" s="639" t="s">
        <v>538</v>
      </c>
      <c r="C278" s="640" t="s">
        <v>550</v>
      </c>
      <c r="D278" s="641" t="s">
        <v>1129</v>
      </c>
      <c r="E278" s="640" t="s">
        <v>1690</v>
      </c>
      <c r="F278" s="641" t="s">
        <v>1691</v>
      </c>
      <c r="G278" s="640" t="s">
        <v>1600</v>
      </c>
      <c r="H278" s="640" t="s">
        <v>1601</v>
      </c>
      <c r="I278" s="642">
        <v>404.75</v>
      </c>
      <c r="J278" s="642">
        <v>10</v>
      </c>
      <c r="K278" s="643">
        <v>4047.45</v>
      </c>
    </row>
    <row r="279" spans="1:11" ht="14.4" customHeight="1" x14ac:dyDescent="0.3">
      <c r="A279" s="638" t="s">
        <v>537</v>
      </c>
      <c r="B279" s="639" t="s">
        <v>538</v>
      </c>
      <c r="C279" s="640" t="s">
        <v>550</v>
      </c>
      <c r="D279" s="641" t="s">
        <v>1129</v>
      </c>
      <c r="E279" s="640" t="s">
        <v>1690</v>
      </c>
      <c r="F279" s="641" t="s">
        <v>1691</v>
      </c>
      <c r="G279" s="640" t="s">
        <v>1602</v>
      </c>
      <c r="H279" s="640" t="s">
        <v>1603</v>
      </c>
      <c r="I279" s="642">
        <v>404.75</v>
      </c>
      <c r="J279" s="642">
        <v>10</v>
      </c>
      <c r="K279" s="643">
        <v>4047.45</v>
      </c>
    </row>
    <row r="280" spans="1:11" ht="14.4" customHeight="1" x14ac:dyDescent="0.3">
      <c r="A280" s="638" t="s">
        <v>537</v>
      </c>
      <c r="B280" s="639" t="s">
        <v>538</v>
      </c>
      <c r="C280" s="640" t="s">
        <v>550</v>
      </c>
      <c r="D280" s="641" t="s">
        <v>1129</v>
      </c>
      <c r="E280" s="640" t="s">
        <v>1690</v>
      </c>
      <c r="F280" s="641" t="s">
        <v>1691</v>
      </c>
      <c r="G280" s="640" t="s">
        <v>1604</v>
      </c>
      <c r="H280" s="640" t="s">
        <v>1605</v>
      </c>
      <c r="I280" s="642">
        <v>115</v>
      </c>
      <c r="J280" s="642">
        <v>10</v>
      </c>
      <c r="K280" s="643">
        <v>1150</v>
      </c>
    </row>
    <row r="281" spans="1:11" ht="14.4" customHeight="1" x14ac:dyDescent="0.3">
      <c r="A281" s="638" t="s">
        <v>537</v>
      </c>
      <c r="B281" s="639" t="s">
        <v>538</v>
      </c>
      <c r="C281" s="640" t="s">
        <v>550</v>
      </c>
      <c r="D281" s="641" t="s">
        <v>1129</v>
      </c>
      <c r="E281" s="640" t="s">
        <v>1690</v>
      </c>
      <c r="F281" s="641" t="s">
        <v>1691</v>
      </c>
      <c r="G281" s="640" t="s">
        <v>1320</v>
      </c>
      <c r="H281" s="640" t="s">
        <v>1321</v>
      </c>
      <c r="I281" s="642">
        <v>27.83</v>
      </c>
      <c r="J281" s="642">
        <v>10</v>
      </c>
      <c r="K281" s="643">
        <v>278.3</v>
      </c>
    </row>
    <row r="282" spans="1:11" ht="14.4" customHeight="1" x14ac:dyDescent="0.3">
      <c r="A282" s="638" t="s">
        <v>537</v>
      </c>
      <c r="B282" s="639" t="s">
        <v>538</v>
      </c>
      <c r="C282" s="640" t="s">
        <v>550</v>
      </c>
      <c r="D282" s="641" t="s">
        <v>1129</v>
      </c>
      <c r="E282" s="640" t="s">
        <v>1690</v>
      </c>
      <c r="F282" s="641" t="s">
        <v>1691</v>
      </c>
      <c r="G282" s="640" t="s">
        <v>1606</v>
      </c>
      <c r="H282" s="640" t="s">
        <v>1607</v>
      </c>
      <c r="I282" s="642">
        <v>61.71</v>
      </c>
      <c r="J282" s="642">
        <v>10</v>
      </c>
      <c r="K282" s="643">
        <v>617.1</v>
      </c>
    </row>
    <row r="283" spans="1:11" ht="14.4" customHeight="1" x14ac:dyDescent="0.3">
      <c r="A283" s="638" t="s">
        <v>537</v>
      </c>
      <c r="B283" s="639" t="s">
        <v>538</v>
      </c>
      <c r="C283" s="640" t="s">
        <v>550</v>
      </c>
      <c r="D283" s="641" t="s">
        <v>1129</v>
      </c>
      <c r="E283" s="640" t="s">
        <v>1690</v>
      </c>
      <c r="F283" s="641" t="s">
        <v>1691</v>
      </c>
      <c r="G283" s="640" t="s">
        <v>1608</v>
      </c>
      <c r="H283" s="640" t="s">
        <v>1609</v>
      </c>
      <c r="I283" s="642">
        <v>458.63</v>
      </c>
      <c r="J283" s="642">
        <v>20</v>
      </c>
      <c r="K283" s="643">
        <v>9172.6200000000008</v>
      </c>
    </row>
    <row r="284" spans="1:11" ht="14.4" customHeight="1" x14ac:dyDescent="0.3">
      <c r="A284" s="638" t="s">
        <v>537</v>
      </c>
      <c r="B284" s="639" t="s">
        <v>538</v>
      </c>
      <c r="C284" s="640" t="s">
        <v>550</v>
      </c>
      <c r="D284" s="641" t="s">
        <v>1129</v>
      </c>
      <c r="E284" s="640" t="s">
        <v>1690</v>
      </c>
      <c r="F284" s="641" t="s">
        <v>1691</v>
      </c>
      <c r="G284" s="640" t="s">
        <v>1330</v>
      </c>
      <c r="H284" s="640" t="s">
        <v>1331</v>
      </c>
      <c r="I284" s="642">
        <v>0.27</v>
      </c>
      <c r="J284" s="642">
        <v>1000</v>
      </c>
      <c r="K284" s="643">
        <v>268.10000000000002</v>
      </c>
    </row>
    <row r="285" spans="1:11" ht="14.4" customHeight="1" x14ac:dyDescent="0.3">
      <c r="A285" s="638" t="s">
        <v>537</v>
      </c>
      <c r="B285" s="639" t="s">
        <v>538</v>
      </c>
      <c r="C285" s="640" t="s">
        <v>550</v>
      </c>
      <c r="D285" s="641" t="s">
        <v>1129</v>
      </c>
      <c r="E285" s="640" t="s">
        <v>1690</v>
      </c>
      <c r="F285" s="641" t="s">
        <v>1691</v>
      </c>
      <c r="G285" s="640" t="s">
        <v>1610</v>
      </c>
      <c r="H285" s="640" t="s">
        <v>1611</v>
      </c>
      <c r="I285" s="642">
        <v>413.85500000000002</v>
      </c>
      <c r="J285" s="642">
        <v>20</v>
      </c>
      <c r="K285" s="643">
        <v>8277.0400000000009</v>
      </c>
    </row>
    <row r="286" spans="1:11" ht="14.4" customHeight="1" x14ac:dyDescent="0.3">
      <c r="A286" s="638" t="s">
        <v>537</v>
      </c>
      <c r="B286" s="639" t="s">
        <v>538</v>
      </c>
      <c r="C286" s="640" t="s">
        <v>550</v>
      </c>
      <c r="D286" s="641" t="s">
        <v>1129</v>
      </c>
      <c r="E286" s="640" t="s">
        <v>1690</v>
      </c>
      <c r="F286" s="641" t="s">
        <v>1691</v>
      </c>
      <c r="G286" s="640" t="s">
        <v>1612</v>
      </c>
      <c r="H286" s="640" t="s">
        <v>1613</v>
      </c>
      <c r="I286" s="642">
        <v>3.43</v>
      </c>
      <c r="J286" s="642">
        <v>40</v>
      </c>
      <c r="K286" s="643">
        <v>137.19999999999999</v>
      </c>
    </row>
    <row r="287" spans="1:11" ht="14.4" customHeight="1" x14ac:dyDescent="0.3">
      <c r="A287" s="638" t="s">
        <v>537</v>
      </c>
      <c r="B287" s="639" t="s">
        <v>538</v>
      </c>
      <c r="C287" s="640" t="s">
        <v>550</v>
      </c>
      <c r="D287" s="641" t="s">
        <v>1129</v>
      </c>
      <c r="E287" s="640" t="s">
        <v>1690</v>
      </c>
      <c r="F287" s="641" t="s">
        <v>1691</v>
      </c>
      <c r="G287" s="640" t="s">
        <v>1614</v>
      </c>
      <c r="H287" s="640" t="s">
        <v>1615</v>
      </c>
      <c r="I287" s="642">
        <v>1249.6600000000001</v>
      </c>
      <c r="J287" s="642">
        <v>12</v>
      </c>
      <c r="K287" s="643">
        <v>14995.96</v>
      </c>
    </row>
    <row r="288" spans="1:11" ht="14.4" customHeight="1" x14ac:dyDescent="0.3">
      <c r="A288" s="638" t="s">
        <v>537</v>
      </c>
      <c r="B288" s="639" t="s">
        <v>538</v>
      </c>
      <c r="C288" s="640" t="s">
        <v>550</v>
      </c>
      <c r="D288" s="641" t="s">
        <v>1129</v>
      </c>
      <c r="E288" s="640" t="s">
        <v>1690</v>
      </c>
      <c r="F288" s="641" t="s">
        <v>1691</v>
      </c>
      <c r="G288" s="640" t="s">
        <v>1334</v>
      </c>
      <c r="H288" s="640" t="s">
        <v>1335</v>
      </c>
      <c r="I288" s="642">
        <v>1.87</v>
      </c>
      <c r="J288" s="642">
        <v>200</v>
      </c>
      <c r="K288" s="643">
        <v>374.9</v>
      </c>
    </row>
    <row r="289" spans="1:11" ht="14.4" customHeight="1" x14ac:dyDescent="0.3">
      <c r="A289" s="638" t="s">
        <v>537</v>
      </c>
      <c r="B289" s="639" t="s">
        <v>538</v>
      </c>
      <c r="C289" s="640" t="s">
        <v>550</v>
      </c>
      <c r="D289" s="641" t="s">
        <v>1129</v>
      </c>
      <c r="E289" s="640" t="s">
        <v>1690</v>
      </c>
      <c r="F289" s="641" t="s">
        <v>1691</v>
      </c>
      <c r="G289" s="640" t="s">
        <v>1336</v>
      </c>
      <c r="H289" s="640" t="s">
        <v>1337</v>
      </c>
      <c r="I289" s="642">
        <v>1.9571428571428575</v>
      </c>
      <c r="J289" s="642">
        <v>1500</v>
      </c>
      <c r="K289" s="643">
        <v>2953.06</v>
      </c>
    </row>
    <row r="290" spans="1:11" ht="14.4" customHeight="1" x14ac:dyDescent="0.3">
      <c r="A290" s="638" t="s">
        <v>537</v>
      </c>
      <c r="B290" s="639" t="s">
        <v>538</v>
      </c>
      <c r="C290" s="640" t="s">
        <v>550</v>
      </c>
      <c r="D290" s="641" t="s">
        <v>1129</v>
      </c>
      <c r="E290" s="640" t="s">
        <v>1690</v>
      </c>
      <c r="F290" s="641" t="s">
        <v>1691</v>
      </c>
      <c r="G290" s="640" t="s">
        <v>1616</v>
      </c>
      <c r="H290" s="640" t="s">
        <v>1617</v>
      </c>
      <c r="I290" s="642">
        <v>458.63</v>
      </c>
      <c r="J290" s="642">
        <v>40</v>
      </c>
      <c r="K290" s="643">
        <v>18345.260000000002</v>
      </c>
    </row>
    <row r="291" spans="1:11" ht="14.4" customHeight="1" x14ac:dyDescent="0.3">
      <c r="A291" s="638" t="s">
        <v>537</v>
      </c>
      <c r="B291" s="639" t="s">
        <v>538</v>
      </c>
      <c r="C291" s="640" t="s">
        <v>550</v>
      </c>
      <c r="D291" s="641" t="s">
        <v>1129</v>
      </c>
      <c r="E291" s="640" t="s">
        <v>1690</v>
      </c>
      <c r="F291" s="641" t="s">
        <v>1691</v>
      </c>
      <c r="G291" s="640" t="s">
        <v>1618</v>
      </c>
      <c r="H291" s="640" t="s">
        <v>1619</v>
      </c>
      <c r="I291" s="642">
        <v>431.54500000000002</v>
      </c>
      <c r="J291" s="642">
        <v>20</v>
      </c>
      <c r="K291" s="643">
        <v>8630.8799999999992</v>
      </c>
    </row>
    <row r="292" spans="1:11" ht="14.4" customHeight="1" x14ac:dyDescent="0.3">
      <c r="A292" s="638" t="s">
        <v>537</v>
      </c>
      <c r="B292" s="639" t="s">
        <v>538</v>
      </c>
      <c r="C292" s="640" t="s">
        <v>550</v>
      </c>
      <c r="D292" s="641" t="s">
        <v>1129</v>
      </c>
      <c r="E292" s="640" t="s">
        <v>1690</v>
      </c>
      <c r="F292" s="641" t="s">
        <v>1691</v>
      </c>
      <c r="G292" s="640" t="s">
        <v>1426</v>
      </c>
      <c r="H292" s="640" t="s">
        <v>1427</v>
      </c>
      <c r="I292" s="642">
        <v>20.7</v>
      </c>
      <c r="J292" s="642">
        <v>250</v>
      </c>
      <c r="K292" s="643">
        <v>5175</v>
      </c>
    </row>
    <row r="293" spans="1:11" ht="14.4" customHeight="1" x14ac:dyDescent="0.3">
      <c r="A293" s="638" t="s">
        <v>537</v>
      </c>
      <c r="B293" s="639" t="s">
        <v>538</v>
      </c>
      <c r="C293" s="640" t="s">
        <v>550</v>
      </c>
      <c r="D293" s="641" t="s">
        <v>1129</v>
      </c>
      <c r="E293" s="640" t="s">
        <v>1690</v>
      </c>
      <c r="F293" s="641" t="s">
        <v>1691</v>
      </c>
      <c r="G293" s="640" t="s">
        <v>1428</v>
      </c>
      <c r="H293" s="640" t="s">
        <v>1429</v>
      </c>
      <c r="I293" s="642">
        <v>20.7</v>
      </c>
      <c r="J293" s="642">
        <v>550</v>
      </c>
      <c r="K293" s="643">
        <v>11385</v>
      </c>
    </row>
    <row r="294" spans="1:11" ht="14.4" customHeight="1" x14ac:dyDescent="0.3">
      <c r="A294" s="638" t="s">
        <v>537</v>
      </c>
      <c r="B294" s="639" t="s">
        <v>538</v>
      </c>
      <c r="C294" s="640" t="s">
        <v>550</v>
      </c>
      <c r="D294" s="641" t="s">
        <v>1129</v>
      </c>
      <c r="E294" s="640" t="s">
        <v>1690</v>
      </c>
      <c r="F294" s="641" t="s">
        <v>1691</v>
      </c>
      <c r="G294" s="640" t="s">
        <v>1620</v>
      </c>
      <c r="H294" s="640" t="s">
        <v>1621</v>
      </c>
      <c r="I294" s="642">
        <v>20.7</v>
      </c>
      <c r="J294" s="642">
        <v>50</v>
      </c>
      <c r="K294" s="643">
        <v>1035</v>
      </c>
    </row>
    <row r="295" spans="1:11" ht="14.4" customHeight="1" x14ac:dyDescent="0.3">
      <c r="A295" s="638" t="s">
        <v>537</v>
      </c>
      <c r="B295" s="639" t="s">
        <v>538</v>
      </c>
      <c r="C295" s="640" t="s">
        <v>550</v>
      </c>
      <c r="D295" s="641" t="s">
        <v>1129</v>
      </c>
      <c r="E295" s="640" t="s">
        <v>1690</v>
      </c>
      <c r="F295" s="641" t="s">
        <v>1691</v>
      </c>
      <c r="G295" s="640" t="s">
        <v>1622</v>
      </c>
      <c r="H295" s="640" t="s">
        <v>1623</v>
      </c>
      <c r="I295" s="642">
        <v>8.8375000000000004</v>
      </c>
      <c r="J295" s="642">
        <v>400</v>
      </c>
      <c r="K295" s="643">
        <v>3535.1</v>
      </c>
    </row>
    <row r="296" spans="1:11" ht="14.4" customHeight="1" x14ac:dyDescent="0.3">
      <c r="A296" s="638" t="s">
        <v>537</v>
      </c>
      <c r="B296" s="639" t="s">
        <v>538</v>
      </c>
      <c r="C296" s="640" t="s">
        <v>550</v>
      </c>
      <c r="D296" s="641" t="s">
        <v>1129</v>
      </c>
      <c r="E296" s="640" t="s">
        <v>1690</v>
      </c>
      <c r="F296" s="641" t="s">
        <v>1691</v>
      </c>
      <c r="G296" s="640" t="s">
        <v>1624</v>
      </c>
      <c r="H296" s="640" t="s">
        <v>1625</v>
      </c>
      <c r="I296" s="642">
        <v>1292.8800000000001</v>
      </c>
      <c r="J296" s="642">
        <v>4</v>
      </c>
      <c r="K296" s="643">
        <v>5171.54</v>
      </c>
    </row>
    <row r="297" spans="1:11" ht="14.4" customHeight="1" x14ac:dyDescent="0.3">
      <c r="A297" s="638" t="s">
        <v>537</v>
      </c>
      <c r="B297" s="639" t="s">
        <v>538</v>
      </c>
      <c r="C297" s="640" t="s">
        <v>550</v>
      </c>
      <c r="D297" s="641" t="s">
        <v>1129</v>
      </c>
      <c r="E297" s="640" t="s">
        <v>1690</v>
      </c>
      <c r="F297" s="641" t="s">
        <v>1691</v>
      </c>
      <c r="G297" s="640" t="s">
        <v>1430</v>
      </c>
      <c r="H297" s="640" t="s">
        <v>1431</v>
      </c>
      <c r="I297" s="642">
        <v>5.81</v>
      </c>
      <c r="J297" s="642">
        <v>50</v>
      </c>
      <c r="K297" s="643">
        <v>290.39999999999998</v>
      </c>
    </row>
    <row r="298" spans="1:11" ht="14.4" customHeight="1" x14ac:dyDescent="0.3">
      <c r="A298" s="638" t="s">
        <v>537</v>
      </c>
      <c r="B298" s="639" t="s">
        <v>538</v>
      </c>
      <c r="C298" s="640" t="s">
        <v>550</v>
      </c>
      <c r="D298" s="641" t="s">
        <v>1129</v>
      </c>
      <c r="E298" s="640" t="s">
        <v>1690</v>
      </c>
      <c r="F298" s="641" t="s">
        <v>1691</v>
      </c>
      <c r="G298" s="640" t="s">
        <v>1626</v>
      </c>
      <c r="H298" s="640" t="s">
        <v>1627</v>
      </c>
      <c r="I298" s="642">
        <v>204.49</v>
      </c>
      <c r="J298" s="642">
        <v>20</v>
      </c>
      <c r="K298" s="643">
        <v>4089.8</v>
      </c>
    </row>
    <row r="299" spans="1:11" ht="14.4" customHeight="1" x14ac:dyDescent="0.3">
      <c r="A299" s="638" t="s">
        <v>537</v>
      </c>
      <c r="B299" s="639" t="s">
        <v>538</v>
      </c>
      <c r="C299" s="640" t="s">
        <v>550</v>
      </c>
      <c r="D299" s="641" t="s">
        <v>1129</v>
      </c>
      <c r="E299" s="640" t="s">
        <v>1690</v>
      </c>
      <c r="F299" s="641" t="s">
        <v>1691</v>
      </c>
      <c r="G299" s="640" t="s">
        <v>1340</v>
      </c>
      <c r="H299" s="640" t="s">
        <v>1341</v>
      </c>
      <c r="I299" s="642">
        <v>1.28</v>
      </c>
      <c r="J299" s="642">
        <v>2000</v>
      </c>
      <c r="K299" s="643">
        <v>2565.1999999999998</v>
      </c>
    </row>
    <row r="300" spans="1:11" ht="14.4" customHeight="1" x14ac:dyDescent="0.3">
      <c r="A300" s="638" t="s">
        <v>537</v>
      </c>
      <c r="B300" s="639" t="s">
        <v>538</v>
      </c>
      <c r="C300" s="640" t="s">
        <v>550</v>
      </c>
      <c r="D300" s="641" t="s">
        <v>1129</v>
      </c>
      <c r="E300" s="640" t="s">
        <v>1690</v>
      </c>
      <c r="F300" s="641" t="s">
        <v>1691</v>
      </c>
      <c r="G300" s="640" t="s">
        <v>1628</v>
      </c>
      <c r="H300" s="640" t="s">
        <v>1629</v>
      </c>
      <c r="I300" s="642">
        <v>176.39</v>
      </c>
      <c r="J300" s="642">
        <v>22</v>
      </c>
      <c r="K300" s="643">
        <v>4256.1499999999996</v>
      </c>
    </row>
    <row r="301" spans="1:11" ht="14.4" customHeight="1" x14ac:dyDescent="0.3">
      <c r="A301" s="638" t="s">
        <v>537</v>
      </c>
      <c r="B301" s="639" t="s">
        <v>538</v>
      </c>
      <c r="C301" s="640" t="s">
        <v>550</v>
      </c>
      <c r="D301" s="641" t="s">
        <v>1129</v>
      </c>
      <c r="E301" s="640" t="s">
        <v>1690</v>
      </c>
      <c r="F301" s="641" t="s">
        <v>1691</v>
      </c>
      <c r="G301" s="640" t="s">
        <v>1630</v>
      </c>
      <c r="H301" s="640" t="s">
        <v>1631</v>
      </c>
      <c r="I301" s="642">
        <v>178.84</v>
      </c>
      <c r="J301" s="642">
        <v>25</v>
      </c>
      <c r="K301" s="643">
        <v>4471.1000000000004</v>
      </c>
    </row>
    <row r="302" spans="1:11" ht="14.4" customHeight="1" x14ac:dyDescent="0.3">
      <c r="A302" s="638" t="s">
        <v>537</v>
      </c>
      <c r="B302" s="639" t="s">
        <v>538</v>
      </c>
      <c r="C302" s="640" t="s">
        <v>550</v>
      </c>
      <c r="D302" s="641" t="s">
        <v>1129</v>
      </c>
      <c r="E302" s="640" t="s">
        <v>1690</v>
      </c>
      <c r="F302" s="641" t="s">
        <v>1691</v>
      </c>
      <c r="G302" s="640" t="s">
        <v>1632</v>
      </c>
      <c r="H302" s="640" t="s">
        <v>1633</v>
      </c>
      <c r="I302" s="642">
        <v>484</v>
      </c>
      <c r="J302" s="642">
        <v>15</v>
      </c>
      <c r="K302" s="643">
        <v>7260</v>
      </c>
    </row>
    <row r="303" spans="1:11" ht="14.4" customHeight="1" x14ac:dyDescent="0.3">
      <c r="A303" s="638" t="s">
        <v>537</v>
      </c>
      <c r="B303" s="639" t="s">
        <v>538</v>
      </c>
      <c r="C303" s="640" t="s">
        <v>550</v>
      </c>
      <c r="D303" s="641" t="s">
        <v>1129</v>
      </c>
      <c r="E303" s="640" t="s">
        <v>1702</v>
      </c>
      <c r="F303" s="641" t="s">
        <v>1703</v>
      </c>
      <c r="G303" s="640" t="s">
        <v>1634</v>
      </c>
      <c r="H303" s="640" t="s">
        <v>1635</v>
      </c>
      <c r="I303" s="642">
        <v>629.20000000000005</v>
      </c>
      <c r="J303" s="642">
        <v>40</v>
      </c>
      <c r="K303" s="643">
        <v>25168</v>
      </c>
    </row>
    <row r="304" spans="1:11" ht="14.4" customHeight="1" x14ac:dyDescent="0.3">
      <c r="A304" s="638" t="s">
        <v>537</v>
      </c>
      <c r="B304" s="639" t="s">
        <v>538</v>
      </c>
      <c r="C304" s="640" t="s">
        <v>550</v>
      </c>
      <c r="D304" s="641" t="s">
        <v>1129</v>
      </c>
      <c r="E304" s="640" t="s">
        <v>1702</v>
      </c>
      <c r="F304" s="641" t="s">
        <v>1703</v>
      </c>
      <c r="G304" s="640" t="s">
        <v>1636</v>
      </c>
      <c r="H304" s="640" t="s">
        <v>1637</v>
      </c>
      <c r="I304" s="642">
        <v>1694</v>
      </c>
      <c r="J304" s="642">
        <v>10</v>
      </c>
      <c r="K304" s="643">
        <v>16940</v>
      </c>
    </row>
    <row r="305" spans="1:11" ht="14.4" customHeight="1" x14ac:dyDescent="0.3">
      <c r="A305" s="638" t="s">
        <v>537</v>
      </c>
      <c r="B305" s="639" t="s">
        <v>538</v>
      </c>
      <c r="C305" s="640" t="s">
        <v>550</v>
      </c>
      <c r="D305" s="641" t="s">
        <v>1129</v>
      </c>
      <c r="E305" s="640" t="s">
        <v>1702</v>
      </c>
      <c r="F305" s="641" t="s">
        <v>1703</v>
      </c>
      <c r="G305" s="640" t="s">
        <v>1638</v>
      </c>
      <c r="H305" s="640" t="s">
        <v>1639</v>
      </c>
      <c r="I305" s="642">
        <v>411.4</v>
      </c>
      <c r="J305" s="642">
        <v>20</v>
      </c>
      <c r="K305" s="643">
        <v>8228</v>
      </c>
    </row>
    <row r="306" spans="1:11" ht="14.4" customHeight="1" x14ac:dyDescent="0.3">
      <c r="A306" s="638" t="s">
        <v>537</v>
      </c>
      <c r="B306" s="639" t="s">
        <v>538</v>
      </c>
      <c r="C306" s="640" t="s">
        <v>550</v>
      </c>
      <c r="D306" s="641" t="s">
        <v>1129</v>
      </c>
      <c r="E306" s="640" t="s">
        <v>1702</v>
      </c>
      <c r="F306" s="641" t="s">
        <v>1703</v>
      </c>
      <c r="G306" s="640" t="s">
        <v>1640</v>
      </c>
      <c r="H306" s="640" t="s">
        <v>1641</v>
      </c>
      <c r="I306" s="642">
        <v>411.4</v>
      </c>
      <c r="J306" s="642">
        <v>10</v>
      </c>
      <c r="K306" s="643">
        <v>4114</v>
      </c>
    </row>
    <row r="307" spans="1:11" ht="14.4" customHeight="1" x14ac:dyDescent="0.3">
      <c r="A307" s="638" t="s">
        <v>537</v>
      </c>
      <c r="B307" s="639" t="s">
        <v>538</v>
      </c>
      <c r="C307" s="640" t="s">
        <v>550</v>
      </c>
      <c r="D307" s="641" t="s">
        <v>1129</v>
      </c>
      <c r="E307" s="640" t="s">
        <v>1700</v>
      </c>
      <c r="F307" s="641" t="s">
        <v>1701</v>
      </c>
      <c r="G307" s="640" t="s">
        <v>1642</v>
      </c>
      <c r="H307" s="640" t="s">
        <v>1643</v>
      </c>
      <c r="I307" s="642">
        <v>24.180000000000003</v>
      </c>
      <c r="J307" s="642">
        <v>900</v>
      </c>
      <c r="K307" s="643">
        <v>21758.22</v>
      </c>
    </row>
    <row r="308" spans="1:11" ht="14.4" customHeight="1" x14ac:dyDescent="0.3">
      <c r="A308" s="638" t="s">
        <v>537</v>
      </c>
      <c r="B308" s="639" t="s">
        <v>538</v>
      </c>
      <c r="C308" s="640" t="s">
        <v>550</v>
      </c>
      <c r="D308" s="641" t="s">
        <v>1129</v>
      </c>
      <c r="E308" s="640" t="s">
        <v>1700</v>
      </c>
      <c r="F308" s="641" t="s">
        <v>1701</v>
      </c>
      <c r="G308" s="640" t="s">
        <v>1434</v>
      </c>
      <c r="H308" s="640" t="s">
        <v>1435</v>
      </c>
      <c r="I308" s="642">
        <v>7</v>
      </c>
      <c r="J308" s="642">
        <v>50</v>
      </c>
      <c r="K308" s="643">
        <v>350</v>
      </c>
    </row>
    <row r="309" spans="1:11" ht="14.4" customHeight="1" x14ac:dyDescent="0.3">
      <c r="A309" s="638" t="s">
        <v>537</v>
      </c>
      <c r="B309" s="639" t="s">
        <v>538</v>
      </c>
      <c r="C309" s="640" t="s">
        <v>550</v>
      </c>
      <c r="D309" s="641" t="s">
        <v>1129</v>
      </c>
      <c r="E309" s="640" t="s">
        <v>1704</v>
      </c>
      <c r="F309" s="641" t="s">
        <v>1705</v>
      </c>
      <c r="G309" s="640" t="s">
        <v>1644</v>
      </c>
      <c r="H309" s="640" t="s">
        <v>1645</v>
      </c>
      <c r="I309" s="642">
        <v>49.85</v>
      </c>
      <c r="J309" s="642">
        <v>60</v>
      </c>
      <c r="K309" s="643">
        <v>2991.15</v>
      </c>
    </row>
    <row r="310" spans="1:11" ht="14.4" customHeight="1" x14ac:dyDescent="0.3">
      <c r="A310" s="638" t="s">
        <v>537</v>
      </c>
      <c r="B310" s="639" t="s">
        <v>538</v>
      </c>
      <c r="C310" s="640" t="s">
        <v>550</v>
      </c>
      <c r="D310" s="641" t="s">
        <v>1129</v>
      </c>
      <c r="E310" s="640" t="s">
        <v>1692</v>
      </c>
      <c r="F310" s="641" t="s">
        <v>1693</v>
      </c>
      <c r="G310" s="640" t="s">
        <v>1348</v>
      </c>
      <c r="H310" s="640" t="s">
        <v>1349</v>
      </c>
      <c r="I310" s="642">
        <v>0.30571428571428572</v>
      </c>
      <c r="J310" s="642">
        <v>2500</v>
      </c>
      <c r="K310" s="643">
        <v>760</v>
      </c>
    </row>
    <row r="311" spans="1:11" ht="14.4" customHeight="1" x14ac:dyDescent="0.3">
      <c r="A311" s="638" t="s">
        <v>537</v>
      </c>
      <c r="B311" s="639" t="s">
        <v>538</v>
      </c>
      <c r="C311" s="640" t="s">
        <v>550</v>
      </c>
      <c r="D311" s="641" t="s">
        <v>1129</v>
      </c>
      <c r="E311" s="640" t="s">
        <v>1692</v>
      </c>
      <c r="F311" s="641" t="s">
        <v>1693</v>
      </c>
      <c r="G311" s="640" t="s">
        <v>1438</v>
      </c>
      <c r="H311" s="640" t="s">
        <v>1439</v>
      </c>
      <c r="I311" s="642">
        <v>0.3</v>
      </c>
      <c r="J311" s="642">
        <v>400</v>
      </c>
      <c r="K311" s="643">
        <v>120</v>
      </c>
    </row>
    <row r="312" spans="1:11" ht="14.4" customHeight="1" x14ac:dyDescent="0.3">
      <c r="A312" s="638" t="s">
        <v>537</v>
      </c>
      <c r="B312" s="639" t="s">
        <v>538</v>
      </c>
      <c r="C312" s="640" t="s">
        <v>550</v>
      </c>
      <c r="D312" s="641" t="s">
        <v>1129</v>
      </c>
      <c r="E312" s="640" t="s">
        <v>1692</v>
      </c>
      <c r="F312" s="641" t="s">
        <v>1693</v>
      </c>
      <c r="G312" s="640" t="s">
        <v>1646</v>
      </c>
      <c r="H312" s="640" t="s">
        <v>1647</v>
      </c>
      <c r="I312" s="642">
        <v>0.47833333333333328</v>
      </c>
      <c r="J312" s="642">
        <v>800</v>
      </c>
      <c r="K312" s="643">
        <v>382</v>
      </c>
    </row>
    <row r="313" spans="1:11" ht="14.4" customHeight="1" x14ac:dyDescent="0.3">
      <c r="A313" s="638" t="s">
        <v>537</v>
      </c>
      <c r="B313" s="639" t="s">
        <v>538</v>
      </c>
      <c r="C313" s="640" t="s">
        <v>550</v>
      </c>
      <c r="D313" s="641" t="s">
        <v>1129</v>
      </c>
      <c r="E313" s="640" t="s">
        <v>1692</v>
      </c>
      <c r="F313" s="641" t="s">
        <v>1693</v>
      </c>
      <c r="G313" s="640" t="s">
        <v>1350</v>
      </c>
      <c r="H313" s="640" t="s">
        <v>1351</v>
      </c>
      <c r="I313" s="642">
        <v>0.48571428571428565</v>
      </c>
      <c r="J313" s="642">
        <v>4700</v>
      </c>
      <c r="K313" s="643">
        <v>2281</v>
      </c>
    </row>
    <row r="314" spans="1:11" ht="14.4" customHeight="1" x14ac:dyDescent="0.3">
      <c r="A314" s="638" t="s">
        <v>537</v>
      </c>
      <c r="B314" s="639" t="s">
        <v>538</v>
      </c>
      <c r="C314" s="640" t="s">
        <v>550</v>
      </c>
      <c r="D314" s="641" t="s">
        <v>1129</v>
      </c>
      <c r="E314" s="640" t="s">
        <v>1694</v>
      </c>
      <c r="F314" s="641" t="s">
        <v>1695</v>
      </c>
      <c r="G314" s="640" t="s">
        <v>1352</v>
      </c>
      <c r="H314" s="640" t="s">
        <v>1353</v>
      </c>
      <c r="I314" s="642">
        <v>0.71</v>
      </c>
      <c r="J314" s="642">
        <v>64000</v>
      </c>
      <c r="K314" s="643">
        <v>45440</v>
      </c>
    </row>
    <row r="315" spans="1:11" ht="14.4" customHeight="1" x14ac:dyDescent="0.3">
      <c r="A315" s="638" t="s">
        <v>537</v>
      </c>
      <c r="B315" s="639" t="s">
        <v>538</v>
      </c>
      <c r="C315" s="640" t="s">
        <v>550</v>
      </c>
      <c r="D315" s="641" t="s">
        <v>1129</v>
      </c>
      <c r="E315" s="640" t="s">
        <v>1694</v>
      </c>
      <c r="F315" s="641" t="s">
        <v>1695</v>
      </c>
      <c r="G315" s="640" t="s">
        <v>1356</v>
      </c>
      <c r="H315" s="640" t="s">
        <v>1357</v>
      </c>
      <c r="I315" s="642">
        <v>12.585000000000001</v>
      </c>
      <c r="J315" s="642">
        <v>250</v>
      </c>
      <c r="K315" s="643">
        <v>3146.5</v>
      </c>
    </row>
    <row r="316" spans="1:11" ht="14.4" customHeight="1" x14ac:dyDescent="0.3">
      <c r="A316" s="638" t="s">
        <v>537</v>
      </c>
      <c r="B316" s="639" t="s">
        <v>538</v>
      </c>
      <c r="C316" s="640" t="s">
        <v>550</v>
      </c>
      <c r="D316" s="641" t="s">
        <v>1129</v>
      </c>
      <c r="E316" s="640" t="s">
        <v>1694</v>
      </c>
      <c r="F316" s="641" t="s">
        <v>1695</v>
      </c>
      <c r="G316" s="640" t="s">
        <v>1358</v>
      </c>
      <c r="H316" s="640" t="s">
        <v>1359</v>
      </c>
      <c r="I316" s="642">
        <v>12.591428571428571</v>
      </c>
      <c r="J316" s="642">
        <v>1010</v>
      </c>
      <c r="K316" s="643">
        <v>12715.3</v>
      </c>
    </row>
    <row r="317" spans="1:11" ht="14.4" customHeight="1" x14ac:dyDescent="0.3">
      <c r="A317" s="638" t="s">
        <v>537</v>
      </c>
      <c r="B317" s="639" t="s">
        <v>538</v>
      </c>
      <c r="C317" s="640" t="s">
        <v>550</v>
      </c>
      <c r="D317" s="641" t="s">
        <v>1129</v>
      </c>
      <c r="E317" s="640" t="s">
        <v>1694</v>
      </c>
      <c r="F317" s="641" t="s">
        <v>1695</v>
      </c>
      <c r="G317" s="640" t="s">
        <v>1444</v>
      </c>
      <c r="H317" s="640" t="s">
        <v>1445</v>
      </c>
      <c r="I317" s="642">
        <v>12.58</v>
      </c>
      <c r="J317" s="642">
        <v>140</v>
      </c>
      <c r="K317" s="643">
        <v>1761.1</v>
      </c>
    </row>
    <row r="318" spans="1:11" ht="14.4" customHeight="1" x14ac:dyDescent="0.3">
      <c r="A318" s="638" t="s">
        <v>537</v>
      </c>
      <c r="B318" s="639" t="s">
        <v>538</v>
      </c>
      <c r="C318" s="640" t="s">
        <v>550</v>
      </c>
      <c r="D318" s="641" t="s">
        <v>1129</v>
      </c>
      <c r="E318" s="640" t="s">
        <v>1694</v>
      </c>
      <c r="F318" s="641" t="s">
        <v>1695</v>
      </c>
      <c r="G318" s="640" t="s">
        <v>1446</v>
      </c>
      <c r="H318" s="640" t="s">
        <v>1447</v>
      </c>
      <c r="I318" s="642">
        <v>12.585000000000001</v>
      </c>
      <c r="J318" s="642">
        <v>530</v>
      </c>
      <c r="K318" s="643">
        <v>6670.3</v>
      </c>
    </row>
    <row r="319" spans="1:11" ht="14.4" customHeight="1" x14ac:dyDescent="0.3">
      <c r="A319" s="638" t="s">
        <v>537</v>
      </c>
      <c r="B319" s="639" t="s">
        <v>538</v>
      </c>
      <c r="C319" s="640" t="s">
        <v>550</v>
      </c>
      <c r="D319" s="641" t="s">
        <v>1129</v>
      </c>
      <c r="E319" s="640" t="s">
        <v>1696</v>
      </c>
      <c r="F319" s="641" t="s">
        <v>1697</v>
      </c>
      <c r="G319" s="640" t="s">
        <v>1360</v>
      </c>
      <c r="H319" s="640" t="s">
        <v>1361</v>
      </c>
      <c r="I319" s="642">
        <v>139.42833333333331</v>
      </c>
      <c r="J319" s="642">
        <v>65</v>
      </c>
      <c r="K319" s="643">
        <v>9062.630000000001</v>
      </c>
    </row>
    <row r="320" spans="1:11" ht="14.4" customHeight="1" x14ac:dyDescent="0.3">
      <c r="A320" s="638" t="s">
        <v>537</v>
      </c>
      <c r="B320" s="639" t="s">
        <v>538</v>
      </c>
      <c r="C320" s="640" t="s">
        <v>550</v>
      </c>
      <c r="D320" s="641" t="s">
        <v>1129</v>
      </c>
      <c r="E320" s="640" t="s">
        <v>1696</v>
      </c>
      <c r="F320" s="641" t="s">
        <v>1697</v>
      </c>
      <c r="G320" s="640" t="s">
        <v>1362</v>
      </c>
      <c r="H320" s="640" t="s">
        <v>1363</v>
      </c>
      <c r="I320" s="642">
        <v>11.656666666666666</v>
      </c>
      <c r="J320" s="642">
        <v>30</v>
      </c>
      <c r="K320" s="643">
        <v>349.7</v>
      </c>
    </row>
    <row r="321" spans="1:11" ht="14.4" customHeight="1" x14ac:dyDescent="0.3">
      <c r="A321" s="638" t="s">
        <v>537</v>
      </c>
      <c r="B321" s="639" t="s">
        <v>538</v>
      </c>
      <c r="C321" s="640" t="s">
        <v>550</v>
      </c>
      <c r="D321" s="641" t="s">
        <v>1129</v>
      </c>
      <c r="E321" s="640" t="s">
        <v>1696</v>
      </c>
      <c r="F321" s="641" t="s">
        <v>1697</v>
      </c>
      <c r="G321" s="640" t="s">
        <v>1648</v>
      </c>
      <c r="H321" s="640" t="s">
        <v>1649</v>
      </c>
      <c r="I321" s="642">
        <v>3709.67</v>
      </c>
      <c r="J321" s="642">
        <v>1</v>
      </c>
      <c r="K321" s="643">
        <v>3709.67</v>
      </c>
    </row>
    <row r="322" spans="1:11" ht="14.4" customHeight="1" x14ac:dyDescent="0.3">
      <c r="A322" s="638" t="s">
        <v>537</v>
      </c>
      <c r="B322" s="639" t="s">
        <v>538</v>
      </c>
      <c r="C322" s="640" t="s">
        <v>550</v>
      </c>
      <c r="D322" s="641" t="s">
        <v>1129</v>
      </c>
      <c r="E322" s="640" t="s">
        <v>1696</v>
      </c>
      <c r="F322" s="641" t="s">
        <v>1697</v>
      </c>
      <c r="G322" s="640" t="s">
        <v>1650</v>
      </c>
      <c r="H322" s="640" t="s">
        <v>1651</v>
      </c>
      <c r="I322" s="642">
        <v>5445</v>
      </c>
      <c r="J322" s="642">
        <v>2</v>
      </c>
      <c r="K322" s="643">
        <v>10890</v>
      </c>
    </row>
    <row r="323" spans="1:11" ht="14.4" customHeight="1" x14ac:dyDescent="0.3">
      <c r="A323" s="638" t="s">
        <v>537</v>
      </c>
      <c r="B323" s="639" t="s">
        <v>538</v>
      </c>
      <c r="C323" s="640" t="s">
        <v>550</v>
      </c>
      <c r="D323" s="641" t="s">
        <v>1129</v>
      </c>
      <c r="E323" s="640" t="s">
        <v>1696</v>
      </c>
      <c r="F323" s="641" t="s">
        <v>1697</v>
      </c>
      <c r="G323" s="640" t="s">
        <v>1364</v>
      </c>
      <c r="H323" s="640" t="s">
        <v>1365</v>
      </c>
      <c r="I323" s="642">
        <v>3035.31</v>
      </c>
      <c r="J323" s="642">
        <v>2</v>
      </c>
      <c r="K323" s="643">
        <v>6070.62</v>
      </c>
    </row>
    <row r="324" spans="1:11" ht="14.4" customHeight="1" x14ac:dyDescent="0.3">
      <c r="A324" s="638" t="s">
        <v>537</v>
      </c>
      <c r="B324" s="639" t="s">
        <v>538</v>
      </c>
      <c r="C324" s="640" t="s">
        <v>550</v>
      </c>
      <c r="D324" s="641" t="s">
        <v>1129</v>
      </c>
      <c r="E324" s="640" t="s">
        <v>1696</v>
      </c>
      <c r="F324" s="641" t="s">
        <v>1697</v>
      </c>
      <c r="G324" s="640" t="s">
        <v>1366</v>
      </c>
      <c r="H324" s="640" t="s">
        <v>1367</v>
      </c>
      <c r="I324" s="642">
        <v>2722.5</v>
      </c>
      <c r="J324" s="642">
        <v>12</v>
      </c>
      <c r="K324" s="643">
        <v>32670</v>
      </c>
    </row>
    <row r="325" spans="1:11" ht="14.4" customHeight="1" x14ac:dyDescent="0.3">
      <c r="A325" s="638" t="s">
        <v>537</v>
      </c>
      <c r="B325" s="639" t="s">
        <v>538</v>
      </c>
      <c r="C325" s="640" t="s">
        <v>550</v>
      </c>
      <c r="D325" s="641" t="s">
        <v>1129</v>
      </c>
      <c r="E325" s="640" t="s">
        <v>1696</v>
      </c>
      <c r="F325" s="641" t="s">
        <v>1697</v>
      </c>
      <c r="G325" s="640" t="s">
        <v>1652</v>
      </c>
      <c r="H325" s="640" t="s">
        <v>1653</v>
      </c>
      <c r="I325" s="642">
        <v>5445</v>
      </c>
      <c r="J325" s="642">
        <v>2</v>
      </c>
      <c r="K325" s="643">
        <v>10890</v>
      </c>
    </row>
    <row r="326" spans="1:11" ht="14.4" customHeight="1" x14ac:dyDescent="0.3">
      <c r="A326" s="638" t="s">
        <v>537</v>
      </c>
      <c r="B326" s="639" t="s">
        <v>538</v>
      </c>
      <c r="C326" s="640" t="s">
        <v>550</v>
      </c>
      <c r="D326" s="641" t="s">
        <v>1129</v>
      </c>
      <c r="E326" s="640" t="s">
        <v>1696</v>
      </c>
      <c r="F326" s="641" t="s">
        <v>1697</v>
      </c>
      <c r="G326" s="640" t="s">
        <v>1368</v>
      </c>
      <c r="H326" s="640" t="s">
        <v>1369</v>
      </c>
      <c r="I326" s="642">
        <v>4453.33</v>
      </c>
      <c r="J326" s="642">
        <v>3</v>
      </c>
      <c r="K326" s="643">
        <v>13360</v>
      </c>
    </row>
    <row r="327" spans="1:11" ht="14.4" customHeight="1" x14ac:dyDescent="0.3">
      <c r="A327" s="638" t="s">
        <v>537</v>
      </c>
      <c r="B327" s="639" t="s">
        <v>538</v>
      </c>
      <c r="C327" s="640" t="s">
        <v>550</v>
      </c>
      <c r="D327" s="641" t="s">
        <v>1129</v>
      </c>
      <c r="E327" s="640" t="s">
        <v>1696</v>
      </c>
      <c r="F327" s="641" t="s">
        <v>1697</v>
      </c>
      <c r="G327" s="640" t="s">
        <v>1654</v>
      </c>
      <c r="H327" s="640" t="s">
        <v>1655</v>
      </c>
      <c r="I327" s="642">
        <v>5445</v>
      </c>
      <c r="J327" s="642">
        <v>2</v>
      </c>
      <c r="K327" s="643">
        <v>10890</v>
      </c>
    </row>
    <row r="328" spans="1:11" ht="14.4" customHeight="1" x14ac:dyDescent="0.3">
      <c r="A328" s="638" t="s">
        <v>537</v>
      </c>
      <c r="B328" s="639" t="s">
        <v>538</v>
      </c>
      <c r="C328" s="640" t="s">
        <v>550</v>
      </c>
      <c r="D328" s="641" t="s">
        <v>1129</v>
      </c>
      <c r="E328" s="640" t="s">
        <v>1696</v>
      </c>
      <c r="F328" s="641" t="s">
        <v>1697</v>
      </c>
      <c r="G328" s="640" t="s">
        <v>1462</v>
      </c>
      <c r="H328" s="640" t="s">
        <v>1463</v>
      </c>
      <c r="I328" s="642">
        <v>2277.85</v>
      </c>
      <c r="J328" s="642">
        <v>2</v>
      </c>
      <c r="K328" s="643">
        <v>4555.7</v>
      </c>
    </row>
    <row r="329" spans="1:11" ht="14.4" customHeight="1" x14ac:dyDescent="0.3">
      <c r="A329" s="638" t="s">
        <v>537</v>
      </c>
      <c r="B329" s="639" t="s">
        <v>538</v>
      </c>
      <c r="C329" s="640" t="s">
        <v>550</v>
      </c>
      <c r="D329" s="641" t="s">
        <v>1129</v>
      </c>
      <c r="E329" s="640" t="s">
        <v>1696</v>
      </c>
      <c r="F329" s="641" t="s">
        <v>1697</v>
      </c>
      <c r="G329" s="640" t="s">
        <v>1464</v>
      </c>
      <c r="H329" s="640" t="s">
        <v>1465</v>
      </c>
      <c r="I329" s="642">
        <v>3130.75</v>
      </c>
      <c r="J329" s="642">
        <v>1</v>
      </c>
      <c r="K329" s="643">
        <v>3130.75</v>
      </c>
    </row>
    <row r="330" spans="1:11" ht="14.4" customHeight="1" x14ac:dyDescent="0.3">
      <c r="A330" s="638" t="s">
        <v>537</v>
      </c>
      <c r="B330" s="639" t="s">
        <v>538</v>
      </c>
      <c r="C330" s="640" t="s">
        <v>550</v>
      </c>
      <c r="D330" s="641" t="s">
        <v>1129</v>
      </c>
      <c r="E330" s="640" t="s">
        <v>1696</v>
      </c>
      <c r="F330" s="641" t="s">
        <v>1697</v>
      </c>
      <c r="G330" s="640" t="s">
        <v>1468</v>
      </c>
      <c r="H330" s="640" t="s">
        <v>1469</v>
      </c>
      <c r="I330" s="642">
        <v>3035.31</v>
      </c>
      <c r="J330" s="642">
        <v>1</v>
      </c>
      <c r="K330" s="643">
        <v>3035.31</v>
      </c>
    </row>
    <row r="331" spans="1:11" ht="14.4" customHeight="1" x14ac:dyDescent="0.3">
      <c r="A331" s="638" t="s">
        <v>537</v>
      </c>
      <c r="B331" s="639" t="s">
        <v>538</v>
      </c>
      <c r="C331" s="640" t="s">
        <v>550</v>
      </c>
      <c r="D331" s="641" t="s">
        <v>1129</v>
      </c>
      <c r="E331" s="640" t="s">
        <v>1696</v>
      </c>
      <c r="F331" s="641" t="s">
        <v>1697</v>
      </c>
      <c r="G331" s="640" t="s">
        <v>1470</v>
      </c>
      <c r="H331" s="640" t="s">
        <v>1471</v>
      </c>
      <c r="I331" s="642">
        <v>213.34</v>
      </c>
      <c r="J331" s="642">
        <v>2</v>
      </c>
      <c r="K331" s="643">
        <v>426.69</v>
      </c>
    </row>
    <row r="332" spans="1:11" ht="14.4" customHeight="1" x14ac:dyDescent="0.3">
      <c r="A332" s="638" t="s">
        <v>537</v>
      </c>
      <c r="B332" s="639" t="s">
        <v>538</v>
      </c>
      <c r="C332" s="640" t="s">
        <v>550</v>
      </c>
      <c r="D332" s="641" t="s">
        <v>1129</v>
      </c>
      <c r="E332" s="640" t="s">
        <v>1696</v>
      </c>
      <c r="F332" s="641" t="s">
        <v>1697</v>
      </c>
      <c r="G332" s="640" t="s">
        <v>1656</v>
      </c>
      <c r="H332" s="640" t="s">
        <v>1657</v>
      </c>
      <c r="I332" s="642">
        <v>5445</v>
      </c>
      <c r="J332" s="642">
        <v>1</v>
      </c>
      <c r="K332" s="643">
        <v>5445</v>
      </c>
    </row>
    <row r="333" spans="1:11" ht="14.4" customHeight="1" x14ac:dyDescent="0.3">
      <c r="A333" s="638" t="s">
        <v>537</v>
      </c>
      <c r="B333" s="639" t="s">
        <v>538</v>
      </c>
      <c r="C333" s="640" t="s">
        <v>550</v>
      </c>
      <c r="D333" s="641" t="s">
        <v>1129</v>
      </c>
      <c r="E333" s="640" t="s">
        <v>1696</v>
      </c>
      <c r="F333" s="641" t="s">
        <v>1697</v>
      </c>
      <c r="G333" s="640" t="s">
        <v>1480</v>
      </c>
      <c r="H333" s="640" t="s">
        <v>1481</v>
      </c>
      <c r="I333" s="642">
        <v>2375.23</v>
      </c>
      <c r="J333" s="642">
        <v>1</v>
      </c>
      <c r="K333" s="643">
        <v>2375.23</v>
      </c>
    </row>
    <row r="334" spans="1:11" ht="14.4" customHeight="1" x14ac:dyDescent="0.3">
      <c r="A334" s="638" t="s">
        <v>537</v>
      </c>
      <c r="B334" s="639" t="s">
        <v>538</v>
      </c>
      <c r="C334" s="640" t="s">
        <v>550</v>
      </c>
      <c r="D334" s="641" t="s">
        <v>1129</v>
      </c>
      <c r="E334" s="640" t="s">
        <v>1698</v>
      </c>
      <c r="F334" s="641" t="s">
        <v>1699</v>
      </c>
      <c r="G334" s="640" t="s">
        <v>1658</v>
      </c>
      <c r="H334" s="640" t="s">
        <v>1659</v>
      </c>
      <c r="I334" s="642">
        <v>335.17</v>
      </c>
      <c r="J334" s="642">
        <v>60</v>
      </c>
      <c r="K334" s="643">
        <v>20110.199999999997</v>
      </c>
    </row>
    <row r="335" spans="1:11" ht="14.4" customHeight="1" x14ac:dyDescent="0.3">
      <c r="A335" s="638" t="s">
        <v>537</v>
      </c>
      <c r="B335" s="639" t="s">
        <v>538</v>
      </c>
      <c r="C335" s="640" t="s">
        <v>550</v>
      </c>
      <c r="D335" s="641" t="s">
        <v>1129</v>
      </c>
      <c r="E335" s="640" t="s">
        <v>1698</v>
      </c>
      <c r="F335" s="641" t="s">
        <v>1699</v>
      </c>
      <c r="G335" s="640" t="s">
        <v>1660</v>
      </c>
      <c r="H335" s="640" t="s">
        <v>1661</v>
      </c>
      <c r="I335" s="642">
        <v>630</v>
      </c>
      <c r="J335" s="642">
        <v>41</v>
      </c>
      <c r="K335" s="643">
        <v>25829.95</v>
      </c>
    </row>
    <row r="336" spans="1:11" ht="14.4" customHeight="1" x14ac:dyDescent="0.3">
      <c r="A336" s="638" t="s">
        <v>537</v>
      </c>
      <c r="B336" s="639" t="s">
        <v>538</v>
      </c>
      <c r="C336" s="640" t="s">
        <v>550</v>
      </c>
      <c r="D336" s="641" t="s">
        <v>1129</v>
      </c>
      <c r="E336" s="640" t="s">
        <v>1698</v>
      </c>
      <c r="F336" s="641" t="s">
        <v>1699</v>
      </c>
      <c r="G336" s="640" t="s">
        <v>1662</v>
      </c>
      <c r="H336" s="640" t="s">
        <v>1663</v>
      </c>
      <c r="I336" s="642">
        <v>254.1</v>
      </c>
      <c r="J336" s="642">
        <v>30</v>
      </c>
      <c r="K336" s="643">
        <v>7623</v>
      </c>
    </row>
    <row r="337" spans="1:11" ht="14.4" customHeight="1" x14ac:dyDescent="0.3">
      <c r="A337" s="638" t="s">
        <v>537</v>
      </c>
      <c r="B337" s="639" t="s">
        <v>538</v>
      </c>
      <c r="C337" s="640" t="s">
        <v>550</v>
      </c>
      <c r="D337" s="641" t="s">
        <v>1129</v>
      </c>
      <c r="E337" s="640" t="s">
        <v>1698</v>
      </c>
      <c r="F337" s="641" t="s">
        <v>1699</v>
      </c>
      <c r="G337" s="640" t="s">
        <v>1664</v>
      </c>
      <c r="H337" s="640" t="s">
        <v>1665</v>
      </c>
      <c r="I337" s="642">
        <v>461.52</v>
      </c>
      <c r="J337" s="642">
        <v>20</v>
      </c>
      <c r="K337" s="643">
        <v>9230.48</v>
      </c>
    </row>
    <row r="338" spans="1:11" ht="14.4" customHeight="1" x14ac:dyDescent="0.3">
      <c r="A338" s="638" t="s">
        <v>537</v>
      </c>
      <c r="B338" s="639" t="s">
        <v>538</v>
      </c>
      <c r="C338" s="640" t="s">
        <v>550</v>
      </c>
      <c r="D338" s="641" t="s">
        <v>1129</v>
      </c>
      <c r="E338" s="640" t="s">
        <v>1698</v>
      </c>
      <c r="F338" s="641" t="s">
        <v>1699</v>
      </c>
      <c r="G338" s="640" t="s">
        <v>1666</v>
      </c>
      <c r="H338" s="640" t="s">
        <v>1667</v>
      </c>
      <c r="I338" s="642">
        <v>153</v>
      </c>
      <c r="J338" s="642">
        <v>20</v>
      </c>
      <c r="K338" s="643">
        <v>3059.96</v>
      </c>
    </row>
    <row r="339" spans="1:11" ht="14.4" customHeight="1" x14ac:dyDescent="0.3">
      <c r="A339" s="638" t="s">
        <v>537</v>
      </c>
      <c r="B339" s="639" t="s">
        <v>538</v>
      </c>
      <c r="C339" s="640" t="s">
        <v>550</v>
      </c>
      <c r="D339" s="641" t="s">
        <v>1129</v>
      </c>
      <c r="E339" s="640" t="s">
        <v>1698</v>
      </c>
      <c r="F339" s="641" t="s">
        <v>1699</v>
      </c>
      <c r="G339" s="640" t="s">
        <v>1668</v>
      </c>
      <c r="H339" s="640" t="s">
        <v>1669</v>
      </c>
      <c r="I339" s="642">
        <v>1767.3</v>
      </c>
      <c r="J339" s="642">
        <v>2</v>
      </c>
      <c r="K339" s="643">
        <v>3534.6</v>
      </c>
    </row>
    <row r="340" spans="1:11" ht="14.4" customHeight="1" x14ac:dyDescent="0.3">
      <c r="A340" s="638" t="s">
        <v>537</v>
      </c>
      <c r="B340" s="639" t="s">
        <v>538</v>
      </c>
      <c r="C340" s="640" t="s">
        <v>550</v>
      </c>
      <c r="D340" s="641" t="s">
        <v>1129</v>
      </c>
      <c r="E340" s="640" t="s">
        <v>1698</v>
      </c>
      <c r="F340" s="641" t="s">
        <v>1699</v>
      </c>
      <c r="G340" s="640" t="s">
        <v>1670</v>
      </c>
      <c r="H340" s="640" t="s">
        <v>1671</v>
      </c>
      <c r="I340" s="642">
        <v>254.87</v>
      </c>
      <c r="J340" s="642">
        <v>20</v>
      </c>
      <c r="K340" s="643">
        <v>5097.37</v>
      </c>
    </row>
    <row r="341" spans="1:11" ht="14.4" customHeight="1" x14ac:dyDescent="0.3">
      <c r="A341" s="638" t="s">
        <v>537</v>
      </c>
      <c r="B341" s="639" t="s">
        <v>538</v>
      </c>
      <c r="C341" s="640" t="s">
        <v>550</v>
      </c>
      <c r="D341" s="641" t="s">
        <v>1129</v>
      </c>
      <c r="E341" s="640" t="s">
        <v>1698</v>
      </c>
      <c r="F341" s="641" t="s">
        <v>1699</v>
      </c>
      <c r="G341" s="640" t="s">
        <v>1672</v>
      </c>
      <c r="H341" s="640" t="s">
        <v>1673</v>
      </c>
      <c r="I341" s="642">
        <v>5386.56</v>
      </c>
      <c r="J341" s="642">
        <v>8</v>
      </c>
      <c r="K341" s="643">
        <v>43092.44</v>
      </c>
    </row>
    <row r="342" spans="1:11" ht="14.4" customHeight="1" x14ac:dyDescent="0.3">
      <c r="A342" s="638" t="s">
        <v>537</v>
      </c>
      <c r="B342" s="639" t="s">
        <v>538</v>
      </c>
      <c r="C342" s="640" t="s">
        <v>550</v>
      </c>
      <c r="D342" s="641" t="s">
        <v>1129</v>
      </c>
      <c r="E342" s="640" t="s">
        <v>1698</v>
      </c>
      <c r="F342" s="641" t="s">
        <v>1699</v>
      </c>
      <c r="G342" s="640" t="s">
        <v>1674</v>
      </c>
      <c r="H342" s="640" t="s">
        <v>1675</v>
      </c>
      <c r="I342" s="642">
        <v>534.86</v>
      </c>
      <c r="J342" s="642">
        <v>40</v>
      </c>
      <c r="K342" s="643">
        <v>21394.5</v>
      </c>
    </row>
    <row r="343" spans="1:11" ht="14.4" customHeight="1" x14ac:dyDescent="0.3">
      <c r="A343" s="638" t="s">
        <v>537</v>
      </c>
      <c r="B343" s="639" t="s">
        <v>538</v>
      </c>
      <c r="C343" s="640" t="s">
        <v>550</v>
      </c>
      <c r="D343" s="641" t="s">
        <v>1129</v>
      </c>
      <c r="E343" s="640" t="s">
        <v>1698</v>
      </c>
      <c r="F343" s="641" t="s">
        <v>1699</v>
      </c>
      <c r="G343" s="640" t="s">
        <v>1676</v>
      </c>
      <c r="H343" s="640" t="s">
        <v>1677</v>
      </c>
      <c r="I343" s="642">
        <v>83.25</v>
      </c>
      <c r="J343" s="642">
        <v>10</v>
      </c>
      <c r="K343" s="643">
        <v>832.5</v>
      </c>
    </row>
    <row r="344" spans="1:11" ht="14.4" customHeight="1" x14ac:dyDescent="0.3">
      <c r="A344" s="638" t="s">
        <v>537</v>
      </c>
      <c r="B344" s="639" t="s">
        <v>538</v>
      </c>
      <c r="C344" s="640" t="s">
        <v>550</v>
      </c>
      <c r="D344" s="641" t="s">
        <v>1129</v>
      </c>
      <c r="E344" s="640" t="s">
        <v>1698</v>
      </c>
      <c r="F344" s="641" t="s">
        <v>1699</v>
      </c>
      <c r="G344" s="640" t="s">
        <v>1678</v>
      </c>
      <c r="H344" s="640" t="s">
        <v>1679</v>
      </c>
      <c r="I344" s="642">
        <v>461.52</v>
      </c>
      <c r="J344" s="642">
        <v>20</v>
      </c>
      <c r="K344" s="643">
        <v>9230.48</v>
      </c>
    </row>
    <row r="345" spans="1:11" ht="14.4" customHeight="1" x14ac:dyDescent="0.3">
      <c r="A345" s="638" t="s">
        <v>537</v>
      </c>
      <c r="B345" s="639" t="s">
        <v>538</v>
      </c>
      <c r="C345" s="640" t="s">
        <v>550</v>
      </c>
      <c r="D345" s="641" t="s">
        <v>1129</v>
      </c>
      <c r="E345" s="640" t="s">
        <v>1698</v>
      </c>
      <c r="F345" s="641" t="s">
        <v>1699</v>
      </c>
      <c r="G345" s="640" t="s">
        <v>1680</v>
      </c>
      <c r="H345" s="640" t="s">
        <v>1681</v>
      </c>
      <c r="I345" s="642">
        <v>370.48</v>
      </c>
      <c r="J345" s="642">
        <v>10</v>
      </c>
      <c r="K345" s="643">
        <v>3704.84</v>
      </c>
    </row>
    <row r="346" spans="1:11" ht="14.4" customHeight="1" x14ac:dyDescent="0.3">
      <c r="A346" s="638" t="s">
        <v>537</v>
      </c>
      <c r="B346" s="639" t="s">
        <v>538</v>
      </c>
      <c r="C346" s="640" t="s">
        <v>550</v>
      </c>
      <c r="D346" s="641" t="s">
        <v>1129</v>
      </c>
      <c r="E346" s="640" t="s">
        <v>1698</v>
      </c>
      <c r="F346" s="641" t="s">
        <v>1699</v>
      </c>
      <c r="G346" s="640" t="s">
        <v>1682</v>
      </c>
      <c r="H346" s="640" t="s">
        <v>1683</v>
      </c>
      <c r="I346" s="642">
        <v>461.52</v>
      </c>
      <c r="J346" s="642">
        <v>10</v>
      </c>
      <c r="K346" s="643">
        <v>4615.24</v>
      </c>
    </row>
    <row r="347" spans="1:11" ht="14.4" customHeight="1" x14ac:dyDescent="0.3">
      <c r="A347" s="638" t="s">
        <v>537</v>
      </c>
      <c r="B347" s="639" t="s">
        <v>538</v>
      </c>
      <c r="C347" s="640" t="s">
        <v>550</v>
      </c>
      <c r="D347" s="641" t="s">
        <v>1129</v>
      </c>
      <c r="E347" s="640" t="s">
        <v>1698</v>
      </c>
      <c r="F347" s="641" t="s">
        <v>1699</v>
      </c>
      <c r="G347" s="640" t="s">
        <v>1684</v>
      </c>
      <c r="H347" s="640" t="s">
        <v>1685</v>
      </c>
      <c r="I347" s="642">
        <v>1092.49</v>
      </c>
      <c r="J347" s="642">
        <v>10</v>
      </c>
      <c r="K347" s="643">
        <v>10924.85</v>
      </c>
    </row>
    <row r="348" spans="1:11" ht="14.4" customHeight="1" thickBot="1" x14ac:dyDescent="0.35">
      <c r="A348" s="644" t="s">
        <v>537</v>
      </c>
      <c r="B348" s="645" t="s">
        <v>538</v>
      </c>
      <c r="C348" s="646" t="s">
        <v>550</v>
      </c>
      <c r="D348" s="647" t="s">
        <v>1129</v>
      </c>
      <c r="E348" s="646" t="s">
        <v>1698</v>
      </c>
      <c r="F348" s="647" t="s">
        <v>1699</v>
      </c>
      <c r="G348" s="646" t="s">
        <v>1686</v>
      </c>
      <c r="H348" s="646" t="s">
        <v>1687</v>
      </c>
      <c r="I348" s="648">
        <v>461.52</v>
      </c>
      <c r="J348" s="648">
        <v>20</v>
      </c>
      <c r="K348" s="649">
        <v>9230.48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524" t="s">
        <v>123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</row>
    <row r="2" spans="1:14" ht="15" thickBot="1" x14ac:dyDescent="0.35">
      <c r="A2" s="368" t="s">
        <v>301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</row>
    <row r="3" spans="1:14" x14ac:dyDescent="0.3">
      <c r="A3" s="387" t="s">
        <v>236</v>
      </c>
      <c r="B3" s="522" t="s">
        <v>218</v>
      </c>
      <c r="C3" s="370">
        <v>0</v>
      </c>
      <c r="D3" s="371">
        <v>99</v>
      </c>
      <c r="E3" s="390">
        <v>100</v>
      </c>
      <c r="F3" s="390">
        <v>101</v>
      </c>
      <c r="G3" s="390">
        <v>302</v>
      </c>
      <c r="H3" s="390">
        <v>303</v>
      </c>
      <c r="I3" s="390">
        <v>304</v>
      </c>
      <c r="J3" s="390">
        <v>305</v>
      </c>
      <c r="K3" s="390">
        <v>306</v>
      </c>
      <c r="L3" s="371">
        <v>642</v>
      </c>
      <c r="M3" s="724">
        <v>930</v>
      </c>
      <c r="N3" s="739"/>
    </row>
    <row r="4" spans="1:14" ht="24.6" outlineLevel="1" thickBot="1" x14ac:dyDescent="0.35">
      <c r="A4" s="388">
        <v>2016</v>
      </c>
      <c r="B4" s="523"/>
      <c r="C4" s="372" t="s">
        <v>219</v>
      </c>
      <c r="D4" s="373" t="s">
        <v>220</v>
      </c>
      <c r="E4" s="391" t="s">
        <v>267</v>
      </c>
      <c r="F4" s="391" t="s">
        <v>268</v>
      </c>
      <c r="G4" s="391" t="s">
        <v>269</v>
      </c>
      <c r="H4" s="391" t="s">
        <v>270</v>
      </c>
      <c r="I4" s="391" t="s">
        <v>271</v>
      </c>
      <c r="J4" s="391" t="s">
        <v>272</v>
      </c>
      <c r="K4" s="391" t="s">
        <v>245</v>
      </c>
      <c r="L4" s="373" t="s">
        <v>246</v>
      </c>
      <c r="M4" s="725" t="s">
        <v>238</v>
      </c>
      <c r="N4" s="739"/>
    </row>
    <row r="5" spans="1:14" x14ac:dyDescent="0.3">
      <c r="A5" s="374" t="s">
        <v>221</v>
      </c>
      <c r="B5" s="410"/>
      <c r="C5" s="411"/>
      <c r="D5" s="412"/>
      <c r="E5" s="412"/>
      <c r="F5" s="412"/>
      <c r="G5" s="412"/>
      <c r="H5" s="412"/>
      <c r="I5" s="412"/>
      <c r="J5" s="412"/>
      <c r="K5" s="412"/>
      <c r="L5" s="412"/>
      <c r="M5" s="726"/>
      <c r="N5" s="739"/>
    </row>
    <row r="6" spans="1:14" ht="15" collapsed="1" thickBot="1" x14ac:dyDescent="0.35">
      <c r="A6" s="375" t="s">
        <v>87</v>
      </c>
      <c r="B6" s="413">
        <f xml:space="preserve">
TRUNC(IF($A$4&lt;=12,SUMIFS('ON Data'!F:F,'ON Data'!$D:$D,$A$4,'ON Data'!$E:$E,1),SUMIFS('ON Data'!F:F,'ON Data'!$E:$E,1)/'ON Data'!$D$3),1)</f>
        <v>67.3</v>
      </c>
      <c r="C6" s="414">
        <f xml:space="preserve">
TRUNC(IF($A$4&lt;=12,SUMIFS('ON Data'!G:G,'ON Data'!$D:$D,$A$4,'ON Data'!$E:$E,1),SUMIFS('ON Data'!G:G,'ON Data'!$E:$E,1)/'ON Data'!$D$3),1)</f>
        <v>0</v>
      </c>
      <c r="D6" s="415">
        <f xml:space="preserve">
TRUNC(IF($A$4&lt;=12,SUMIFS('ON Data'!I:I,'ON Data'!$D:$D,$A$4,'ON Data'!$E:$E,1),SUMIFS('ON Data'!I:I,'ON Data'!$E:$E,1)/'ON Data'!$D$3),1)</f>
        <v>0.8</v>
      </c>
      <c r="E6" s="415">
        <f xml:space="preserve">
TRUNC(IF($A$4&lt;=12,SUMIFS('ON Data'!J:J,'ON Data'!$D:$D,$A$4,'ON Data'!$E:$E,1),SUMIFS('ON Data'!J:J,'ON Data'!$E:$E,1)/'ON Data'!$D$3),1)</f>
        <v>1</v>
      </c>
      <c r="F6" s="415">
        <f xml:space="preserve">
TRUNC(IF($A$4&lt;=12,SUMIFS('ON Data'!K:K,'ON Data'!$D:$D,$A$4,'ON Data'!$E:$E,1),SUMIFS('ON Data'!K:K,'ON Data'!$E:$E,1)/'ON Data'!$D$3),1)</f>
        <v>7.7</v>
      </c>
      <c r="G6" s="415">
        <f xml:space="preserve">
TRUNC(IF($A$4&lt;=12,SUMIFS('ON Data'!O:O,'ON Data'!$D:$D,$A$4,'ON Data'!$E:$E,1),SUMIFS('ON Data'!O:O,'ON Data'!$E:$E,1)/'ON Data'!$D$3),1)</f>
        <v>0</v>
      </c>
      <c r="H6" s="415">
        <f xml:space="preserve">
TRUNC(IF($A$4&lt;=12,SUMIFS('ON Data'!P:P,'ON Data'!$D:$D,$A$4,'ON Data'!$E:$E,1),SUMIFS('ON Data'!P:P,'ON Data'!$E:$E,1)/'ON Data'!$D$3),1)</f>
        <v>14.2</v>
      </c>
      <c r="I6" s="415">
        <f xml:space="preserve">
TRUNC(IF($A$4&lt;=12,SUMIFS('ON Data'!Q:Q,'ON Data'!$D:$D,$A$4,'ON Data'!$E:$E,1),SUMIFS('ON Data'!Q:Q,'ON Data'!$E:$E,1)/'ON Data'!$D$3),1)</f>
        <v>27.2</v>
      </c>
      <c r="J6" s="415">
        <f xml:space="preserve">
TRUNC(IF($A$4&lt;=12,SUMIFS('ON Data'!R:R,'ON Data'!$D:$D,$A$4,'ON Data'!$E:$E,1),SUMIFS('ON Data'!R:R,'ON Data'!$E:$E,1)/'ON Data'!$D$3),1)</f>
        <v>6.8</v>
      </c>
      <c r="K6" s="415">
        <f xml:space="preserve">
TRUNC(IF($A$4&lt;=12,SUMIFS('ON Data'!S:S,'ON Data'!$D:$D,$A$4,'ON Data'!$E:$E,1),SUMIFS('ON Data'!S:S,'ON Data'!$E:$E,1)/'ON Data'!$D$3),1)</f>
        <v>4.3</v>
      </c>
      <c r="L6" s="415">
        <f xml:space="preserve">
TRUNC(IF($A$4&lt;=12,SUMIFS('ON Data'!AR:AR,'ON Data'!$D:$D,$A$4,'ON Data'!$E:$E,1),SUMIFS('ON Data'!AR:AR,'ON Data'!$E:$E,1)/'ON Data'!$D$3),1)</f>
        <v>4</v>
      </c>
      <c r="M6" s="727">
        <f xml:space="preserve">
TRUNC(IF($A$4&lt;=12,SUMIFS('ON Data'!AW:AW,'ON Data'!$D:$D,$A$4,'ON Data'!$E:$E,1),SUMIFS('ON Data'!AW:AW,'ON Data'!$E:$E,1)/'ON Data'!$D$3),1)</f>
        <v>1</v>
      </c>
      <c r="N6" s="739"/>
    </row>
    <row r="7" spans="1:14" ht="15" hidden="1" outlineLevel="1" thickBot="1" x14ac:dyDescent="0.35">
      <c r="A7" s="375" t="s">
        <v>124</v>
      </c>
      <c r="B7" s="413"/>
      <c r="C7" s="416"/>
      <c r="D7" s="415"/>
      <c r="E7" s="415"/>
      <c r="F7" s="415"/>
      <c r="G7" s="415"/>
      <c r="H7" s="415"/>
      <c r="I7" s="415"/>
      <c r="J7" s="415"/>
      <c r="K7" s="415"/>
      <c r="L7" s="415"/>
      <c r="M7" s="727"/>
      <c r="N7" s="739"/>
    </row>
    <row r="8" spans="1:14" ht="15" hidden="1" outlineLevel="1" thickBot="1" x14ac:dyDescent="0.35">
      <c r="A8" s="375" t="s">
        <v>89</v>
      </c>
      <c r="B8" s="413"/>
      <c r="C8" s="416"/>
      <c r="D8" s="415"/>
      <c r="E8" s="415"/>
      <c r="F8" s="415"/>
      <c r="G8" s="415"/>
      <c r="H8" s="415"/>
      <c r="I8" s="415"/>
      <c r="J8" s="415"/>
      <c r="K8" s="415"/>
      <c r="L8" s="415"/>
      <c r="M8" s="727"/>
      <c r="N8" s="739"/>
    </row>
    <row r="9" spans="1:14" ht="15" hidden="1" outlineLevel="1" thickBot="1" x14ac:dyDescent="0.35">
      <c r="A9" s="376" t="s">
        <v>62</v>
      </c>
      <c r="B9" s="417"/>
      <c r="C9" s="418"/>
      <c r="D9" s="419"/>
      <c r="E9" s="419"/>
      <c r="F9" s="419"/>
      <c r="G9" s="419"/>
      <c r="H9" s="419"/>
      <c r="I9" s="419"/>
      <c r="J9" s="419"/>
      <c r="K9" s="419"/>
      <c r="L9" s="419"/>
      <c r="M9" s="728"/>
      <c r="N9" s="739"/>
    </row>
    <row r="10" spans="1:14" x14ac:dyDescent="0.3">
      <c r="A10" s="377" t="s">
        <v>222</v>
      </c>
      <c r="B10" s="392"/>
      <c r="C10" s="393"/>
      <c r="D10" s="394"/>
      <c r="E10" s="394"/>
      <c r="F10" s="394"/>
      <c r="G10" s="394"/>
      <c r="H10" s="394"/>
      <c r="I10" s="394"/>
      <c r="J10" s="394"/>
      <c r="K10" s="394"/>
      <c r="L10" s="394"/>
      <c r="M10" s="729"/>
      <c r="N10" s="739"/>
    </row>
    <row r="11" spans="1:14" x14ac:dyDescent="0.3">
      <c r="A11" s="378" t="s">
        <v>223</v>
      </c>
      <c r="B11" s="395">
        <f xml:space="preserve">
IF($A$4&lt;=12,SUMIFS('ON Data'!F:F,'ON Data'!$D:$D,$A$4,'ON Data'!$E:$E,2),SUMIFS('ON Data'!F:F,'ON Data'!$E:$E,2))</f>
        <v>67842.5</v>
      </c>
      <c r="C11" s="396">
        <f xml:space="preserve">
IF($A$4&lt;=12,SUMIFS('ON Data'!G:G,'ON Data'!$D:$D,$A$4,'ON Data'!$E:$E,2),SUMIFS('ON Data'!G:G,'ON Data'!$E:$E,2))</f>
        <v>0</v>
      </c>
      <c r="D11" s="397">
        <f xml:space="preserve">
IF($A$4&lt;=12,SUMIFS('ON Data'!I:I,'ON Data'!$D:$D,$A$4,'ON Data'!$E:$E,2),SUMIFS('ON Data'!I:I,'ON Data'!$E:$E,2))</f>
        <v>940.8</v>
      </c>
      <c r="E11" s="397">
        <f xml:space="preserve">
IF($A$4&lt;=12,SUMIFS('ON Data'!J:J,'ON Data'!$D:$D,$A$4,'ON Data'!$E:$E,2),SUMIFS('ON Data'!J:J,'ON Data'!$E:$E,2))</f>
        <v>1128</v>
      </c>
      <c r="F11" s="397">
        <f xml:space="preserve">
IF($A$4&lt;=12,SUMIFS('ON Data'!K:K,'ON Data'!$D:$D,$A$4,'ON Data'!$E:$E,2),SUMIFS('ON Data'!K:K,'ON Data'!$E:$E,2))</f>
        <v>8456</v>
      </c>
      <c r="G11" s="397">
        <f xml:space="preserve">
IF($A$4&lt;=12,SUMIFS('ON Data'!O:O,'ON Data'!$D:$D,$A$4,'ON Data'!$E:$E,2),SUMIFS('ON Data'!O:O,'ON Data'!$E:$E,2))</f>
        <v>0</v>
      </c>
      <c r="H11" s="397">
        <f xml:space="preserve">
IF($A$4&lt;=12,SUMIFS('ON Data'!P:P,'ON Data'!$D:$D,$A$4,'ON Data'!$E:$E,2),SUMIFS('ON Data'!P:P,'ON Data'!$E:$E,2))</f>
        <v>13966.599999999999</v>
      </c>
      <c r="I11" s="397">
        <f xml:space="preserve">
IF($A$4&lt;=12,SUMIFS('ON Data'!Q:Q,'ON Data'!$D:$D,$A$4,'ON Data'!$E:$E,2),SUMIFS('ON Data'!Q:Q,'ON Data'!$E:$E,2))</f>
        <v>26623</v>
      </c>
      <c r="J11" s="397">
        <f xml:space="preserve">
IF($A$4&lt;=12,SUMIFS('ON Data'!R:R,'ON Data'!$D:$D,$A$4,'ON Data'!$E:$E,2),SUMIFS('ON Data'!R:R,'ON Data'!$E:$E,2))</f>
        <v>7131.5</v>
      </c>
      <c r="K11" s="397">
        <f xml:space="preserve">
IF($A$4&lt;=12,SUMIFS('ON Data'!S:S,'ON Data'!$D:$D,$A$4,'ON Data'!$E:$E,2),SUMIFS('ON Data'!S:S,'ON Data'!$E:$E,2))</f>
        <v>4266</v>
      </c>
      <c r="L11" s="397">
        <f xml:space="preserve">
IF($A$4&lt;=12,SUMIFS('ON Data'!AR:AR,'ON Data'!$D:$D,$A$4,'ON Data'!$E:$E,2),SUMIFS('ON Data'!AR:AR,'ON Data'!$E:$E,2))</f>
        <v>4174.6000000000004</v>
      </c>
      <c r="M11" s="730">
        <f xml:space="preserve">
IF($A$4&lt;=12,SUMIFS('ON Data'!AW:AW,'ON Data'!$D:$D,$A$4,'ON Data'!$E:$E,2),SUMIFS('ON Data'!AW:AW,'ON Data'!$E:$E,2))</f>
        <v>1156</v>
      </c>
      <c r="N11" s="739"/>
    </row>
    <row r="12" spans="1:14" x14ac:dyDescent="0.3">
      <c r="A12" s="378" t="s">
        <v>224</v>
      </c>
      <c r="B12" s="395">
        <f xml:space="preserve">
IF($A$4&lt;=12,SUMIFS('ON Data'!F:F,'ON Data'!$D:$D,$A$4,'ON Data'!$E:$E,3),SUMIFS('ON Data'!F:F,'ON Data'!$E:$E,3))</f>
        <v>4259.0300000000007</v>
      </c>
      <c r="C12" s="396">
        <f xml:space="preserve">
IF($A$4&lt;=12,SUMIFS('ON Data'!G:G,'ON Data'!$D:$D,$A$4,'ON Data'!$E:$E,3),SUMIFS('ON Data'!G:G,'ON Data'!$E:$E,3))</f>
        <v>0</v>
      </c>
      <c r="D12" s="397">
        <f xml:space="preserve">
IF($A$4&lt;=12,SUMIFS('ON Data'!I:I,'ON Data'!$D:$D,$A$4,'ON Data'!$E:$E,3),SUMIFS('ON Data'!I:I,'ON Data'!$E:$E,3))</f>
        <v>280.8</v>
      </c>
      <c r="E12" s="397">
        <f xml:space="preserve">
IF($A$4&lt;=12,SUMIFS('ON Data'!J:J,'ON Data'!$D:$D,$A$4,'ON Data'!$E:$E,3),SUMIFS('ON Data'!J:J,'ON Data'!$E:$E,3))</f>
        <v>0</v>
      </c>
      <c r="F12" s="397">
        <f xml:space="preserve">
IF($A$4&lt;=12,SUMIFS('ON Data'!K:K,'ON Data'!$D:$D,$A$4,'ON Data'!$E:$E,3),SUMIFS('ON Data'!K:K,'ON Data'!$E:$E,3))</f>
        <v>44.6</v>
      </c>
      <c r="G12" s="397">
        <f xml:space="preserve">
IF($A$4&lt;=12,SUMIFS('ON Data'!O:O,'ON Data'!$D:$D,$A$4,'ON Data'!$E:$E,3),SUMIFS('ON Data'!O:O,'ON Data'!$E:$E,3))</f>
        <v>0</v>
      </c>
      <c r="H12" s="397">
        <f xml:space="preserve">
IF($A$4&lt;=12,SUMIFS('ON Data'!P:P,'ON Data'!$D:$D,$A$4,'ON Data'!$E:$E,3),SUMIFS('ON Data'!P:P,'ON Data'!$E:$E,3))</f>
        <v>2008.38</v>
      </c>
      <c r="I12" s="397">
        <f xml:space="preserve">
IF($A$4&lt;=12,SUMIFS('ON Data'!Q:Q,'ON Data'!$D:$D,$A$4,'ON Data'!$E:$E,3),SUMIFS('ON Data'!Q:Q,'ON Data'!$E:$E,3))</f>
        <v>1278.75</v>
      </c>
      <c r="J12" s="397">
        <f xml:space="preserve">
IF($A$4&lt;=12,SUMIFS('ON Data'!R:R,'ON Data'!$D:$D,$A$4,'ON Data'!$E:$E,3),SUMIFS('ON Data'!R:R,'ON Data'!$E:$E,3))</f>
        <v>426.5</v>
      </c>
      <c r="K12" s="397">
        <f xml:space="preserve">
IF($A$4&lt;=12,SUMIFS('ON Data'!S:S,'ON Data'!$D:$D,$A$4,'ON Data'!$E:$E,3),SUMIFS('ON Data'!S:S,'ON Data'!$E:$E,3))</f>
        <v>220</v>
      </c>
      <c r="L12" s="397">
        <f xml:space="preserve">
IF($A$4&lt;=12,SUMIFS('ON Data'!AR:AR,'ON Data'!$D:$D,$A$4,'ON Data'!$E:$E,3),SUMIFS('ON Data'!AR:AR,'ON Data'!$E:$E,3))</f>
        <v>0</v>
      </c>
      <c r="M12" s="730">
        <f xml:space="preserve">
IF($A$4&lt;=12,SUMIFS('ON Data'!AW:AW,'ON Data'!$D:$D,$A$4,'ON Data'!$E:$E,3),SUMIFS('ON Data'!AW:AW,'ON Data'!$E:$E,3))</f>
        <v>0</v>
      </c>
      <c r="N12" s="739"/>
    </row>
    <row r="13" spans="1:14" x14ac:dyDescent="0.3">
      <c r="A13" s="378" t="s">
        <v>231</v>
      </c>
      <c r="B13" s="395">
        <f xml:space="preserve">
IF($A$4&lt;=12,SUMIFS('ON Data'!F:F,'ON Data'!$D:$D,$A$4,'ON Data'!$E:$E,4),SUMIFS('ON Data'!F:F,'ON Data'!$E:$E,4))</f>
        <v>4573.75</v>
      </c>
      <c r="C13" s="396">
        <f xml:space="preserve">
IF($A$4&lt;=12,SUMIFS('ON Data'!G:G,'ON Data'!$D:$D,$A$4,'ON Data'!$E:$E,4),SUMIFS('ON Data'!G:G,'ON Data'!$E:$E,4))</f>
        <v>0</v>
      </c>
      <c r="D13" s="397">
        <f xml:space="preserve">
IF($A$4&lt;=12,SUMIFS('ON Data'!I:I,'ON Data'!$D:$D,$A$4,'ON Data'!$E:$E,4),SUMIFS('ON Data'!I:I,'ON Data'!$E:$E,4))</f>
        <v>82</v>
      </c>
      <c r="E13" s="397">
        <f xml:space="preserve">
IF($A$4&lt;=12,SUMIFS('ON Data'!J:J,'ON Data'!$D:$D,$A$4,'ON Data'!$E:$E,4),SUMIFS('ON Data'!J:J,'ON Data'!$E:$E,4))</f>
        <v>214</v>
      </c>
      <c r="F13" s="397">
        <f xml:space="preserve">
IF($A$4&lt;=12,SUMIFS('ON Data'!K:K,'ON Data'!$D:$D,$A$4,'ON Data'!$E:$E,4),SUMIFS('ON Data'!K:K,'ON Data'!$E:$E,4))</f>
        <v>1407</v>
      </c>
      <c r="G13" s="397">
        <f xml:space="preserve">
IF($A$4&lt;=12,SUMIFS('ON Data'!O:O,'ON Data'!$D:$D,$A$4,'ON Data'!$E:$E,4),SUMIFS('ON Data'!O:O,'ON Data'!$E:$E,4))</f>
        <v>0</v>
      </c>
      <c r="H13" s="397">
        <f xml:space="preserve">
IF($A$4&lt;=12,SUMIFS('ON Data'!P:P,'ON Data'!$D:$D,$A$4,'ON Data'!$E:$E,4),SUMIFS('ON Data'!P:P,'ON Data'!$E:$E,4))</f>
        <v>373.75</v>
      </c>
      <c r="I13" s="397">
        <f xml:space="preserve">
IF($A$4&lt;=12,SUMIFS('ON Data'!Q:Q,'ON Data'!$D:$D,$A$4,'ON Data'!$E:$E,4),SUMIFS('ON Data'!Q:Q,'ON Data'!$E:$E,4))</f>
        <v>1556.25</v>
      </c>
      <c r="J13" s="397">
        <f xml:space="preserve">
IF($A$4&lt;=12,SUMIFS('ON Data'!R:R,'ON Data'!$D:$D,$A$4,'ON Data'!$E:$E,4),SUMIFS('ON Data'!R:R,'ON Data'!$E:$E,4))</f>
        <v>365.75</v>
      </c>
      <c r="K13" s="397">
        <f xml:space="preserve">
IF($A$4&lt;=12,SUMIFS('ON Data'!S:S,'ON Data'!$D:$D,$A$4,'ON Data'!$E:$E,4),SUMIFS('ON Data'!S:S,'ON Data'!$E:$E,4))</f>
        <v>240.75</v>
      </c>
      <c r="L13" s="397">
        <f xml:space="preserve">
IF($A$4&lt;=12,SUMIFS('ON Data'!AR:AR,'ON Data'!$D:$D,$A$4,'ON Data'!$E:$E,4),SUMIFS('ON Data'!AR:AR,'ON Data'!$E:$E,4))</f>
        <v>334.25</v>
      </c>
      <c r="M13" s="730">
        <f xml:space="preserve">
IF($A$4&lt;=12,SUMIFS('ON Data'!AW:AW,'ON Data'!$D:$D,$A$4,'ON Data'!$E:$E,4),SUMIFS('ON Data'!AW:AW,'ON Data'!$E:$E,4))</f>
        <v>0</v>
      </c>
      <c r="N13" s="739"/>
    </row>
    <row r="14" spans="1:14" ht="15" thickBot="1" x14ac:dyDescent="0.35">
      <c r="A14" s="379" t="s">
        <v>225</v>
      </c>
      <c r="B14" s="398">
        <f xml:space="preserve">
IF($A$4&lt;=12,SUMIFS('ON Data'!F:F,'ON Data'!$D:$D,$A$4,'ON Data'!$E:$E,5),SUMIFS('ON Data'!F:F,'ON Data'!$E:$E,5))</f>
        <v>264</v>
      </c>
      <c r="C14" s="399">
        <f xml:space="preserve">
IF($A$4&lt;=12,SUMIFS('ON Data'!G:G,'ON Data'!$D:$D,$A$4,'ON Data'!$E:$E,5),SUMIFS('ON Data'!G:G,'ON Data'!$E:$E,5))</f>
        <v>264</v>
      </c>
      <c r="D14" s="400">
        <f xml:space="preserve">
IF($A$4&lt;=12,SUMIFS('ON Data'!I:I,'ON Data'!$D:$D,$A$4,'ON Data'!$E:$E,5),SUMIFS('ON Data'!I:I,'ON Data'!$E:$E,5))</f>
        <v>0</v>
      </c>
      <c r="E14" s="400">
        <f xml:space="preserve">
IF($A$4&lt;=12,SUMIFS('ON Data'!J:J,'ON Data'!$D:$D,$A$4,'ON Data'!$E:$E,5),SUMIFS('ON Data'!J:J,'ON Data'!$E:$E,5))</f>
        <v>0</v>
      </c>
      <c r="F14" s="400">
        <f xml:space="preserve">
IF($A$4&lt;=12,SUMIFS('ON Data'!K:K,'ON Data'!$D:$D,$A$4,'ON Data'!$E:$E,5),SUMIFS('ON Data'!K:K,'ON Data'!$E:$E,5))</f>
        <v>0</v>
      </c>
      <c r="G14" s="400">
        <f xml:space="preserve">
IF($A$4&lt;=12,SUMIFS('ON Data'!O:O,'ON Data'!$D:$D,$A$4,'ON Data'!$E:$E,5),SUMIFS('ON Data'!O:O,'ON Data'!$E:$E,5))</f>
        <v>0</v>
      </c>
      <c r="H14" s="400">
        <f xml:space="preserve">
IF($A$4&lt;=12,SUMIFS('ON Data'!P:P,'ON Data'!$D:$D,$A$4,'ON Data'!$E:$E,5),SUMIFS('ON Data'!P:P,'ON Data'!$E:$E,5))</f>
        <v>0</v>
      </c>
      <c r="I14" s="400">
        <f xml:space="preserve">
IF($A$4&lt;=12,SUMIFS('ON Data'!Q:Q,'ON Data'!$D:$D,$A$4,'ON Data'!$E:$E,5),SUMIFS('ON Data'!Q:Q,'ON Data'!$E:$E,5))</f>
        <v>0</v>
      </c>
      <c r="J14" s="400">
        <f xml:space="preserve">
IF($A$4&lt;=12,SUMIFS('ON Data'!R:R,'ON Data'!$D:$D,$A$4,'ON Data'!$E:$E,5),SUMIFS('ON Data'!R:R,'ON Data'!$E:$E,5))</f>
        <v>0</v>
      </c>
      <c r="K14" s="400">
        <f xml:space="preserve">
IF($A$4&lt;=12,SUMIFS('ON Data'!S:S,'ON Data'!$D:$D,$A$4,'ON Data'!$E:$E,5),SUMIFS('ON Data'!S:S,'ON Data'!$E:$E,5))</f>
        <v>0</v>
      </c>
      <c r="L14" s="400">
        <f xml:space="preserve">
IF($A$4&lt;=12,SUMIFS('ON Data'!AR:AR,'ON Data'!$D:$D,$A$4,'ON Data'!$E:$E,5),SUMIFS('ON Data'!AR:AR,'ON Data'!$E:$E,5))</f>
        <v>0</v>
      </c>
      <c r="M14" s="731">
        <f xml:space="preserve">
IF($A$4&lt;=12,SUMIFS('ON Data'!AW:AW,'ON Data'!$D:$D,$A$4,'ON Data'!$E:$E,5),SUMIFS('ON Data'!AW:AW,'ON Data'!$E:$E,5))</f>
        <v>0</v>
      </c>
      <c r="N14" s="739"/>
    </row>
    <row r="15" spans="1:14" x14ac:dyDescent="0.3">
      <c r="A15" s="279" t="s">
        <v>235</v>
      </c>
      <c r="B15" s="401"/>
      <c r="C15" s="402"/>
      <c r="D15" s="403"/>
      <c r="E15" s="403"/>
      <c r="F15" s="403"/>
      <c r="G15" s="403"/>
      <c r="H15" s="403"/>
      <c r="I15" s="403"/>
      <c r="J15" s="403"/>
      <c r="K15" s="403"/>
      <c r="L15" s="403"/>
      <c r="M15" s="732"/>
      <c r="N15" s="739"/>
    </row>
    <row r="16" spans="1:14" x14ac:dyDescent="0.3">
      <c r="A16" s="380" t="s">
        <v>226</v>
      </c>
      <c r="B16" s="395">
        <f xml:space="preserve">
IF($A$4&lt;=12,SUMIFS('ON Data'!F:F,'ON Data'!$D:$D,$A$4,'ON Data'!$E:$E,7),SUMIFS('ON Data'!F:F,'ON Data'!$E:$E,7))</f>
        <v>0</v>
      </c>
      <c r="C16" s="396">
        <f xml:space="preserve">
IF($A$4&lt;=12,SUMIFS('ON Data'!G:G,'ON Data'!$D:$D,$A$4,'ON Data'!$E:$E,7),SUMIFS('ON Data'!G:G,'ON Data'!$E:$E,7))</f>
        <v>0</v>
      </c>
      <c r="D16" s="397">
        <f xml:space="preserve">
IF($A$4&lt;=12,SUMIFS('ON Data'!I:I,'ON Data'!$D:$D,$A$4,'ON Data'!$E:$E,7),SUMIFS('ON Data'!I:I,'ON Data'!$E:$E,7))</f>
        <v>0</v>
      </c>
      <c r="E16" s="397">
        <f xml:space="preserve">
IF($A$4&lt;=12,SUMIFS('ON Data'!J:J,'ON Data'!$D:$D,$A$4,'ON Data'!$E:$E,7),SUMIFS('ON Data'!J:J,'ON Data'!$E:$E,7))</f>
        <v>0</v>
      </c>
      <c r="F16" s="397">
        <f xml:space="preserve">
IF($A$4&lt;=12,SUMIFS('ON Data'!K:K,'ON Data'!$D:$D,$A$4,'ON Data'!$E:$E,7),SUMIFS('ON Data'!K:K,'ON Data'!$E:$E,7))</f>
        <v>0</v>
      </c>
      <c r="G16" s="397">
        <f xml:space="preserve">
IF($A$4&lt;=12,SUMIFS('ON Data'!O:O,'ON Data'!$D:$D,$A$4,'ON Data'!$E:$E,7),SUMIFS('ON Data'!O:O,'ON Data'!$E:$E,7))</f>
        <v>0</v>
      </c>
      <c r="H16" s="397">
        <f xml:space="preserve">
IF($A$4&lt;=12,SUMIFS('ON Data'!P:P,'ON Data'!$D:$D,$A$4,'ON Data'!$E:$E,7),SUMIFS('ON Data'!P:P,'ON Data'!$E:$E,7))</f>
        <v>0</v>
      </c>
      <c r="I16" s="397">
        <f xml:space="preserve">
IF($A$4&lt;=12,SUMIFS('ON Data'!Q:Q,'ON Data'!$D:$D,$A$4,'ON Data'!$E:$E,7),SUMIFS('ON Data'!Q:Q,'ON Data'!$E:$E,7))</f>
        <v>0</v>
      </c>
      <c r="J16" s="397">
        <f xml:space="preserve">
IF($A$4&lt;=12,SUMIFS('ON Data'!R:R,'ON Data'!$D:$D,$A$4,'ON Data'!$E:$E,7),SUMIFS('ON Data'!R:R,'ON Data'!$E:$E,7))</f>
        <v>0</v>
      </c>
      <c r="K16" s="397">
        <f xml:space="preserve">
IF($A$4&lt;=12,SUMIFS('ON Data'!S:S,'ON Data'!$D:$D,$A$4,'ON Data'!$E:$E,7),SUMIFS('ON Data'!S:S,'ON Data'!$E:$E,7))</f>
        <v>0</v>
      </c>
      <c r="L16" s="397">
        <f xml:space="preserve">
IF($A$4&lt;=12,SUMIFS('ON Data'!AR:AR,'ON Data'!$D:$D,$A$4,'ON Data'!$E:$E,7),SUMIFS('ON Data'!AR:AR,'ON Data'!$E:$E,7))</f>
        <v>0</v>
      </c>
      <c r="M16" s="730">
        <f xml:space="preserve">
IF($A$4&lt;=12,SUMIFS('ON Data'!AW:AW,'ON Data'!$D:$D,$A$4,'ON Data'!$E:$E,7),SUMIFS('ON Data'!AW:AW,'ON Data'!$E:$E,7))</f>
        <v>0</v>
      </c>
      <c r="N16" s="739"/>
    </row>
    <row r="17" spans="1:14" x14ac:dyDescent="0.3">
      <c r="A17" s="380" t="s">
        <v>227</v>
      </c>
      <c r="B17" s="395">
        <f xml:space="preserve">
IF($A$4&lt;=12,SUMIFS('ON Data'!F:F,'ON Data'!$D:$D,$A$4,'ON Data'!$E:$E,8),SUMIFS('ON Data'!F:F,'ON Data'!$E:$E,8))</f>
        <v>0</v>
      </c>
      <c r="C17" s="396">
        <f xml:space="preserve">
IF($A$4&lt;=12,SUMIFS('ON Data'!G:G,'ON Data'!$D:$D,$A$4,'ON Data'!$E:$E,8),SUMIFS('ON Data'!G:G,'ON Data'!$E:$E,8))</f>
        <v>0</v>
      </c>
      <c r="D17" s="397">
        <f xml:space="preserve">
IF($A$4&lt;=12,SUMIFS('ON Data'!I:I,'ON Data'!$D:$D,$A$4,'ON Data'!$E:$E,8),SUMIFS('ON Data'!I:I,'ON Data'!$E:$E,8))</f>
        <v>0</v>
      </c>
      <c r="E17" s="397">
        <f xml:space="preserve">
IF($A$4&lt;=12,SUMIFS('ON Data'!J:J,'ON Data'!$D:$D,$A$4,'ON Data'!$E:$E,8),SUMIFS('ON Data'!J:J,'ON Data'!$E:$E,8))</f>
        <v>0</v>
      </c>
      <c r="F17" s="397">
        <f xml:space="preserve">
IF($A$4&lt;=12,SUMIFS('ON Data'!K:K,'ON Data'!$D:$D,$A$4,'ON Data'!$E:$E,8),SUMIFS('ON Data'!K:K,'ON Data'!$E:$E,8))</f>
        <v>0</v>
      </c>
      <c r="G17" s="397">
        <f xml:space="preserve">
IF($A$4&lt;=12,SUMIFS('ON Data'!O:O,'ON Data'!$D:$D,$A$4,'ON Data'!$E:$E,8),SUMIFS('ON Data'!O:O,'ON Data'!$E:$E,8))</f>
        <v>0</v>
      </c>
      <c r="H17" s="397">
        <f xml:space="preserve">
IF($A$4&lt;=12,SUMIFS('ON Data'!P:P,'ON Data'!$D:$D,$A$4,'ON Data'!$E:$E,8),SUMIFS('ON Data'!P:P,'ON Data'!$E:$E,8))</f>
        <v>0</v>
      </c>
      <c r="I17" s="397">
        <f xml:space="preserve">
IF($A$4&lt;=12,SUMIFS('ON Data'!Q:Q,'ON Data'!$D:$D,$A$4,'ON Data'!$E:$E,8),SUMIFS('ON Data'!Q:Q,'ON Data'!$E:$E,8))</f>
        <v>0</v>
      </c>
      <c r="J17" s="397">
        <f xml:space="preserve">
IF($A$4&lt;=12,SUMIFS('ON Data'!R:R,'ON Data'!$D:$D,$A$4,'ON Data'!$E:$E,8),SUMIFS('ON Data'!R:R,'ON Data'!$E:$E,8))</f>
        <v>0</v>
      </c>
      <c r="K17" s="397">
        <f xml:space="preserve">
IF($A$4&lt;=12,SUMIFS('ON Data'!S:S,'ON Data'!$D:$D,$A$4,'ON Data'!$E:$E,8),SUMIFS('ON Data'!S:S,'ON Data'!$E:$E,8))</f>
        <v>0</v>
      </c>
      <c r="L17" s="397">
        <f xml:space="preserve">
IF($A$4&lt;=12,SUMIFS('ON Data'!AR:AR,'ON Data'!$D:$D,$A$4,'ON Data'!$E:$E,8),SUMIFS('ON Data'!AR:AR,'ON Data'!$E:$E,8))</f>
        <v>0</v>
      </c>
      <c r="M17" s="730">
        <f xml:space="preserve">
IF($A$4&lt;=12,SUMIFS('ON Data'!AW:AW,'ON Data'!$D:$D,$A$4,'ON Data'!$E:$E,8),SUMIFS('ON Data'!AW:AW,'ON Data'!$E:$E,8))</f>
        <v>0</v>
      </c>
      <c r="N17" s="739"/>
    </row>
    <row r="18" spans="1:14" x14ac:dyDescent="0.3">
      <c r="A18" s="380" t="s">
        <v>228</v>
      </c>
      <c r="B18" s="395">
        <f xml:space="preserve">
B19-B16-B17</f>
        <v>810515</v>
      </c>
      <c r="C18" s="396">
        <f t="shared" ref="C18:F18" si="0" xml:space="preserve">
C19-C16-C17</f>
        <v>0</v>
      </c>
      <c r="D18" s="397">
        <f t="shared" si="0"/>
        <v>13709</v>
      </c>
      <c r="E18" s="397">
        <f t="shared" si="0"/>
        <v>11310</v>
      </c>
      <c r="F18" s="397">
        <f t="shared" si="0"/>
        <v>210188</v>
      </c>
      <c r="G18" s="397">
        <f t="shared" ref="G18:K18" si="1" xml:space="preserve">
G19-G16-G17</f>
        <v>0</v>
      </c>
      <c r="H18" s="397">
        <f t="shared" si="1"/>
        <v>130770</v>
      </c>
      <c r="I18" s="397">
        <f t="shared" si="1"/>
        <v>272229</v>
      </c>
      <c r="J18" s="397">
        <f t="shared" si="1"/>
        <v>115684</v>
      </c>
      <c r="K18" s="397">
        <f t="shared" si="1"/>
        <v>29490</v>
      </c>
      <c r="L18" s="397">
        <f t="shared" ref="L18:M18" si="2" xml:space="preserve">
L19-L16-L17</f>
        <v>20720</v>
      </c>
      <c r="M18" s="730">
        <f t="shared" si="2"/>
        <v>6415</v>
      </c>
      <c r="N18" s="739"/>
    </row>
    <row r="19" spans="1:14" ht="15" thickBot="1" x14ac:dyDescent="0.35">
      <c r="A19" s="381" t="s">
        <v>229</v>
      </c>
      <c r="B19" s="404">
        <f xml:space="preserve">
IF($A$4&lt;=12,SUMIFS('ON Data'!F:F,'ON Data'!$D:$D,$A$4,'ON Data'!$E:$E,9),SUMIFS('ON Data'!F:F,'ON Data'!$E:$E,9))</f>
        <v>810515</v>
      </c>
      <c r="C19" s="405">
        <f xml:space="preserve">
IF($A$4&lt;=12,SUMIFS('ON Data'!G:G,'ON Data'!$D:$D,$A$4,'ON Data'!$E:$E,9),SUMIFS('ON Data'!G:G,'ON Data'!$E:$E,9))</f>
        <v>0</v>
      </c>
      <c r="D19" s="406">
        <f xml:space="preserve">
IF($A$4&lt;=12,SUMIFS('ON Data'!I:I,'ON Data'!$D:$D,$A$4,'ON Data'!$E:$E,9),SUMIFS('ON Data'!I:I,'ON Data'!$E:$E,9))</f>
        <v>13709</v>
      </c>
      <c r="E19" s="406">
        <f xml:space="preserve">
IF($A$4&lt;=12,SUMIFS('ON Data'!J:J,'ON Data'!$D:$D,$A$4,'ON Data'!$E:$E,9),SUMIFS('ON Data'!J:J,'ON Data'!$E:$E,9))</f>
        <v>11310</v>
      </c>
      <c r="F19" s="406">
        <f xml:space="preserve">
IF($A$4&lt;=12,SUMIFS('ON Data'!K:K,'ON Data'!$D:$D,$A$4,'ON Data'!$E:$E,9),SUMIFS('ON Data'!K:K,'ON Data'!$E:$E,9))</f>
        <v>210188</v>
      </c>
      <c r="G19" s="406">
        <f xml:space="preserve">
IF($A$4&lt;=12,SUMIFS('ON Data'!O:O,'ON Data'!$D:$D,$A$4,'ON Data'!$E:$E,9),SUMIFS('ON Data'!O:O,'ON Data'!$E:$E,9))</f>
        <v>0</v>
      </c>
      <c r="H19" s="406">
        <f xml:space="preserve">
IF($A$4&lt;=12,SUMIFS('ON Data'!P:P,'ON Data'!$D:$D,$A$4,'ON Data'!$E:$E,9),SUMIFS('ON Data'!P:P,'ON Data'!$E:$E,9))</f>
        <v>130770</v>
      </c>
      <c r="I19" s="406">
        <f xml:space="preserve">
IF($A$4&lt;=12,SUMIFS('ON Data'!Q:Q,'ON Data'!$D:$D,$A$4,'ON Data'!$E:$E,9),SUMIFS('ON Data'!Q:Q,'ON Data'!$E:$E,9))</f>
        <v>272229</v>
      </c>
      <c r="J19" s="406">
        <f xml:space="preserve">
IF($A$4&lt;=12,SUMIFS('ON Data'!R:R,'ON Data'!$D:$D,$A$4,'ON Data'!$E:$E,9),SUMIFS('ON Data'!R:R,'ON Data'!$E:$E,9))</f>
        <v>115684</v>
      </c>
      <c r="K19" s="406">
        <f xml:space="preserve">
IF($A$4&lt;=12,SUMIFS('ON Data'!S:S,'ON Data'!$D:$D,$A$4,'ON Data'!$E:$E,9),SUMIFS('ON Data'!S:S,'ON Data'!$E:$E,9))</f>
        <v>29490</v>
      </c>
      <c r="L19" s="406">
        <f xml:space="preserve">
IF($A$4&lt;=12,SUMIFS('ON Data'!AR:AR,'ON Data'!$D:$D,$A$4,'ON Data'!$E:$E,9),SUMIFS('ON Data'!AR:AR,'ON Data'!$E:$E,9))</f>
        <v>20720</v>
      </c>
      <c r="M19" s="733">
        <f xml:space="preserve">
IF($A$4&lt;=12,SUMIFS('ON Data'!AW:AW,'ON Data'!$D:$D,$A$4,'ON Data'!$E:$E,9),SUMIFS('ON Data'!AW:AW,'ON Data'!$E:$E,9))</f>
        <v>6415</v>
      </c>
      <c r="N19" s="739"/>
    </row>
    <row r="20" spans="1:14" ht="15" collapsed="1" thickBot="1" x14ac:dyDescent="0.35">
      <c r="A20" s="382" t="s">
        <v>87</v>
      </c>
      <c r="B20" s="407">
        <f xml:space="preserve">
IF($A$4&lt;=12,SUMIFS('ON Data'!F:F,'ON Data'!$D:$D,$A$4,'ON Data'!$E:$E,6),SUMIFS('ON Data'!F:F,'ON Data'!$E:$E,6))</f>
        <v>20190197</v>
      </c>
      <c r="C20" s="408">
        <f xml:space="preserve">
IF($A$4&lt;=12,SUMIFS('ON Data'!G:G,'ON Data'!$D:$D,$A$4,'ON Data'!$E:$E,6),SUMIFS('ON Data'!G:G,'ON Data'!$E:$E,6))</f>
        <v>99595</v>
      </c>
      <c r="D20" s="409">
        <f xml:space="preserve">
IF($A$4&lt;=12,SUMIFS('ON Data'!I:I,'ON Data'!$D:$D,$A$4,'ON Data'!$E:$E,6),SUMIFS('ON Data'!I:I,'ON Data'!$E:$E,6))</f>
        <v>269046</v>
      </c>
      <c r="E20" s="409">
        <f xml:space="preserve">
IF($A$4&lt;=12,SUMIFS('ON Data'!J:J,'ON Data'!$D:$D,$A$4,'ON Data'!$E:$E,6),SUMIFS('ON Data'!J:J,'ON Data'!$E:$E,6))</f>
        <v>383144</v>
      </c>
      <c r="F20" s="409">
        <f xml:space="preserve">
IF($A$4&lt;=12,SUMIFS('ON Data'!K:K,'ON Data'!$D:$D,$A$4,'ON Data'!$E:$E,6),SUMIFS('ON Data'!K:K,'ON Data'!$E:$E,6))</f>
        <v>4939246</v>
      </c>
      <c r="G20" s="409">
        <f xml:space="preserve">
IF($A$4&lt;=12,SUMIFS('ON Data'!O:O,'ON Data'!$D:$D,$A$4,'ON Data'!$E:$E,6),SUMIFS('ON Data'!O:O,'ON Data'!$E:$E,6))</f>
        <v>0</v>
      </c>
      <c r="H20" s="409">
        <f xml:space="preserve">
IF($A$4&lt;=12,SUMIFS('ON Data'!P:P,'ON Data'!$D:$D,$A$4,'ON Data'!$E:$E,6),SUMIFS('ON Data'!P:P,'ON Data'!$E:$E,6))</f>
        <v>3525759</v>
      </c>
      <c r="I20" s="409">
        <f xml:space="preserve">
IF($A$4&lt;=12,SUMIFS('ON Data'!Q:Q,'ON Data'!$D:$D,$A$4,'ON Data'!$E:$E,6),SUMIFS('ON Data'!Q:Q,'ON Data'!$E:$E,6))</f>
        <v>7390350</v>
      </c>
      <c r="J20" s="409">
        <f xml:space="preserve">
IF($A$4&lt;=12,SUMIFS('ON Data'!R:R,'ON Data'!$D:$D,$A$4,'ON Data'!$E:$E,6),SUMIFS('ON Data'!R:R,'ON Data'!$E:$E,6))</f>
        <v>2047848</v>
      </c>
      <c r="K20" s="409">
        <f xml:space="preserve">
IF($A$4&lt;=12,SUMIFS('ON Data'!S:S,'ON Data'!$D:$D,$A$4,'ON Data'!$E:$E,6),SUMIFS('ON Data'!S:S,'ON Data'!$E:$E,6))</f>
        <v>781337</v>
      </c>
      <c r="L20" s="409">
        <f xml:space="preserve">
IF($A$4&lt;=12,SUMIFS('ON Data'!AR:AR,'ON Data'!$D:$D,$A$4,'ON Data'!$E:$E,6),SUMIFS('ON Data'!AR:AR,'ON Data'!$E:$E,6))</f>
        <v>584285</v>
      </c>
      <c r="M20" s="734">
        <f xml:space="preserve">
IF($A$4&lt;=12,SUMIFS('ON Data'!AW:AW,'ON Data'!$D:$D,$A$4,'ON Data'!$E:$E,6),SUMIFS('ON Data'!AW:AW,'ON Data'!$E:$E,6))</f>
        <v>169587</v>
      </c>
      <c r="N20" s="739"/>
    </row>
    <row r="21" spans="1:14" ht="15" hidden="1" outlineLevel="1" thickBot="1" x14ac:dyDescent="0.35">
      <c r="A21" s="375" t="s">
        <v>124</v>
      </c>
      <c r="B21" s="395">
        <f xml:space="preserve">
IF($A$4&lt;=12,SUMIFS('ON Data'!F:F,'ON Data'!$D:$D,$A$4,'ON Data'!$E:$E,12),SUMIFS('ON Data'!F:F,'ON Data'!$E:$E,12))</f>
        <v>0</v>
      </c>
      <c r="C21" s="396">
        <f xml:space="preserve">
IF($A$4&lt;=12,SUMIFS('ON Data'!G:G,'ON Data'!$D:$D,$A$4,'ON Data'!$E:$E,12),SUMIFS('ON Data'!G:G,'ON Data'!$E:$E,12))</f>
        <v>0</v>
      </c>
      <c r="D21" s="397">
        <f xml:space="preserve">
IF($A$4&lt;=12,SUMIFS('ON Data'!I:I,'ON Data'!$D:$D,$A$4,'ON Data'!$E:$E,12),SUMIFS('ON Data'!I:I,'ON Data'!$E:$E,12))</f>
        <v>0</v>
      </c>
      <c r="E21" s="397">
        <f xml:space="preserve">
IF($A$4&lt;=12,SUMIFS('ON Data'!J:J,'ON Data'!$D:$D,$A$4,'ON Data'!$E:$E,12),SUMIFS('ON Data'!J:J,'ON Data'!$E:$E,12))</f>
        <v>0</v>
      </c>
      <c r="F21" s="397">
        <f xml:space="preserve">
IF($A$4&lt;=12,SUMIFS('ON Data'!K:K,'ON Data'!$D:$D,$A$4,'ON Data'!$E:$E,12),SUMIFS('ON Data'!K:K,'ON Data'!$E:$E,12))</f>
        <v>0</v>
      </c>
      <c r="G21" s="397">
        <f xml:space="preserve">
IF($A$4&lt;=12,SUMIFS('ON Data'!O:O,'ON Data'!$D:$D,$A$4,'ON Data'!$E:$E,12),SUMIFS('ON Data'!O:O,'ON Data'!$E:$E,12))</f>
        <v>0</v>
      </c>
      <c r="H21" s="397">
        <f xml:space="preserve">
IF($A$4&lt;=12,SUMIFS('ON Data'!P:P,'ON Data'!$D:$D,$A$4,'ON Data'!$E:$E,12),SUMIFS('ON Data'!P:P,'ON Data'!$E:$E,12))</f>
        <v>0</v>
      </c>
      <c r="I21" s="397">
        <f xml:space="preserve">
IF($A$4&lt;=12,SUMIFS('ON Data'!Q:Q,'ON Data'!$D:$D,$A$4,'ON Data'!$E:$E,12),SUMIFS('ON Data'!Q:Q,'ON Data'!$E:$E,12))</f>
        <v>0</v>
      </c>
      <c r="J21" s="397">
        <f xml:space="preserve">
IF($A$4&lt;=12,SUMIFS('ON Data'!R:R,'ON Data'!$D:$D,$A$4,'ON Data'!$E:$E,12),SUMIFS('ON Data'!R:R,'ON Data'!$E:$E,12))</f>
        <v>0</v>
      </c>
      <c r="K21" s="397">
        <f xml:space="preserve">
IF($A$4&lt;=12,SUMIFS('ON Data'!S:S,'ON Data'!$D:$D,$A$4,'ON Data'!$E:$E,12),SUMIFS('ON Data'!S:S,'ON Data'!$E:$E,12))</f>
        <v>0</v>
      </c>
      <c r="N21" s="739"/>
    </row>
    <row r="22" spans="1:14" ht="15" hidden="1" outlineLevel="1" thickBot="1" x14ac:dyDescent="0.35">
      <c r="A22" s="375" t="s">
        <v>89</v>
      </c>
      <c r="B22" s="456" t="str">
        <f xml:space="preserve">
IF(OR(B21="",B21=0),"",B20/B21)</f>
        <v/>
      </c>
      <c r="C22" s="457" t="str">
        <f t="shared" ref="C22:F22" si="3" xml:space="preserve">
IF(OR(C21="",C21=0),"",C20/C21)</f>
        <v/>
      </c>
      <c r="D22" s="458" t="str">
        <f t="shared" si="3"/>
        <v/>
      </c>
      <c r="E22" s="458" t="str">
        <f t="shared" si="3"/>
        <v/>
      </c>
      <c r="F22" s="458" t="str">
        <f t="shared" si="3"/>
        <v/>
      </c>
      <c r="G22" s="458" t="str">
        <f t="shared" ref="G22:K22" si="4" xml:space="preserve">
IF(OR(G21="",G21=0),"",G20/G21)</f>
        <v/>
      </c>
      <c r="H22" s="458" t="str">
        <f t="shared" si="4"/>
        <v/>
      </c>
      <c r="I22" s="458" t="str">
        <f t="shared" si="4"/>
        <v/>
      </c>
      <c r="J22" s="458" t="str">
        <f t="shared" si="4"/>
        <v/>
      </c>
      <c r="K22" s="458" t="str">
        <f t="shared" si="4"/>
        <v/>
      </c>
      <c r="N22" s="739"/>
    </row>
    <row r="23" spans="1:14" ht="15" hidden="1" outlineLevel="1" thickBot="1" x14ac:dyDescent="0.35">
      <c r="A23" s="383" t="s">
        <v>62</v>
      </c>
      <c r="B23" s="398">
        <f xml:space="preserve">
IF(B21="","",B20-B21)</f>
        <v>20190197</v>
      </c>
      <c r="C23" s="399">
        <f t="shared" ref="C23:F23" si="5" xml:space="preserve">
IF(C21="","",C20-C21)</f>
        <v>99595</v>
      </c>
      <c r="D23" s="400">
        <f t="shared" si="5"/>
        <v>269046</v>
      </c>
      <c r="E23" s="400">
        <f t="shared" si="5"/>
        <v>383144</v>
      </c>
      <c r="F23" s="400">
        <f t="shared" si="5"/>
        <v>4939246</v>
      </c>
      <c r="G23" s="400">
        <f t="shared" ref="G23:K23" si="6" xml:space="preserve">
IF(G21="","",G20-G21)</f>
        <v>0</v>
      </c>
      <c r="H23" s="400">
        <f t="shared" si="6"/>
        <v>3525759</v>
      </c>
      <c r="I23" s="400">
        <f t="shared" si="6"/>
        <v>7390350</v>
      </c>
      <c r="J23" s="400">
        <f t="shared" si="6"/>
        <v>2047848</v>
      </c>
      <c r="K23" s="400">
        <f t="shared" si="6"/>
        <v>781337</v>
      </c>
      <c r="N23" s="739"/>
    </row>
    <row r="24" spans="1:14" x14ac:dyDescent="0.3">
      <c r="A24" s="377" t="s">
        <v>230</v>
      </c>
      <c r="B24" s="424" t="s">
        <v>3</v>
      </c>
      <c r="C24" s="740" t="s">
        <v>241</v>
      </c>
      <c r="D24" s="710"/>
      <c r="E24" s="711"/>
      <c r="F24" s="712"/>
      <c r="G24" s="711" t="s">
        <v>242</v>
      </c>
      <c r="H24" s="713"/>
      <c r="I24" s="713"/>
      <c r="J24" s="713"/>
      <c r="K24" s="713"/>
      <c r="L24" s="713"/>
      <c r="M24" s="735" t="s">
        <v>243</v>
      </c>
      <c r="N24" s="739"/>
    </row>
    <row r="25" spans="1:14" x14ac:dyDescent="0.3">
      <c r="A25" s="378" t="s">
        <v>87</v>
      </c>
      <c r="B25" s="395">
        <f xml:space="preserve">
SUM(C25:M25)</f>
        <v>29614</v>
      </c>
      <c r="C25" s="741">
        <f xml:space="preserve">
IF($A$4&lt;=12,SUMIFS('ON Data'!J:J,'ON Data'!$D:$D,$A$4,'ON Data'!$E:$E,10),SUMIFS('ON Data'!J:J,'ON Data'!$E:$E,10))</f>
        <v>4100</v>
      </c>
      <c r="D25" s="714"/>
      <c r="E25" s="715"/>
      <c r="F25" s="716"/>
      <c r="G25" s="715">
        <f xml:space="preserve">
IF($A$4&lt;=12,SUMIFS('ON Data'!O:O,'ON Data'!$D:$D,$A$4,'ON Data'!$E:$E,10),SUMIFS('ON Data'!O:O,'ON Data'!$E:$E,10))</f>
        <v>25514</v>
      </c>
      <c r="H25" s="716"/>
      <c r="I25" s="716"/>
      <c r="J25" s="716"/>
      <c r="K25" s="716"/>
      <c r="L25" s="716"/>
      <c r="M25" s="736">
        <f xml:space="preserve">
IF($A$4&lt;=12,SUMIFS('ON Data'!AW:AW,'ON Data'!$D:$D,$A$4,'ON Data'!$E:$E,10),SUMIFS('ON Data'!AW:AW,'ON Data'!$E:$E,10))</f>
        <v>0</v>
      </c>
      <c r="N25" s="739"/>
    </row>
    <row r="26" spans="1:14" x14ac:dyDescent="0.3">
      <c r="A26" s="384" t="s">
        <v>240</v>
      </c>
      <c r="B26" s="404">
        <f xml:space="preserve">
SUM(C26:M26)</f>
        <v>36522.900763358783</v>
      </c>
      <c r="C26" s="741">
        <f xml:space="preserve">
IF($A$4&lt;=12,SUMIFS('ON Data'!J:J,'ON Data'!$D:$D,$A$4,'ON Data'!$E:$E,11),SUMIFS('ON Data'!J:J,'ON Data'!$E:$E,11))</f>
        <v>12022.900763358783</v>
      </c>
      <c r="D26" s="714"/>
      <c r="E26" s="715"/>
      <c r="F26" s="716"/>
      <c r="G26" s="717">
        <f xml:space="preserve">
IF($A$4&lt;=12,SUMIFS('ON Data'!O:O,'ON Data'!$D:$D,$A$4,'ON Data'!$E:$E,11),SUMIFS('ON Data'!O:O,'ON Data'!$E:$E,11))</f>
        <v>24500</v>
      </c>
      <c r="H26" s="718"/>
      <c r="I26" s="718"/>
      <c r="J26" s="718"/>
      <c r="K26" s="718"/>
      <c r="L26" s="718"/>
      <c r="M26" s="736">
        <f xml:space="preserve">
IF($A$4&lt;=12,SUMIFS('ON Data'!AW:AW,'ON Data'!$D:$D,$A$4,'ON Data'!$E:$E,11),SUMIFS('ON Data'!AW:AW,'ON Data'!$E:$E,11))</f>
        <v>0</v>
      </c>
      <c r="N26" s="739"/>
    </row>
    <row r="27" spans="1:14" x14ac:dyDescent="0.3">
      <c r="A27" s="384" t="s">
        <v>89</v>
      </c>
      <c r="B27" s="425">
        <f xml:space="preserve">
IF(B26=0,0,B25/B26)</f>
        <v>0.81083373393249025</v>
      </c>
      <c r="C27" s="742">
        <f xml:space="preserve">
IF(C26=0,0,C25/C26)</f>
        <v>0.34101587301587288</v>
      </c>
      <c r="D27" s="719"/>
      <c r="E27" s="720"/>
      <c r="F27" s="716"/>
      <c r="G27" s="720">
        <f xml:space="preserve">
IF(G26=0,0,G25/G26)</f>
        <v>1.0413877551020407</v>
      </c>
      <c r="H27" s="716"/>
      <c r="I27" s="716"/>
      <c r="J27" s="716"/>
      <c r="K27" s="716"/>
      <c r="L27" s="716"/>
      <c r="M27" s="737">
        <f xml:space="preserve">
IF(M26=0,0,M25/M26)</f>
        <v>0</v>
      </c>
      <c r="N27" s="739"/>
    </row>
    <row r="28" spans="1:14" ht="15" thickBot="1" x14ac:dyDescent="0.35">
      <c r="A28" s="384" t="s">
        <v>239</v>
      </c>
      <c r="B28" s="404">
        <f xml:space="preserve">
SUM(C28:M28)</f>
        <v>6908.9007633587826</v>
      </c>
      <c r="C28" s="743">
        <f xml:space="preserve">
C26-C25</f>
        <v>7922.9007633587826</v>
      </c>
      <c r="D28" s="721"/>
      <c r="E28" s="722"/>
      <c r="F28" s="723"/>
      <c r="G28" s="722">
        <f xml:space="preserve">
G26-G25</f>
        <v>-1014</v>
      </c>
      <c r="H28" s="723"/>
      <c r="I28" s="723"/>
      <c r="J28" s="723"/>
      <c r="K28" s="723"/>
      <c r="L28" s="723"/>
      <c r="M28" s="738">
        <f xml:space="preserve">
M26-M25</f>
        <v>0</v>
      </c>
      <c r="N28" s="739"/>
    </row>
    <row r="29" spans="1:14" x14ac:dyDescent="0.3">
      <c r="A29" s="385"/>
      <c r="B29" s="385"/>
      <c r="C29" s="386"/>
      <c r="D29" s="385"/>
      <c r="E29" s="386"/>
      <c r="F29" s="386"/>
      <c r="G29" s="386"/>
      <c r="H29" s="386"/>
      <c r="I29" s="386"/>
      <c r="J29" s="386"/>
      <c r="K29" s="386"/>
    </row>
    <row r="30" spans="1:14" x14ac:dyDescent="0.3">
      <c r="A30" s="216" t="s">
        <v>193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</row>
    <row r="31" spans="1:14" x14ac:dyDescent="0.3">
      <c r="A31" s="217" t="s">
        <v>237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spans="1:14" ht="14.4" customHeight="1" x14ac:dyDescent="0.3">
      <c r="A32" s="421" t="s">
        <v>234</v>
      </c>
      <c r="B32" s="422"/>
      <c r="C32" s="422"/>
      <c r="D32" s="422"/>
      <c r="E32" s="422"/>
      <c r="F32" s="422"/>
      <c r="G32" s="422"/>
      <c r="H32" s="422"/>
      <c r="I32" s="422"/>
      <c r="J32" s="422"/>
      <c r="K32" s="422"/>
    </row>
    <row r="33" spans="1:1" x14ac:dyDescent="0.3">
      <c r="A33" s="423" t="s">
        <v>273</v>
      </c>
    </row>
    <row r="34" spans="1:1" x14ac:dyDescent="0.3">
      <c r="A34" s="423" t="s">
        <v>274</v>
      </c>
    </row>
    <row r="35" spans="1:1" x14ac:dyDescent="0.3">
      <c r="A35" s="423" t="s">
        <v>275</v>
      </c>
    </row>
    <row r="36" spans="1:1" x14ac:dyDescent="0.3">
      <c r="A36" s="423" t="s">
        <v>244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K22">
    <cfRule type="cellIs" dxfId="24" priority="6" operator="greaterThan">
      <formula>1</formula>
    </cfRule>
  </conditionalFormatting>
  <conditionalFormatting sqref="B23:K23">
    <cfRule type="cellIs" dxfId="23" priority="5" operator="greaterThan">
      <formula>0</formula>
    </cfRule>
  </conditionalFormatting>
  <conditionalFormatting sqref="M27">
    <cfRule type="cellIs" dxfId="22" priority="4" operator="greaterThan">
      <formula>1</formula>
    </cfRule>
  </conditionalFormatting>
  <conditionalFormatting sqref="M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3"/>
  <sheetViews>
    <sheetView showGridLines="0" showRowColHeaders="0" workbookViewId="0"/>
  </sheetViews>
  <sheetFormatPr defaultRowHeight="14.4" x14ac:dyDescent="0.3"/>
  <cols>
    <col min="1" max="16384" width="8.88671875" style="364"/>
  </cols>
  <sheetData>
    <row r="1" spans="1:49" x14ac:dyDescent="0.3">
      <c r="A1" s="364" t="s">
        <v>1707</v>
      </c>
    </row>
    <row r="2" spans="1:49" x14ac:dyDescent="0.3">
      <c r="A2" s="368" t="s">
        <v>301</v>
      </c>
    </row>
    <row r="3" spans="1:49" x14ac:dyDescent="0.3">
      <c r="A3" s="364" t="s">
        <v>205</v>
      </c>
      <c r="B3" s="389">
        <v>2016</v>
      </c>
      <c r="D3" s="365">
        <f>MAX(D5:D1048576)</f>
        <v>7</v>
      </c>
      <c r="F3" s="365">
        <f>SUMIF($E5:$E1048576,"&lt;10",F5:F1048576)</f>
        <v>21078122.630000003</v>
      </c>
      <c r="G3" s="365">
        <f t="shared" ref="G3:AW3" si="0">SUMIF($E5:$E1048576,"&lt;10",G5:G1048576)</f>
        <v>99859</v>
      </c>
      <c r="H3" s="365">
        <f t="shared" si="0"/>
        <v>0</v>
      </c>
      <c r="I3" s="365">
        <f t="shared" si="0"/>
        <v>284064.19999999995</v>
      </c>
      <c r="J3" s="365">
        <f t="shared" si="0"/>
        <v>395803</v>
      </c>
      <c r="K3" s="365">
        <f t="shared" si="0"/>
        <v>5159396.0999999996</v>
      </c>
      <c r="L3" s="365">
        <f t="shared" si="0"/>
        <v>0</v>
      </c>
      <c r="M3" s="365">
        <f t="shared" si="0"/>
        <v>0</v>
      </c>
      <c r="N3" s="365">
        <f t="shared" si="0"/>
        <v>0</v>
      </c>
      <c r="O3" s="365">
        <f t="shared" si="0"/>
        <v>0</v>
      </c>
      <c r="P3" s="365">
        <f t="shared" si="0"/>
        <v>3672977.7299999995</v>
      </c>
      <c r="Q3" s="365">
        <f t="shared" si="0"/>
        <v>7692227.75</v>
      </c>
      <c r="R3" s="365">
        <f t="shared" si="0"/>
        <v>2171503.75</v>
      </c>
      <c r="S3" s="365">
        <f t="shared" si="0"/>
        <v>815584.25</v>
      </c>
      <c r="T3" s="365">
        <f t="shared" si="0"/>
        <v>0</v>
      </c>
      <c r="U3" s="365">
        <f t="shared" si="0"/>
        <v>0</v>
      </c>
      <c r="V3" s="365">
        <f t="shared" si="0"/>
        <v>0</v>
      </c>
      <c r="W3" s="365">
        <f t="shared" si="0"/>
        <v>0</v>
      </c>
      <c r="X3" s="365">
        <f t="shared" si="0"/>
        <v>0</v>
      </c>
      <c r="Y3" s="365">
        <f t="shared" si="0"/>
        <v>0</v>
      </c>
      <c r="Z3" s="365">
        <f t="shared" si="0"/>
        <v>0</v>
      </c>
      <c r="AA3" s="365">
        <f t="shared" si="0"/>
        <v>0</v>
      </c>
      <c r="AB3" s="365">
        <f t="shared" si="0"/>
        <v>0</v>
      </c>
      <c r="AC3" s="365">
        <f t="shared" si="0"/>
        <v>0</v>
      </c>
      <c r="AD3" s="365">
        <f t="shared" si="0"/>
        <v>0</v>
      </c>
      <c r="AE3" s="365">
        <f t="shared" si="0"/>
        <v>0</v>
      </c>
      <c r="AF3" s="365">
        <f t="shared" si="0"/>
        <v>0</v>
      </c>
      <c r="AG3" s="365">
        <f t="shared" si="0"/>
        <v>0</v>
      </c>
      <c r="AH3" s="365">
        <f t="shared" si="0"/>
        <v>0</v>
      </c>
      <c r="AI3" s="365">
        <f t="shared" si="0"/>
        <v>0</v>
      </c>
      <c r="AJ3" s="365">
        <f t="shared" si="0"/>
        <v>0</v>
      </c>
      <c r="AK3" s="365">
        <f t="shared" si="0"/>
        <v>0</v>
      </c>
      <c r="AL3" s="365">
        <f t="shared" si="0"/>
        <v>0</v>
      </c>
      <c r="AM3" s="365">
        <f t="shared" si="0"/>
        <v>0</v>
      </c>
      <c r="AN3" s="365">
        <f t="shared" si="0"/>
        <v>0</v>
      </c>
      <c r="AO3" s="365">
        <f t="shared" si="0"/>
        <v>0</v>
      </c>
      <c r="AP3" s="365">
        <f t="shared" si="0"/>
        <v>0</v>
      </c>
      <c r="AQ3" s="365">
        <f t="shared" si="0"/>
        <v>0</v>
      </c>
      <c r="AR3" s="365">
        <f t="shared" si="0"/>
        <v>609541.85</v>
      </c>
      <c r="AS3" s="365">
        <f t="shared" si="0"/>
        <v>0</v>
      </c>
      <c r="AT3" s="365">
        <f t="shared" si="0"/>
        <v>0</v>
      </c>
      <c r="AU3" s="365">
        <f t="shared" si="0"/>
        <v>0</v>
      </c>
      <c r="AV3" s="365">
        <f t="shared" si="0"/>
        <v>0</v>
      </c>
      <c r="AW3" s="365">
        <f t="shared" si="0"/>
        <v>177165</v>
      </c>
    </row>
    <row r="4" spans="1:49" x14ac:dyDescent="0.3">
      <c r="A4" s="364" t="s">
        <v>206</v>
      </c>
      <c r="B4" s="389">
        <v>1</v>
      </c>
      <c r="C4" s="366" t="s">
        <v>5</v>
      </c>
      <c r="D4" s="367" t="s">
        <v>61</v>
      </c>
      <c r="E4" s="367" t="s">
        <v>204</v>
      </c>
      <c r="F4" s="367" t="s">
        <v>3</v>
      </c>
      <c r="G4" s="367">
        <v>0</v>
      </c>
      <c r="H4" s="367">
        <v>25</v>
      </c>
      <c r="I4" s="367">
        <v>99</v>
      </c>
      <c r="J4" s="367">
        <v>100</v>
      </c>
      <c r="K4" s="367">
        <v>101</v>
      </c>
      <c r="L4" s="367">
        <v>102</v>
      </c>
      <c r="M4" s="367">
        <v>103</v>
      </c>
      <c r="N4" s="367">
        <v>203</v>
      </c>
      <c r="O4" s="367">
        <v>302</v>
      </c>
      <c r="P4" s="367">
        <v>303</v>
      </c>
      <c r="Q4" s="367">
        <v>304</v>
      </c>
      <c r="R4" s="367">
        <v>305</v>
      </c>
      <c r="S4" s="367">
        <v>306</v>
      </c>
      <c r="T4" s="367">
        <v>407</v>
      </c>
      <c r="U4" s="367">
        <v>408</v>
      </c>
      <c r="V4" s="367">
        <v>409</v>
      </c>
      <c r="W4" s="367">
        <v>410</v>
      </c>
      <c r="X4" s="367">
        <v>415</v>
      </c>
      <c r="Y4" s="367">
        <v>416</v>
      </c>
      <c r="Z4" s="367">
        <v>418</v>
      </c>
      <c r="AA4" s="367">
        <v>419</v>
      </c>
      <c r="AB4" s="367">
        <v>420</v>
      </c>
      <c r="AC4" s="367">
        <v>421</v>
      </c>
      <c r="AD4" s="367">
        <v>520</v>
      </c>
      <c r="AE4" s="367">
        <v>521</v>
      </c>
      <c r="AF4" s="367">
        <v>522</v>
      </c>
      <c r="AG4" s="367">
        <v>523</v>
      </c>
      <c r="AH4" s="367">
        <v>524</v>
      </c>
      <c r="AI4" s="367">
        <v>525</v>
      </c>
      <c r="AJ4" s="367">
        <v>526</v>
      </c>
      <c r="AK4" s="367">
        <v>527</v>
      </c>
      <c r="AL4" s="367">
        <v>528</v>
      </c>
      <c r="AM4" s="367">
        <v>629</v>
      </c>
      <c r="AN4" s="367">
        <v>630</v>
      </c>
      <c r="AO4" s="367">
        <v>636</v>
      </c>
      <c r="AP4" s="367">
        <v>637</v>
      </c>
      <c r="AQ4" s="367">
        <v>640</v>
      </c>
      <c r="AR4" s="367">
        <v>642</v>
      </c>
      <c r="AS4" s="367">
        <v>743</v>
      </c>
      <c r="AT4" s="367">
        <v>745</v>
      </c>
      <c r="AU4" s="367">
        <v>746</v>
      </c>
      <c r="AV4" s="367">
        <v>747</v>
      </c>
      <c r="AW4" s="367">
        <v>930</v>
      </c>
    </row>
    <row r="5" spans="1:49" x14ac:dyDescent="0.3">
      <c r="A5" s="364" t="s">
        <v>207</v>
      </c>
      <c r="B5" s="389">
        <v>2</v>
      </c>
      <c r="C5" s="364">
        <v>9</v>
      </c>
      <c r="D5" s="364">
        <v>1</v>
      </c>
      <c r="E5" s="364">
        <v>1</v>
      </c>
      <c r="F5" s="364">
        <v>68.3</v>
      </c>
      <c r="G5" s="364">
        <v>0</v>
      </c>
      <c r="H5" s="364">
        <v>0</v>
      </c>
      <c r="I5" s="364">
        <v>0.8</v>
      </c>
      <c r="J5" s="364">
        <v>1</v>
      </c>
      <c r="K5" s="364">
        <v>8.5</v>
      </c>
      <c r="L5" s="364">
        <v>0</v>
      </c>
      <c r="M5" s="364">
        <v>0</v>
      </c>
      <c r="N5" s="364">
        <v>0</v>
      </c>
      <c r="O5" s="364">
        <v>0</v>
      </c>
      <c r="P5" s="364">
        <v>17.25</v>
      </c>
      <c r="Q5" s="364">
        <v>26.25</v>
      </c>
      <c r="R5" s="364">
        <v>6</v>
      </c>
      <c r="S5" s="364">
        <v>3.5</v>
      </c>
      <c r="T5" s="364">
        <v>0</v>
      </c>
      <c r="U5" s="364">
        <v>0</v>
      </c>
      <c r="V5" s="364">
        <v>0</v>
      </c>
      <c r="W5" s="364">
        <v>0</v>
      </c>
      <c r="X5" s="364">
        <v>0</v>
      </c>
      <c r="Y5" s="364">
        <v>0</v>
      </c>
      <c r="Z5" s="364">
        <v>0</v>
      </c>
      <c r="AA5" s="364">
        <v>0</v>
      </c>
      <c r="AB5" s="364">
        <v>0</v>
      </c>
      <c r="AC5" s="364">
        <v>0</v>
      </c>
      <c r="AD5" s="364">
        <v>0</v>
      </c>
      <c r="AE5" s="364">
        <v>0</v>
      </c>
      <c r="AF5" s="364">
        <v>0</v>
      </c>
      <c r="AG5" s="364">
        <v>0</v>
      </c>
      <c r="AH5" s="364">
        <v>0</v>
      </c>
      <c r="AI5" s="364">
        <v>0</v>
      </c>
      <c r="AJ5" s="364">
        <v>0</v>
      </c>
      <c r="AK5" s="364">
        <v>0</v>
      </c>
      <c r="AL5" s="364">
        <v>0</v>
      </c>
      <c r="AM5" s="364">
        <v>0</v>
      </c>
      <c r="AN5" s="364">
        <v>0</v>
      </c>
      <c r="AO5" s="364">
        <v>0</v>
      </c>
      <c r="AP5" s="364">
        <v>0</v>
      </c>
      <c r="AQ5" s="364">
        <v>0</v>
      </c>
      <c r="AR5" s="364">
        <v>4</v>
      </c>
      <c r="AS5" s="364">
        <v>0</v>
      </c>
      <c r="AT5" s="364">
        <v>0</v>
      </c>
      <c r="AU5" s="364">
        <v>0</v>
      </c>
      <c r="AV5" s="364">
        <v>0</v>
      </c>
      <c r="AW5" s="364">
        <v>1</v>
      </c>
    </row>
    <row r="6" spans="1:49" x14ac:dyDescent="0.3">
      <c r="A6" s="364" t="s">
        <v>208</v>
      </c>
      <c r="B6" s="389">
        <v>3</v>
      </c>
      <c r="C6" s="364">
        <v>9</v>
      </c>
      <c r="D6" s="364">
        <v>1</v>
      </c>
      <c r="E6" s="364">
        <v>2</v>
      </c>
      <c r="F6" s="364">
        <v>10235.15</v>
      </c>
      <c r="G6" s="364">
        <v>0</v>
      </c>
      <c r="H6" s="364">
        <v>0</v>
      </c>
      <c r="I6" s="364">
        <v>134.4</v>
      </c>
      <c r="J6" s="364">
        <v>168</v>
      </c>
      <c r="K6" s="364">
        <v>1386</v>
      </c>
      <c r="L6" s="364">
        <v>0</v>
      </c>
      <c r="M6" s="364">
        <v>0</v>
      </c>
      <c r="N6" s="364">
        <v>0</v>
      </c>
      <c r="O6" s="364">
        <v>0</v>
      </c>
      <c r="P6" s="364">
        <v>2378</v>
      </c>
      <c r="Q6" s="364">
        <v>3852</v>
      </c>
      <c r="R6" s="364">
        <v>959.5</v>
      </c>
      <c r="S6" s="364">
        <v>546</v>
      </c>
      <c r="T6" s="364">
        <v>0</v>
      </c>
      <c r="U6" s="364">
        <v>0</v>
      </c>
      <c r="V6" s="364">
        <v>0</v>
      </c>
      <c r="W6" s="364">
        <v>0</v>
      </c>
      <c r="X6" s="364">
        <v>0</v>
      </c>
      <c r="Y6" s="364">
        <v>0</v>
      </c>
      <c r="Z6" s="364">
        <v>0</v>
      </c>
      <c r="AA6" s="364">
        <v>0</v>
      </c>
      <c r="AB6" s="364">
        <v>0</v>
      </c>
      <c r="AC6" s="364">
        <v>0</v>
      </c>
      <c r="AD6" s="364">
        <v>0</v>
      </c>
      <c r="AE6" s="364">
        <v>0</v>
      </c>
      <c r="AF6" s="364">
        <v>0</v>
      </c>
      <c r="AG6" s="364">
        <v>0</v>
      </c>
      <c r="AH6" s="364">
        <v>0</v>
      </c>
      <c r="AI6" s="364">
        <v>0</v>
      </c>
      <c r="AJ6" s="364">
        <v>0</v>
      </c>
      <c r="AK6" s="364">
        <v>0</v>
      </c>
      <c r="AL6" s="364">
        <v>0</v>
      </c>
      <c r="AM6" s="364">
        <v>0</v>
      </c>
      <c r="AN6" s="364">
        <v>0</v>
      </c>
      <c r="AO6" s="364">
        <v>0</v>
      </c>
      <c r="AP6" s="364">
        <v>0</v>
      </c>
      <c r="AQ6" s="364">
        <v>0</v>
      </c>
      <c r="AR6" s="364">
        <v>647.25</v>
      </c>
      <c r="AS6" s="364">
        <v>0</v>
      </c>
      <c r="AT6" s="364">
        <v>0</v>
      </c>
      <c r="AU6" s="364">
        <v>0</v>
      </c>
      <c r="AV6" s="364">
        <v>0</v>
      </c>
      <c r="AW6" s="364">
        <v>164</v>
      </c>
    </row>
    <row r="7" spans="1:49" x14ac:dyDescent="0.3">
      <c r="A7" s="364" t="s">
        <v>209</v>
      </c>
      <c r="B7" s="389">
        <v>4</v>
      </c>
      <c r="C7" s="364">
        <v>9</v>
      </c>
      <c r="D7" s="364">
        <v>1</v>
      </c>
      <c r="E7" s="364">
        <v>3</v>
      </c>
      <c r="F7" s="364">
        <v>320.60000000000002</v>
      </c>
      <c r="G7" s="364">
        <v>0</v>
      </c>
      <c r="H7" s="364">
        <v>0</v>
      </c>
      <c r="I7" s="364">
        <v>33.6</v>
      </c>
      <c r="J7" s="364">
        <v>0</v>
      </c>
      <c r="K7" s="364">
        <v>23</v>
      </c>
      <c r="L7" s="364">
        <v>0</v>
      </c>
      <c r="M7" s="364">
        <v>0</v>
      </c>
      <c r="N7" s="364">
        <v>0</v>
      </c>
      <c r="O7" s="364">
        <v>0</v>
      </c>
      <c r="P7" s="364">
        <v>169</v>
      </c>
      <c r="Q7" s="364">
        <v>70</v>
      </c>
      <c r="R7" s="364">
        <v>15</v>
      </c>
      <c r="S7" s="364">
        <v>10</v>
      </c>
      <c r="T7" s="364">
        <v>0</v>
      </c>
      <c r="U7" s="364">
        <v>0</v>
      </c>
      <c r="V7" s="364">
        <v>0</v>
      </c>
      <c r="W7" s="364">
        <v>0</v>
      </c>
      <c r="X7" s="364">
        <v>0</v>
      </c>
      <c r="Y7" s="364">
        <v>0</v>
      </c>
      <c r="Z7" s="364">
        <v>0</v>
      </c>
      <c r="AA7" s="364">
        <v>0</v>
      </c>
      <c r="AB7" s="364">
        <v>0</v>
      </c>
      <c r="AC7" s="364">
        <v>0</v>
      </c>
      <c r="AD7" s="364">
        <v>0</v>
      </c>
      <c r="AE7" s="364">
        <v>0</v>
      </c>
      <c r="AF7" s="364">
        <v>0</v>
      </c>
      <c r="AG7" s="364">
        <v>0</v>
      </c>
      <c r="AH7" s="364">
        <v>0</v>
      </c>
      <c r="AI7" s="364">
        <v>0</v>
      </c>
      <c r="AJ7" s="364">
        <v>0</v>
      </c>
      <c r="AK7" s="364">
        <v>0</v>
      </c>
      <c r="AL7" s="364">
        <v>0</v>
      </c>
      <c r="AM7" s="364">
        <v>0</v>
      </c>
      <c r="AN7" s="364">
        <v>0</v>
      </c>
      <c r="AO7" s="364">
        <v>0</v>
      </c>
      <c r="AP7" s="364">
        <v>0</v>
      </c>
      <c r="AQ7" s="364">
        <v>0</v>
      </c>
      <c r="AR7" s="364">
        <v>0</v>
      </c>
      <c r="AS7" s="364">
        <v>0</v>
      </c>
      <c r="AT7" s="364">
        <v>0</v>
      </c>
      <c r="AU7" s="364">
        <v>0</v>
      </c>
      <c r="AV7" s="364">
        <v>0</v>
      </c>
      <c r="AW7" s="364">
        <v>0</v>
      </c>
    </row>
    <row r="8" spans="1:49" x14ac:dyDescent="0.3">
      <c r="A8" s="364" t="s">
        <v>210</v>
      </c>
      <c r="B8" s="389">
        <v>5</v>
      </c>
      <c r="C8" s="364">
        <v>9</v>
      </c>
      <c r="D8" s="364">
        <v>1</v>
      </c>
      <c r="E8" s="364">
        <v>4</v>
      </c>
      <c r="F8" s="364">
        <v>373.4</v>
      </c>
      <c r="G8" s="364">
        <v>0</v>
      </c>
      <c r="H8" s="364">
        <v>0</v>
      </c>
      <c r="I8" s="364">
        <v>2.4</v>
      </c>
      <c r="J8" s="364">
        <v>34</v>
      </c>
      <c r="K8" s="364">
        <v>215</v>
      </c>
      <c r="L8" s="364">
        <v>0</v>
      </c>
      <c r="M8" s="364">
        <v>0</v>
      </c>
      <c r="N8" s="364">
        <v>0</v>
      </c>
      <c r="O8" s="364">
        <v>0</v>
      </c>
      <c r="P8" s="364">
        <v>20</v>
      </c>
      <c r="Q8" s="364">
        <v>30</v>
      </c>
      <c r="R8" s="364">
        <v>10</v>
      </c>
      <c r="S8" s="364">
        <v>0</v>
      </c>
      <c r="T8" s="364">
        <v>0</v>
      </c>
      <c r="U8" s="364">
        <v>0</v>
      </c>
      <c r="V8" s="364">
        <v>0</v>
      </c>
      <c r="W8" s="364">
        <v>0</v>
      </c>
      <c r="X8" s="364">
        <v>0</v>
      </c>
      <c r="Y8" s="364">
        <v>0</v>
      </c>
      <c r="Z8" s="364">
        <v>0</v>
      </c>
      <c r="AA8" s="364">
        <v>0</v>
      </c>
      <c r="AB8" s="364">
        <v>0</v>
      </c>
      <c r="AC8" s="364">
        <v>0</v>
      </c>
      <c r="AD8" s="364">
        <v>0</v>
      </c>
      <c r="AE8" s="364">
        <v>0</v>
      </c>
      <c r="AF8" s="364">
        <v>0</v>
      </c>
      <c r="AG8" s="364">
        <v>0</v>
      </c>
      <c r="AH8" s="364">
        <v>0</v>
      </c>
      <c r="AI8" s="364">
        <v>0</v>
      </c>
      <c r="AJ8" s="364">
        <v>0</v>
      </c>
      <c r="AK8" s="364">
        <v>0</v>
      </c>
      <c r="AL8" s="364">
        <v>0</v>
      </c>
      <c r="AM8" s="364">
        <v>0</v>
      </c>
      <c r="AN8" s="364">
        <v>0</v>
      </c>
      <c r="AO8" s="364">
        <v>0</v>
      </c>
      <c r="AP8" s="364">
        <v>0</v>
      </c>
      <c r="AQ8" s="364">
        <v>0</v>
      </c>
      <c r="AR8" s="364">
        <v>62</v>
      </c>
      <c r="AS8" s="364">
        <v>0</v>
      </c>
      <c r="AT8" s="364">
        <v>0</v>
      </c>
      <c r="AU8" s="364">
        <v>0</v>
      </c>
      <c r="AV8" s="364">
        <v>0</v>
      </c>
      <c r="AW8" s="364">
        <v>0</v>
      </c>
    </row>
    <row r="9" spans="1:49" x14ac:dyDescent="0.3">
      <c r="A9" s="364" t="s">
        <v>211</v>
      </c>
      <c r="B9" s="389">
        <v>6</v>
      </c>
      <c r="C9" s="364">
        <v>9</v>
      </c>
      <c r="D9" s="364">
        <v>1</v>
      </c>
      <c r="E9" s="364">
        <v>5</v>
      </c>
      <c r="F9" s="364">
        <v>69</v>
      </c>
      <c r="G9" s="364">
        <v>69</v>
      </c>
      <c r="H9" s="364">
        <v>0</v>
      </c>
      <c r="I9" s="364">
        <v>0</v>
      </c>
      <c r="J9" s="364">
        <v>0</v>
      </c>
      <c r="K9" s="364">
        <v>0</v>
      </c>
      <c r="L9" s="364">
        <v>0</v>
      </c>
      <c r="M9" s="364">
        <v>0</v>
      </c>
      <c r="N9" s="364">
        <v>0</v>
      </c>
      <c r="O9" s="364">
        <v>0</v>
      </c>
      <c r="P9" s="364">
        <v>0</v>
      </c>
      <c r="Q9" s="364">
        <v>0</v>
      </c>
      <c r="R9" s="364">
        <v>0</v>
      </c>
      <c r="S9" s="364">
        <v>0</v>
      </c>
      <c r="T9" s="364">
        <v>0</v>
      </c>
      <c r="U9" s="364">
        <v>0</v>
      </c>
      <c r="V9" s="364">
        <v>0</v>
      </c>
      <c r="W9" s="364">
        <v>0</v>
      </c>
      <c r="X9" s="364">
        <v>0</v>
      </c>
      <c r="Y9" s="364">
        <v>0</v>
      </c>
      <c r="Z9" s="364">
        <v>0</v>
      </c>
      <c r="AA9" s="364">
        <v>0</v>
      </c>
      <c r="AB9" s="364">
        <v>0</v>
      </c>
      <c r="AC9" s="364">
        <v>0</v>
      </c>
      <c r="AD9" s="364">
        <v>0</v>
      </c>
      <c r="AE9" s="364">
        <v>0</v>
      </c>
      <c r="AF9" s="364">
        <v>0</v>
      </c>
      <c r="AG9" s="364">
        <v>0</v>
      </c>
      <c r="AH9" s="364">
        <v>0</v>
      </c>
      <c r="AI9" s="364">
        <v>0</v>
      </c>
      <c r="AJ9" s="364">
        <v>0</v>
      </c>
      <c r="AK9" s="364">
        <v>0</v>
      </c>
      <c r="AL9" s="364">
        <v>0</v>
      </c>
      <c r="AM9" s="364">
        <v>0</v>
      </c>
      <c r="AN9" s="364">
        <v>0</v>
      </c>
      <c r="AO9" s="364">
        <v>0</v>
      </c>
      <c r="AP9" s="364">
        <v>0</v>
      </c>
      <c r="AQ9" s="364">
        <v>0</v>
      </c>
      <c r="AR9" s="364">
        <v>0</v>
      </c>
      <c r="AS9" s="364">
        <v>0</v>
      </c>
      <c r="AT9" s="364">
        <v>0</v>
      </c>
      <c r="AU9" s="364">
        <v>0</v>
      </c>
      <c r="AV9" s="364">
        <v>0</v>
      </c>
      <c r="AW9" s="364">
        <v>0</v>
      </c>
    </row>
    <row r="10" spans="1:49" x14ac:dyDescent="0.3">
      <c r="A10" s="364" t="s">
        <v>212</v>
      </c>
      <c r="B10" s="389">
        <v>7</v>
      </c>
      <c r="C10" s="364">
        <v>9</v>
      </c>
      <c r="D10" s="364">
        <v>1</v>
      </c>
      <c r="E10" s="364">
        <v>6</v>
      </c>
      <c r="F10" s="364">
        <v>2644508</v>
      </c>
      <c r="G10" s="364">
        <v>24915</v>
      </c>
      <c r="H10" s="364">
        <v>0</v>
      </c>
      <c r="I10" s="364">
        <v>28826</v>
      </c>
      <c r="J10" s="364">
        <v>54583</v>
      </c>
      <c r="K10" s="364">
        <v>734370</v>
      </c>
      <c r="L10" s="364">
        <v>0</v>
      </c>
      <c r="M10" s="364">
        <v>0</v>
      </c>
      <c r="N10" s="364">
        <v>0</v>
      </c>
      <c r="O10" s="364">
        <v>0</v>
      </c>
      <c r="P10" s="364">
        <v>502015</v>
      </c>
      <c r="Q10" s="364">
        <v>877519</v>
      </c>
      <c r="R10" s="364">
        <v>234074</v>
      </c>
      <c r="S10" s="364">
        <v>83419</v>
      </c>
      <c r="T10" s="364">
        <v>0</v>
      </c>
      <c r="U10" s="364">
        <v>0</v>
      </c>
      <c r="V10" s="364">
        <v>0</v>
      </c>
      <c r="W10" s="364">
        <v>0</v>
      </c>
      <c r="X10" s="364">
        <v>0</v>
      </c>
      <c r="Y10" s="364">
        <v>0</v>
      </c>
      <c r="Z10" s="364">
        <v>0</v>
      </c>
      <c r="AA10" s="364">
        <v>0</v>
      </c>
      <c r="AB10" s="364">
        <v>0</v>
      </c>
      <c r="AC10" s="364">
        <v>0</v>
      </c>
      <c r="AD10" s="364">
        <v>0</v>
      </c>
      <c r="AE10" s="364">
        <v>0</v>
      </c>
      <c r="AF10" s="364">
        <v>0</v>
      </c>
      <c r="AG10" s="364">
        <v>0</v>
      </c>
      <c r="AH10" s="364">
        <v>0</v>
      </c>
      <c r="AI10" s="364">
        <v>0</v>
      </c>
      <c r="AJ10" s="364">
        <v>0</v>
      </c>
      <c r="AK10" s="364">
        <v>0</v>
      </c>
      <c r="AL10" s="364">
        <v>0</v>
      </c>
      <c r="AM10" s="364">
        <v>0</v>
      </c>
      <c r="AN10" s="364">
        <v>0</v>
      </c>
      <c r="AO10" s="364">
        <v>0</v>
      </c>
      <c r="AP10" s="364">
        <v>0</v>
      </c>
      <c r="AQ10" s="364">
        <v>0</v>
      </c>
      <c r="AR10" s="364">
        <v>81447</v>
      </c>
      <c r="AS10" s="364">
        <v>0</v>
      </c>
      <c r="AT10" s="364">
        <v>0</v>
      </c>
      <c r="AU10" s="364">
        <v>0</v>
      </c>
      <c r="AV10" s="364">
        <v>0</v>
      </c>
      <c r="AW10" s="364">
        <v>23340</v>
      </c>
    </row>
    <row r="11" spans="1:49" x14ac:dyDescent="0.3">
      <c r="A11" s="364" t="s">
        <v>213</v>
      </c>
      <c r="B11" s="389">
        <v>8</v>
      </c>
      <c r="C11" s="364">
        <v>9</v>
      </c>
      <c r="D11" s="364">
        <v>1</v>
      </c>
      <c r="E11" s="364">
        <v>9</v>
      </c>
      <c r="F11" s="364">
        <v>10292</v>
      </c>
      <c r="G11" s="364">
        <v>0</v>
      </c>
      <c r="H11" s="364">
        <v>0</v>
      </c>
      <c r="I11" s="364">
        <v>0</v>
      </c>
      <c r="J11" s="364">
        <v>0</v>
      </c>
      <c r="K11" s="364">
        <v>0</v>
      </c>
      <c r="L11" s="364">
        <v>0</v>
      </c>
      <c r="M11" s="364">
        <v>0</v>
      </c>
      <c r="N11" s="364">
        <v>0</v>
      </c>
      <c r="O11" s="364">
        <v>0</v>
      </c>
      <c r="P11" s="364">
        <v>5147</v>
      </c>
      <c r="Q11" s="364">
        <v>4116</v>
      </c>
      <c r="R11" s="364">
        <v>0</v>
      </c>
      <c r="S11" s="364">
        <v>1029</v>
      </c>
      <c r="T11" s="364">
        <v>0</v>
      </c>
      <c r="U11" s="364">
        <v>0</v>
      </c>
      <c r="V11" s="364">
        <v>0</v>
      </c>
      <c r="W11" s="364">
        <v>0</v>
      </c>
      <c r="X11" s="364">
        <v>0</v>
      </c>
      <c r="Y11" s="364">
        <v>0</v>
      </c>
      <c r="Z11" s="364">
        <v>0</v>
      </c>
      <c r="AA11" s="364">
        <v>0</v>
      </c>
      <c r="AB11" s="364">
        <v>0</v>
      </c>
      <c r="AC11" s="364">
        <v>0</v>
      </c>
      <c r="AD11" s="364">
        <v>0</v>
      </c>
      <c r="AE11" s="364">
        <v>0</v>
      </c>
      <c r="AF11" s="364">
        <v>0</v>
      </c>
      <c r="AG11" s="364">
        <v>0</v>
      </c>
      <c r="AH11" s="364">
        <v>0</v>
      </c>
      <c r="AI11" s="364">
        <v>0</v>
      </c>
      <c r="AJ11" s="364">
        <v>0</v>
      </c>
      <c r="AK11" s="364">
        <v>0</v>
      </c>
      <c r="AL11" s="364">
        <v>0</v>
      </c>
      <c r="AM11" s="364">
        <v>0</v>
      </c>
      <c r="AN11" s="364">
        <v>0</v>
      </c>
      <c r="AO11" s="364">
        <v>0</v>
      </c>
      <c r="AP11" s="364">
        <v>0</v>
      </c>
      <c r="AQ11" s="364">
        <v>0</v>
      </c>
      <c r="AR11" s="364">
        <v>0</v>
      </c>
      <c r="AS11" s="364">
        <v>0</v>
      </c>
      <c r="AT11" s="364">
        <v>0</v>
      </c>
      <c r="AU11" s="364">
        <v>0</v>
      </c>
      <c r="AV11" s="364">
        <v>0</v>
      </c>
      <c r="AW11" s="364">
        <v>0</v>
      </c>
    </row>
    <row r="12" spans="1:49" x14ac:dyDescent="0.3">
      <c r="A12" s="364" t="s">
        <v>214</v>
      </c>
      <c r="B12" s="389">
        <v>9</v>
      </c>
      <c r="C12" s="364">
        <v>9</v>
      </c>
      <c r="D12" s="364">
        <v>1</v>
      </c>
      <c r="E12" s="364">
        <v>10</v>
      </c>
      <c r="F12" s="364">
        <v>2000</v>
      </c>
      <c r="G12" s="364">
        <v>0</v>
      </c>
      <c r="H12" s="364">
        <v>0</v>
      </c>
      <c r="I12" s="364">
        <v>0</v>
      </c>
      <c r="J12" s="364">
        <v>0</v>
      </c>
      <c r="K12" s="364">
        <v>0</v>
      </c>
      <c r="L12" s="364">
        <v>0</v>
      </c>
      <c r="M12" s="364">
        <v>0</v>
      </c>
      <c r="N12" s="364">
        <v>0</v>
      </c>
      <c r="O12" s="364">
        <v>2000</v>
      </c>
      <c r="P12" s="364">
        <v>0</v>
      </c>
      <c r="Q12" s="364">
        <v>0</v>
      </c>
      <c r="R12" s="364">
        <v>0</v>
      </c>
      <c r="S12" s="364">
        <v>0</v>
      </c>
      <c r="T12" s="364">
        <v>0</v>
      </c>
      <c r="U12" s="364">
        <v>0</v>
      </c>
      <c r="V12" s="364">
        <v>0</v>
      </c>
      <c r="W12" s="364">
        <v>0</v>
      </c>
      <c r="X12" s="364">
        <v>0</v>
      </c>
      <c r="Y12" s="364">
        <v>0</v>
      </c>
      <c r="Z12" s="364">
        <v>0</v>
      </c>
      <c r="AA12" s="364">
        <v>0</v>
      </c>
      <c r="AB12" s="364">
        <v>0</v>
      </c>
      <c r="AC12" s="364">
        <v>0</v>
      </c>
      <c r="AD12" s="364">
        <v>0</v>
      </c>
      <c r="AE12" s="364">
        <v>0</v>
      </c>
      <c r="AF12" s="364">
        <v>0</v>
      </c>
      <c r="AG12" s="364">
        <v>0</v>
      </c>
      <c r="AH12" s="364">
        <v>0</v>
      </c>
      <c r="AI12" s="364">
        <v>0</v>
      </c>
      <c r="AJ12" s="364">
        <v>0</v>
      </c>
      <c r="AK12" s="364">
        <v>0</v>
      </c>
      <c r="AL12" s="364">
        <v>0</v>
      </c>
      <c r="AM12" s="364">
        <v>0</v>
      </c>
      <c r="AN12" s="364">
        <v>0</v>
      </c>
      <c r="AO12" s="364">
        <v>0</v>
      </c>
      <c r="AP12" s="364">
        <v>0</v>
      </c>
      <c r="AQ12" s="364">
        <v>0</v>
      </c>
      <c r="AR12" s="364">
        <v>0</v>
      </c>
      <c r="AS12" s="364">
        <v>0</v>
      </c>
      <c r="AT12" s="364">
        <v>0</v>
      </c>
      <c r="AU12" s="364">
        <v>0</v>
      </c>
      <c r="AV12" s="364">
        <v>0</v>
      </c>
      <c r="AW12" s="364">
        <v>0</v>
      </c>
    </row>
    <row r="13" spans="1:49" x14ac:dyDescent="0.3">
      <c r="A13" s="364" t="s">
        <v>215</v>
      </c>
      <c r="B13" s="389">
        <v>10</v>
      </c>
      <c r="C13" s="364">
        <v>9</v>
      </c>
      <c r="D13" s="364">
        <v>1</v>
      </c>
      <c r="E13" s="364">
        <v>11</v>
      </c>
      <c r="F13" s="364">
        <v>5217.5572519083971</v>
      </c>
      <c r="G13" s="364">
        <v>0</v>
      </c>
      <c r="H13" s="364">
        <v>0</v>
      </c>
      <c r="I13" s="364">
        <v>0</v>
      </c>
      <c r="J13" s="364">
        <v>1717.5572519083971</v>
      </c>
      <c r="K13" s="364">
        <v>0</v>
      </c>
      <c r="L13" s="364">
        <v>0</v>
      </c>
      <c r="M13" s="364">
        <v>0</v>
      </c>
      <c r="N13" s="364">
        <v>0</v>
      </c>
      <c r="O13" s="364">
        <v>3500</v>
      </c>
      <c r="P13" s="364">
        <v>0</v>
      </c>
      <c r="Q13" s="364">
        <v>0</v>
      </c>
      <c r="R13" s="364">
        <v>0</v>
      </c>
      <c r="S13" s="364">
        <v>0</v>
      </c>
      <c r="T13" s="364">
        <v>0</v>
      </c>
      <c r="U13" s="364">
        <v>0</v>
      </c>
      <c r="V13" s="364">
        <v>0</v>
      </c>
      <c r="W13" s="364">
        <v>0</v>
      </c>
      <c r="X13" s="364">
        <v>0</v>
      </c>
      <c r="Y13" s="364">
        <v>0</v>
      </c>
      <c r="Z13" s="364">
        <v>0</v>
      </c>
      <c r="AA13" s="364">
        <v>0</v>
      </c>
      <c r="AB13" s="364">
        <v>0</v>
      </c>
      <c r="AC13" s="364">
        <v>0</v>
      </c>
      <c r="AD13" s="364">
        <v>0</v>
      </c>
      <c r="AE13" s="364">
        <v>0</v>
      </c>
      <c r="AF13" s="364">
        <v>0</v>
      </c>
      <c r="AG13" s="364">
        <v>0</v>
      </c>
      <c r="AH13" s="364">
        <v>0</v>
      </c>
      <c r="AI13" s="364">
        <v>0</v>
      </c>
      <c r="AJ13" s="364">
        <v>0</v>
      </c>
      <c r="AK13" s="364">
        <v>0</v>
      </c>
      <c r="AL13" s="364">
        <v>0</v>
      </c>
      <c r="AM13" s="364">
        <v>0</v>
      </c>
      <c r="AN13" s="364">
        <v>0</v>
      </c>
      <c r="AO13" s="364">
        <v>0</v>
      </c>
      <c r="AP13" s="364">
        <v>0</v>
      </c>
      <c r="AQ13" s="364">
        <v>0</v>
      </c>
      <c r="AR13" s="364">
        <v>0</v>
      </c>
      <c r="AS13" s="364">
        <v>0</v>
      </c>
      <c r="AT13" s="364">
        <v>0</v>
      </c>
      <c r="AU13" s="364">
        <v>0</v>
      </c>
      <c r="AV13" s="364">
        <v>0</v>
      </c>
      <c r="AW13" s="364">
        <v>0</v>
      </c>
    </row>
    <row r="14" spans="1:49" x14ac:dyDescent="0.3">
      <c r="A14" s="364" t="s">
        <v>216</v>
      </c>
      <c r="B14" s="389">
        <v>11</v>
      </c>
      <c r="C14" s="364">
        <v>9</v>
      </c>
      <c r="D14" s="364">
        <v>2</v>
      </c>
      <c r="E14" s="364">
        <v>1</v>
      </c>
      <c r="F14" s="364">
        <v>67.3</v>
      </c>
      <c r="G14" s="364">
        <v>0</v>
      </c>
      <c r="H14" s="364">
        <v>0</v>
      </c>
      <c r="I14" s="364">
        <v>0.8</v>
      </c>
      <c r="J14" s="364">
        <v>1</v>
      </c>
      <c r="K14" s="364">
        <v>8.5</v>
      </c>
      <c r="L14" s="364">
        <v>0</v>
      </c>
      <c r="M14" s="364">
        <v>0</v>
      </c>
      <c r="N14" s="364">
        <v>0</v>
      </c>
      <c r="O14" s="364">
        <v>0</v>
      </c>
      <c r="P14" s="364">
        <v>16.25</v>
      </c>
      <c r="Q14" s="364">
        <v>26.25</v>
      </c>
      <c r="R14" s="364">
        <v>6</v>
      </c>
      <c r="S14" s="364">
        <v>3.5</v>
      </c>
      <c r="T14" s="364">
        <v>0</v>
      </c>
      <c r="U14" s="364">
        <v>0</v>
      </c>
      <c r="V14" s="364">
        <v>0</v>
      </c>
      <c r="W14" s="364">
        <v>0</v>
      </c>
      <c r="X14" s="364">
        <v>0</v>
      </c>
      <c r="Y14" s="364">
        <v>0</v>
      </c>
      <c r="Z14" s="364">
        <v>0</v>
      </c>
      <c r="AA14" s="364">
        <v>0</v>
      </c>
      <c r="AB14" s="364">
        <v>0</v>
      </c>
      <c r="AC14" s="364">
        <v>0</v>
      </c>
      <c r="AD14" s="364">
        <v>0</v>
      </c>
      <c r="AE14" s="364">
        <v>0</v>
      </c>
      <c r="AF14" s="364">
        <v>0</v>
      </c>
      <c r="AG14" s="364">
        <v>0</v>
      </c>
      <c r="AH14" s="364">
        <v>0</v>
      </c>
      <c r="AI14" s="364">
        <v>0</v>
      </c>
      <c r="AJ14" s="364">
        <v>0</v>
      </c>
      <c r="AK14" s="364">
        <v>0</v>
      </c>
      <c r="AL14" s="364">
        <v>0</v>
      </c>
      <c r="AM14" s="364">
        <v>0</v>
      </c>
      <c r="AN14" s="364">
        <v>0</v>
      </c>
      <c r="AO14" s="364">
        <v>0</v>
      </c>
      <c r="AP14" s="364">
        <v>0</v>
      </c>
      <c r="AQ14" s="364">
        <v>0</v>
      </c>
      <c r="AR14" s="364">
        <v>4</v>
      </c>
      <c r="AS14" s="364">
        <v>0</v>
      </c>
      <c r="AT14" s="364">
        <v>0</v>
      </c>
      <c r="AU14" s="364">
        <v>0</v>
      </c>
      <c r="AV14" s="364">
        <v>0</v>
      </c>
      <c r="AW14" s="364">
        <v>1</v>
      </c>
    </row>
    <row r="15" spans="1:49" x14ac:dyDescent="0.3">
      <c r="A15" s="364" t="s">
        <v>217</v>
      </c>
      <c r="B15" s="389">
        <v>12</v>
      </c>
      <c r="C15" s="364">
        <v>9</v>
      </c>
      <c r="D15" s="364">
        <v>2</v>
      </c>
      <c r="E15" s="364">
        <v>2</v>
      </c>
      <c r="F15" s="364">
        <v>9244.4</v>
      </c>
      <c r="G15" s="364">
        <v>0</v>
      </c>
      <c r="H15" s="364">
        <v>0</v>
      </c>
      <c r="I15" s="364">
        <v>134.4</v>
      </c>
      <c r="J15" s="364">
        <v>168</v>
      </c>
      <c r="K15" s="364">
        <v>1146</v>
      </c>
      <c r="L15" s="364">
        <v>0</v>
      </c>
      <c r="M15" s="364">
        <v>0</v>
      </c>
      <c r="N15" s="364">
        <v>0</v>
      </c>
      <c r="O15" s="364">
        <v>0</v>
      </c>
      <c r="P15" s="364">
        <v>2114</v>
      </c>
      <c r="Q15" s="364">
        <v>3475</v>
      </c>
      <c r="R15" s="364">
        <v>860</v>
      </c>
      <c r="S15" s="364">
        <v>528</v>
      </c>
      <c r="T15" s="364">
        <v>0</v>
      </c>
      <c r="U15" s="364">
        <v>0</v>
      </c>
      <c r="V15" s="364">
        <v>0</v>
      </c>
      <c r="W15" s="364">
        <v>0</v>
      </c>
      <c r="X15" s="364">
        <v>0</v>
      </c>
      <c r="Y15" s="364">
        <v>0</v>
      </c>
      <c r="Z15" s="364">
        <v>0</v>
      </c>
      <c r="AA15" s="364">
        <v>0</v>
      </c>
      <c r="AB15" s="364">
        <v>0</v>
      </c>
      <c r="AC15" s="364">
        <v>0</v>
      </c>
      <c r="AD15" s="364">
        <v>0</v>
      </c>
      <c r="AE15" s="364">
        <v>0</v>
      </c>
      <c r="AF15" s="364">
        <v>0</v>
      </c>
      <c r="AG15" s="364">
        <v>0</v>
      </c>
      <c r="AH15" s="364">
        <v>0</v>
      </c>
      <c r="AI15" s="364">
        <v>0</v>
      </c>
      <c r="AJ15" s="364">
        <v>0</v>
      </c>
      <c r="AK15" s="364">
        <v>0</v>
      </c>
      <c r="AL15" s="364">
        <v>0</v>
      </c>
      <c r="AM15" s="364">
        <v>0</v>
      </c>
      <c r="AN15" s="364">
        <v>0</v>
      </c>
      <c r="AO15" s="364">
        <v>0</v>
      </c>
      <c r="AP15" s="364">
        <v>0</v>
      </c>
      <c r="AQ15" s="364">
        <v>0</v>
      </c>
      <c r="AR15" s="364">
        <v>651</v>
      </c>
      <c r="AS15" s="364">
        <v>0</v>
      </c>
      <c r="AT15" s="364">
        <v>0</v>
      </c>
      <c r="AU15" s="364">
        <v>0</v>
      </c>
      <c r="AV15" s="364">
        <v>0</v>
      </c>
      <c r="AW15" s="364">
        <v>168</v>
      </c>
    </row>
    <row r="16" spans="1:49" x14ac:dyDescent="0.3">
      <c r="A16" s="364" t="s">
        <v>205</v>
      </c>
      <c r="B16" s="389">
        <v>2016</v>
      </c>
      <c r="C16" s="364">
        <v>9</v>
      </c>
      <c r="D16" s="364">
        <v>2</v>
      </c>
      <c r="E16" s="364">
        <v>3</v>
      </c>
      <c r="F16" s="364">
        <v>573.35</v>
      </c>
      <c r="G16" s="364">
        <v>0</v>
      </c>
      <c r="H16" s="364">
        <v>0</v>
      </c>
      <c r="I16" s="364">
        <v>56.6</v>
      </c>
      <c r="J16" s="364">
        <v>0</v>
      </c>
      <c r="K16" s="364">
        <v>0</v>
      </c>
      <c r="L16" s="364">
        <v>0</v>
      </c>
      <c r="M16" s="364">
        <v>0</v>
      </c>
      <c r="N16" s="364">
        <v>0</v>
      </c>
      <c r="O16" s="364">
        <v>0</v>
      </c>
      <c r="P16" s="364">
        <v>341.75</v>
      </c>
      <c r="Q16" s="364">
        <v>90</v>
      </c>
      <c r="R16" s="364">
        <v>50</v>
      </c>
      <c r="S16" s="364">
        <v>35</v>
      </c>
      <c r="T16" s="364">
        <v>0</v>
      </c>
      <c r="U16" s="364">
        <v>0</v>
      </c>
      <c r="V16" s="364">
        <v>0</v>
      </c>
      <c r="W16" s="364">
        <v>0</v>
      </c>
      <c r="X16" s="364">
        <v>0</v>
      </c>
      <c r="Y16" s="364">
        <v>0</v>
      </c>
      <c r="Z16" s="364">
        <v>0</v>
      </c>
      <c r="AA16" s="364">
        <v>0</v>
      </c>
      <c r="AB16" s="364">
        <v>0</v>
      </c>
      <c r="AC16" s="364">
        <v>0</v>
      </c>
      <c r="AD16" s="364">
        <v>0</v>
      </c>
      <c r="AE16" s="364">
        <v>0</v>
      </c>
      <c r="AF16" s="364">
        <v>0</v>
      </c>
      <c r="AG16" s="364">
        <v>0</v>
      </c>
      <c r="AH16" s="364">
        <v>0</v>
      </c>
      <c r="AI16" s="364">
        <v>0</v>
      </c>
      <c r="AJ16" s="364">
        <v>0</v>
      </c>
      <c r="AK16" s="364">
        <v>0</v>
      </c>
      <c r="AL16" s="364">
        <v>0</v>
      </c>
      <c r="AM16" s="364">
        <v>0</v>
      </c>
      <c r="AN16" s="364">
        <v>0</v>
      </c>
      <c r="AO16" s="364">
        <v>0</v>
      </c>
      <c r="AP16" s="364">
        <v>0</v>
      </c>
      <c r="AQ16" s="364">
        <v>0</v>
      </c>
      <c r="AR16" s="364">
        <v>0</v>
      </c>
      <c r="AS16" s="364">
        <v>0</v>
      </c>
      <c r="AT16" s="364">
        <v>0</v>
      </c>
      <c r="AU16" s="364">
        <v>0</v>
      </c>
      <c r="AV16" s="364">
        <v>0</v>
      </c>
      <c r="AW16" s="364">
        <v>0</v>
      </c>
    </row>
    <row r="17" spans="3:49" x14ac:dyDescent="0.3">
      <c r="C17" s="364">
        <v>9</v>
      </c>
      <c r="D17" s="364">
        <v>2</v>
      </c>
      <c r="E17" s="364">
        <v>4</v>
      </c>
      <c r="F17" s="364">
        <v>489.4</v>
      </c>
      <c r="G17" s="364">
        <v>0</v>
      </c>
      <c r="H17" s="364">
        <v>0</v>
      </c>
      <c r="I17" s="364">
        <v>2.4</v>
      </c>
      <c r="J17" s="364">
        <v>32.5</v>
      </c>
      <c r="K17" s="364">
        <v>179</v>
      </c>
      <c r="L17" s="364">
        <v>0</v>
      </c>
      <c r="M17" s="364">
        <v>0</v>
      </c>
      <c r="N17" s="364">
        <v>0</v>
      </c>
      <c r="O17" s="364">
        <v>0</v>
      </c>
      <c r="P17" s="364">
        <v>21</v>
      </c>
      <c r="Q17" s="364">
        <v>164</v>
      </c>
      <c r="R17" s="364">
        <v>21</v>
      </c>
      <c r="S17" s="364">
        <v>35</v>
      </c>
      <c r="T17" s="364">
        <v>0</v>
      </c>
      <c r="U17" s="364">
        <v>0</v>
      </c>
      <c r="V17" s="364">
        <v>0</v>
      </c>
      <c r="W17" s="364">
        <v>0</v>
      </c>
      <c r="X17" s="364">
        <v>0</v>
      </c>
      <c r="Y17" s="364">
        <v>0</v>
      </c>
      <c r="Z17" s="364">
        <v>0</v>
      </c>
      <c r="AA17" s="364">
        <v>0</v>
      </c>
      <c r="AB17" s="364">
        <v>0</v>
      </c>
      <c r="AC17" s="364">
        <v>0</v>
      </c>
      <c r="AD17" s="364">
        <v>0</v>
      </c>
      <c r="AE17" s="364">
        <v>0</v>
      </c>
      <c r="AF17" s="364">
        <v>0</v>
      </c>
      <c r="AG17" s="364">
        <v>0</v>
      </c>
      <c r="AH17" s="364">
        <v>0</v>
      </c>
      <c r="AI17" s="364">
        <v>0</v>
      </c>
      <c r="AJ17" s="364">
        <v>0</v>
      </c>
      <c r="AK17" s="364">
        <v>0</v>
      </c>
      <c r="AL17" s="364">
        <v>0</v>
      </c>
      <c r="AM17" s="364">
        <v>0</v>
      </c>
      <c r="AN17" s="364">
        <v>0</v>
      </c>
      <c r="AO17" s="364">
        <v>0</v>
      </c>
      <c r="AP17" s="364">
        <v>0</v>
      </c>
      <c r="AQ17" s="364">
        <v>0</v>
      </c>
      <c r="AR17" s="364">
        <v>34.5</v>
      </c>
      <c r="AS17" s="364">
        <v>0</v>
      </c>
      <c r="AT17" s="364">
        <v>0</v>
      </c>
      <c r="AU17" s="364">
        <v>0</v>
      </c>
      <c r="AV17" s="364">
        <v>0</v>
      </c>
      <c r="AW17" s="364">
        <v>0</v>
      </c>
    </row>
    <row r="18" spans="3:49" x14ac:dyDescent="0.3">
      <c r="C18" s="364">
        <v>9</v>
      </c>
      <c r="D18" s="364">
        <v>2</v>
      </c>
      <c r="E18" s="364">
        <v>5</v>
      </c>
      <c r="F18" s="364">
        <v>36.5</v>
      </c>
      <c r="G18" s="364">
        <v>36.5</v>
      </c>
      <c r="H18" s="364">
        <v>0</v>
      </c>
      <c r="I18" s="364">
        <v>0</v>
      </c>
      <c r="J18" s="364">
        <v>0</v>
      </c>
      <c r="K18" s="364">
        <v>0</v>
      </c>
      <c r="L18" s="364">
        <v>0</v>
      </c>
      <c r="M18" s="364">
        <v>0</v>
      </c>
      <c r="N18" s="364">
        <v>0</v>
      </c>
      <c r="O18" s="364">
        <v>0</v>
      </c>
      <c r="P18" s="364">
        <v>0</v>
      </c>
      <c r="Q18" s="364">
        <v>0</v>
      </c>
      <c r="R18" s="364">
        <v>0</v>
      </c>
      <c r="S18" s="364">
        <v>0</v>
      </c>
      <c r="T18" s="364">
        <v>0</v>
      </c>
      <c r="U18" s="364">
        <v>0</v>
      </c>
      <c r="V18" s="364">
        <v>0</v>
      </c>
      <c r="W18" s="364">
        <v>0</v>
      </c>
      <c r="X18" s="364">
        <v>0</v>
      </c>
      <c r="Y18" s="364">
        <v>0</v>
      </c>
      <c r="Z18" s="364">
        <v>0</v>
      </c>
      <c r="AA18" s="364">
        <v>0</v>
      </c>
      <c r="AB18" s="364">
        <v>0</v>
      </c>
      <c r="AC18" s="364">
        <v>0</v>
      </c>
      <c r="AD18" s="364">
        <v>0</v>
      </c>
      <c r="AE18" s="364">
        <v>0</v>
      </c>
      <c r="AF18" s="364">
        <v>0</v>
      </c>
      <c r="AG18" s="364">
        <v>0</v>
      </c>
      <c r="AH18" s="364">
        <v>0</v>
      </c>
      <c r="AI18" s="364">
        <v>0</v>
      </c>
      <c r="AJ18" s="364">
        <v>0</v>
      </c>
      <c r="AK18" s="364">
        <v>0</v>
      </c>
      <c r="AL18" s="364">
        <v>0</v>
      </c>
      <c r="AM18" s="364">
        <v>0</v>
      </c>
      <c r="AN18" s="364">
        <v>0</v>
      </c>
      <c r="AO18" s="364">
        <v>0</v>
      </c>
      <c r="AP18" s="364">
        <v>0</v>
      </c>
      <c r="AQ18" s="364">
        <v>0</v>
      </c>
      <c r="AR18" s="364">
        <v>0</v>
      </c>
      <c r="AS18" s="364">
        <v>0</v>
      </c>
      <c r="AT18" s="364">
        <v>0</v>
      </c>
      <c r="AU18" s="364">
        <v>0</v>
      </c>
      <c r="AV18" s="364">
        <v>0</v>
      </c>
      <c r="AW18" s="364">
        <v>0</v>
      </c>
    </row>
    <row r="19" spans="3:49" x14ac:dyDescent="0.3">
      <c r="C19" s="364">
        <v>9</v>
      </c>
      <c r="D19" s="364">
        <v>2</v>
      </c>
      <c r="E19" s="364">
        <v>6</v>
      </c>
      <c r="F19" s="364">
        <v>2613515</v>
      </c>
      <c r="G19" s="364">
        <v>17275</v>
      </c>
      <c r="H19" s="364">
        <v>0</v>
      </c>
      <c r="I19" s="364">
        <v>33319</v>
      </c>
      <c r="J19" s="364">
        <v>52419</v>
      </c>
      <c r="K19" s="364">
        <v>659171</v>
      </c>
      <c r="L19" s="364">
        <v>0</v>
      </c>
      <c r="M19" s="364">
        <v>0</v>
      </c>
      <c r="N19" s="364">
        <v>0</v>
      </c>
      <c r="O19" s="364">
        <v>0</v>
      </c>
      <c r="P19" s="364">
        <v>536680</v>
      </c>
      <c r="Q19" s="364">
        <v>898237</v>
      </c>
      <c r="R19" s="364">
        <v>225507</v>
      </c>
      <c r="S19" s="364">
        <v>91965</v>
      </c>
      <c r="T19" s="364">
        <v>0</v>
      </c>
      <c r="U19" s="364">
        <v>0</v>
      </c>
      <c r="V19" s="364">
        <v>0</v>
      </c>
      <c r="W19" s="364">
        <v>0</v>
      </c>
      <c r="X19" s="364">
        <v>0</v>
      </c>
      <c r="Y19" s="364">
        <v>0</v>
      </c>
      <c r="Z19" s="364">
        <v>0</v>
      </c>
      <c r="AA19" s="364">
        <v>0</v>
      </c>
      <c r="AB19" s="364">
        <v>0</v>
      </c>
      <c r="AC19" s="364">
        <v>0</v>
      </c>
      <c r="AD19" s="364">
        <v>0</v>
      </c>
      <c r="AE19" s="364">
        <v>0</v>
      </c>
      <c r="AF19" s="364">
        <v>0</v>
      </c>
      <c r="AG19" s="364">
        <v>0</v>
      </c>
      <c r="AH19" s="364">
        <v>0</v>
      </c>
      <c r="AI19" s="364">
        <v>0</v>
      </c>
      <c r="AJ19" s="364">
        <v>0</v>
      </c>
      <c r="AK19" s="364">
        <v>0</v>
      </c>
      <c r="AL19" s="364">
        <v>0</v>
      </c>
      <c r="AM19" s="364">
        <v>0</v>
      </c>
      <c r="AN19" s="364">
        <v>0</v>
      </c>
      <c r="AO19" s="364">
        <v>0</v>
      </c>
      <c r="AP19" s="364">
        <v>0</v>
      </c>
      <c r="AQ19" s="364">
        <v>0</v>
      </c>
      <c r="AR19" s="364">
        <v>75622</v>
      </c>
      <c r="AS19" s="364">
        <v>0</v>
      </c>
      <c r="AT19" s="364">
        <v>0</v>
      </c>
      <c r="AU19" s="364">
        <v>0</v>
      </c>
      <c r="AV19" s="364">
        <v>0</v>
      </c>
      <c r="AW19" s="364">
        <v>23320</v>
      </c>
    </row>
    <row r="20" spans="3:49" x14ac:dyDescent="0.3">
      <c r="C20" s="364">
        <v>9</v>
      </c>
      <c r="D20" s="364">
        <v>2</v>
      </c>
      <c r="E20" s="364">
        <v>9</v>
      </c>
      <c r="F20" s="364">
        <v>10292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64">
        <v>0</v>
      </c>
      <c r="M20" s="364">
        <v>0</v>
      </c>
      <c r="N20" s="364">
        <v>0</v>
      </c>
      <c r="O20" s="364">
        <v>0</v>
      </c>
      <c r="P20" s="364">
        <v>5145</v>
      </c>
      <c r="Q20" s="364">
        <v>4118</v>
      </c>
      <c r="R20" s="364">
        <v>0</v>
      </c>
      <c r="S20" s="364">
        <v>1029</v>
      </c>
      <c r="T20" s="364">
        <v>0</v>
      </c>
      <c r="U20" s="364">
        <v>0</v>
      </c>
      <c r="V20" s="364">
        <v>0</v>
      </c>
      <c r="W20" s="364">
        <v>0</v>
      </c>
      <c r="X20" s="364">
        <v>0</v>
      </c>
      <c r="Y20" s="364">
        <v>0</v>
      </c>
      <c r="Z20" s="364">
        <v>0</v>
      </c>
      <c r="AA20" s="364">
        <v>0</v>
      </c>
      <c r="AB20" s="364">
        <v>0</v>
      </c>
      <c r="AC20" s="364">
        <v>0</v>
      </c>
      <c r="AD20" s="364">
        <v>0</v>
      </c>
      <c r="AE20" s="364">
        <v>0</v>
      </c>
      <c r="AF20" s="364">
        <v>0</v>
      </c>
      <c r="AG20" s="364">
        <v>0</v>
      </c>
      <c r="AH20" s="364">
        <v>0</v>
      </c>
      <c r="AI20" s="364">
        <v>0</v>
      </c>
      <c r="AJ20" s="364">
        <v>0</v>
      </c>
      <c r="AK20" s="364">
        <v>0</v>
      </c>
      <c r="AL20" s="364">
        <v>0</v>
      </c>
      <c r="AM20" s="364">
        <v>0</v>
      </c>
      <c r="AN20" s="364">
        <v>0</v>
      </c>
      <c r="AO20" s="364">
        <v>0</v>
      </c>
      <c r="AP20" s="364">
        <v>0</v>
      </c>
      <c r="AQ20" s="364">
        <v>0</v>
      </c>
      <c r="AR20" s="364">
        <v>0</v>
      </c>
      <c r="AS20" s="364">
        <v>0</v>
      </c>
      <c r="AT20" s="364">
        <v>0</v>
      </c>
      <c r="AU20" s="364">
        <v>0</v>
      </c>
      <c r="AV20" s="364">
        <v>0</v>
      </c>
      <c r="AW20" s="364">
        <v>0</v>
      </c>
    </row>
    <row r="21" spans="3:49" x14ac:dyDescent="0.3">
      <c r="C21" s="364">
        <v>9</v>
      </c>
      <c r="D21" s="364">
        <v>2</v>
      </c>
      <c r="E21" s="364">
        <v>11</v>
      </c>
      <c r="F21" s="364">
        <v>5217.5572519083971</v>
      </c>
      <c r="G21" s="364">
        <v>0</v>
      </c>
      <c r="H21" s="364">
        <v>0</v>
      </c>
      <c r="I21" s="364">
        <v>0</v>
      </c>
      <c r="J21" s="364">
        <v>1717.5572519083971</v>
      </c>
      <c r="K21" s="364">
        <v>0</v>
      </c>
      <c r="L21" s="364">
        <v>0</v>
      </c>
      <c r="M21" s="364">
        <v>0</v>
      </c>
      <c r="N21" s="364">
        <v>0</v>
      </c>
      <c r="O21" s="364">
        <v>3500</v>
      </c>
      <c r="P21" s="364">
        <v>0</v>
      </c>
      <c r="Q21" s="364">
        <v>0</v>
      </c>
      <c r="R21" s="364">
        <v>0</v>
      </c>
      <c r="S21" s="364">
        <v>0</v>
      </c>
      <c r="T21" s="364">
        <v>0</v>
      </c>
      <c r="U21" s="364">
        <v>0</v>
      </c>
      <c r="V21" s="364">
        <v>0</v>
      </c>
      <c r="W21" s="364">
        <v>0</v>
      </c>
      <c r="X21" s="364">
        <v>0</v>
      </c>
      <c r="Y21" s="364">
        <v>0</v>
      </c>
      <c r="Z21" s="364">
        <v>0</v>
      </c>
      <c r="AA21" s="364">
        <v>0</v>
      </c>
      <c r="AB21" s="364">
        <v>0</v>
      </c>
      <c r="AC21" s="364">
        <v>0</v>
      </c>
      <c r="AD21" s="364">
        <v>0</v>
      </c>
      <c r="AE21" s="364">
        <v>0</v>
      </c>
      <c r="AF21" s="364">
        <v>0</v>
      </c>
      <c r="AG21" s="364">
        <v>0</v>
      </c>
      <c r="AH21" s="364">
        <v>0</v>
      </c>
      <c r="AI21" s="364">
        <v>0</v>
      </c>
      <c r="AJ21" s="364">
        <v>0</v>
      </c>
      <c r="AK21" s="364">
        <v>0</v>
      </c>
      <c r="AL21" s="364">
        <v>0</v>
      </c>
      <c r="AM21" s="364">
        <v>0</v>
      </c>
      <c r="AN21" s="364">
        <v>0</v>
      </c>
      <c r="AO21" s="364">
        <v>0</v>
      </c>
      <c r="AP21" s="364">
        <v>0</v>
      </c>
      <c r="AQ21" s="364">
        <v>0</v>
      </c>
      <c r="AR21" s="364">
        <v>0</v>
      </c>
      <c r="AS21" s="364">
        <v>0</v>
      </c>
      <c r="AT21" s="364">
        <v>0</v>
      </c>
      <c r="AU21" s="364">
        <v>0</v>
      </c>
      <c r="AV21" s="364">
        <v>0</v>
      </c>
      <c r="AW21" s="364">
        <v>0</v>
      </c>
    </row>
    <row r="22" spans="3:49" x14ac:dyDescent="0.3">
      <c r="C22" s="364">
        <v>9</v>
      </c>
      <c r="D22" s="364">
        <v>3</v>
      </c>
      <c r="E22" s="364">
        <v>1</v>
      </c>
      <c r="F22" s="364">
        <v>67.3</v>
      </c>
      <c r="G22" s="364">
        <v>0</v>
      </c>
      <c r="H22" s="364">
        <v>0</v>
      </c>
      <c r="I22" s="364">
        <v>0.8</v>
      </c>
      <c r="J22" s="364">
        <v>1</v>
      </c>
      <c r="K22" s="364">
        <v>7.5</v>
      </c>
      <c r="L22" s="364">
        <v>0</v>
      </c>
      <c r="M22" s="364">
        <v>0</v>
      </c>
      <c r="N22" s="364">
        <v>0</v>
      </c>
      <c r="O22" s="364">
        <v>0</v>
      </c>
      <c r="P22" s="364">
        <v>16.25</v>
      </c>
      <c r="Q22" s="364">
        <v>27.25</v>
      </c>
      <c r="R22" s="364">
        <v>6</v>
      </c>
      <c r="S22" s="364">
        <v>3.5</v>
      </c>
      <c r="T22" s="364">
        <v>0</v>
      </c>
      <c r="U22" s="364">
        <v>0</v>
      </c>
      <c r="V22" s="364">
        <v>0</v>
      </c>
      <c r="W22" s="364">
        <v>0</v>
      </c>
      <c r="X22" s="364">
        <v>0</v>
      </c>
      <c r="Y22" s="364">
        <v>0</v>
      </c>
      <c r="Z22" s="364">
        <v>0</v>
      </c>
      <c r="AA22" s="364">
        <v>0</v>
      </c>
      <c r="AB22" s="364">
        <v>0</v>
      </c>
      <c r="AC22" s="364">
        <v>0</v>
      </c>
      <c r="AD22" s="364">
        <v>0</v>
      </c>
      <c r="AE22" s="364">
        <v>0</v>
      </c>
      <c r="AF22" s="364">
        <v>0</v>
      </c>
      <c r="AG22" s="364">
        <v>0</v>
      </c>
      <c r="AH22" s="364">
        <v>0</v>
      </c>
      <c r="AI22" s="364">
        <v>0</v>
      </c>
      <c r="AJ22" s="364">
        <v>0</v>
      </c>
      <c r="AK22" s="364">
        <v>0</v>
      </c>
      <c r="AL22" s="364">
        <v>0</v>
      </c>
      <c r="AM22" s="364">
        <v>0</v>
      </c>
      <c r="AN22" s="364">
        <v>0</v>
      </c>
      <c r="AO22" s="364">
        <v>0</v>
      </c>
      <c r="AP22" s="364">
        <v>0</v>
      </c>
      <c r="AQ22" s="364">
        <v>0</v>
      </c>
      <c r="AR22" s="364">
        <v>4</v>
      </c>
      <c r="AS22" s="364">
        <v>0</v>
      </c>
      <c r="AT22" s="364">
        <v>0</v>
      </c>
      <c r="AU22" s="364">
        <v>0</v>
      </c>
      <c r="AV22" s="364">
        <v>0</v>
      </c>
      <c r="AW22" s="364">
        <v>1</v>
      </c>
    </row>
    <row r="23" spans="3:49" x14ac:dyDescent="0.3">
      <c r="C23" s="364">
        <v>9</v>
      </c>
      <c r="D23" s="364">
        <v>3</v>
      </c>
      <c r="E23" s="364">
        <v>2</v>
      </c>
      <c r="F23" s="364">
        <v>10601.2</v>
      </c>
      <c r="G23" s="364">
        <v>0</v>
      </c>
      <c r="H23" s="364">
        <v>0</v>
      </c>
      <c r="I23" s="364">
        <v>147.19999999999999</v>
      </c>
      <c r="J23" s="364">
        <v>184</v>
      </c>
      <c r="K23" s="364">
        <v>1300</v>
      </c>
      <c r="L23" s="364">
        <v>0</v>
      </c>
      <c r="M23" s="364">
        <v>0</v>
      </c>
      <c r="N23" s="364">
        <v>0</v>
      </c>
      <c r="O23" s="364">
        <v>0</v>
      </c>
      <c r="P23" s="364">
        <v>2670</v>
      </c>
      <c r="Q23" s="364">
        <v>4044</v>
      </c>
      <c r="R23" s="364">
        <v>820</v>
      </c>
      <c r="S23" s="364">
        <v>576</v>
      </c>
      <c r="T23" s="364">
        <v>0</v>
      </c>
      <c r="U23" s="364">
        <v>0</v>
      </c>
      <c r="V23" s="364">
        <v>0</v>
      </c>
      <c r="W23" s="364">
        <v>0</v>
      </c>
      <c r="X23" s="364">
        <v>0</v>
      </c>
      <c r="Y23" s="364">
        <v>0</v>
      </c>
      <c r="Z23" s="364">
        <v>0</v>
      </c>
      <c r="AA23" s="364">
        <v>0</v>
      </c>
      <c r="AB23" s="364">
        <v>0</v>
      </c>
      <c r="AC23" s="364">
        <v>0</v>
      </c>
      <c r="AD23" s="364">
        <v>0</v>
      </c>
      <c r="AE23" s="364">
        <v>0</v>
      </c>
      <c r="AF23" s="364">
        <v>0</v>
      </c>
      <c r="AG23" s="364">
        <v>0</v>
      </c>
      <c r="AH23" s="364">
        <v>0</v>
      </c>
      <c r="AI23" s="364">
        <v>0</v>
      </c>
      <c r="AJ23" s="364">
        <v>0</v>
      </c>
      <c r="AK23" s="364">
        <v>0</v>
      </c>
      <c r="AL23" s="364">
        <v>0</v>
      </c>
      <c r="AM23" s="364">
        <v>0</v>
      </c>
      <c r="AN23" s="364">
        <v>0</v>
      </c>
      <c r="AO23" s="364">
        <v>0</v>
      </c>
      <c r="AP23" s="364">
        <v>0</v>
      </c>
      <c r="AQ23" s="364">
        <v>0</v>
      </c>
      <c r="AR23" s="364">
        <v>680</v>
      </c>
      <c r="AS23" s="364">
        <v>0</v>
      </c>
      <c r="AT23" s="364">
        <v>0</v>
      </c>
      <c r="AU23" s="364">
        <v>0</v>
      </c>
      <c r="AV23" s="364">
        <v>0</v>
      </c>
      <c r="AW23" s="364">
        <v>180</v>
      </c>
    </row>
    <row r="24" spans="3:49" x14ac:dyDescent="0.3">
      <c r="C24" s="364">
        <v>9</v>
      </c>
      <c r="D24" s="364">
        <v>3</v>
      </c>
      <c r="E24" s="364">
        <v>3</v>
      </c>
      <c r="F24" s="364">
        <v>434.8</v>
      </c>
      <c r="G24" s="364">
        <v>0</v>
      </c>
      <c r="H24" s="364">
        <v>0</v>
      </c>
      <c r="I24" s="364">
        <v>48.3</v>
      </c>
      <c r="J24" s="364">
        <v>0</v>
      </c>
      <c r="K24" s="364">
        <v>11.5</v>
      </c>
      <c r="L24" s="364">
        <v>0</v>
      </c>
      <c r="M24" s="364">
        <v>0</v>
      </c>
      <c r="N24" s="364">
        <v>0</v>
      </c>
      <c r="O24" s="364">
        <v>0</v>
      </c>
      <c r="P24" s="364">
        <v>197</v>
      </c>
      <c r="Q24" s="364">
        <v>148</v>
      </c>
      <c r="R24" s="364">
        <v>30</v>
      </c>
      <c r="S24" s="364">
        <v>0</v>
      </c>
      <c r="T24" s="364">
        <v>0</v>
      </c>
      <c r="U24" s="364">
        <v>0</v>
      </c>
      <c r="V24" s="364">
        <v>0</v>
      </c>
      <c r="W24" s="364">
        <v>0</v>
      </c>
      <c r="X24" s="364">
        <v>0</v>
      </c>
      <c r="Y24" s="364">
        <v>0</v>
      </c>
      <c r="Z24" s="364">
        <v>0</v>
      </c>
      <c r="AA24" s="364">
        <v>0</v>
      </c>
      <c r="AB24" s="364">
        <v>0</v>
      </c>
      <c r="AC24" s="364">
        <v>0</v>
      </c>
      <c r="AD24" s="364">
        <v>0</v>
      </c>
      <c r="AE24" s="364">
        <v>0</v>
      </c>
      <c r="AF24" s="364">
        <v>0</v>
      </c>
      <c r="AG24" s="364">
        <v>0</v>
      </c>
      <c r="AH24" s="364">
        <v>0</v>
      </c>
      <c r="AI24" s="364">
        <v>0</v>
      </c>
      <c r="AJ24" s="364">
        <v>0</v>
      </c>
      <c r="AK24" s="364">
        <v>0</v>
      </c>
      <c r="AL24" s="364">
        <v>0</v>
      </c>
      <c r="AM24" s="364">
        <v>0</v>
      </c>
      <c r="AN24" s="364">
        <v>0</v>
      </c>
      <c r="AO24" s="364">
        <v>0</v>
      </c>
      <c r="AP24" s="364">
        <v>0</v>
      </c>
      <c r="AQ24" s="364">
        <v>0</v>
      </c>
      <c r="AR24" s="364">
        <v>0</v>
      </c>
      <c r="AS24" s="364">
        <v>0</v>
      </c>
      <c r="AT24" s="364">
        <v>0</v>
      </c>
      <c r="AU24" s="364">
        <v>0</v>
      </c>
      <c r="AV24" s="364">
        <v>0</v>
      </c>
      <c r="AW24" s="364">
        <v>0</v>
      </c>
    </row>
    <row r="25" spans="3:49" x14ac:dyDescent="0.3">
      <c r="C25" s="364">
        <v>9</v>
      </c>
      <c r="D25" s="364">
        <v>3</v>
      </c>
      <c r="E25" s="364">
        <v>4</v>
      </c>
      <c r="F25" s="364">
        <v>485.8</v>
      </c>
      <c r="G25" s="364">
        <v>0</v>
      </c>
      <c r="H25" s="364">
        <v>0</v>
      </c>
      <c r="I25" s="364">
        <v>16.8</v>
      </c>
      <c r="J25" s="364">
        <v>34</v>
      </c>
      <c r="K25" s="364">
        <v>194.5</v>
      </c>
      <c r="L25" s="364">
        <v>0</v>
      </c>
      <c r="M25" s="364">
        <v>0</v>
      </c>
      <c r="N25" s="364">
        <v>0</v>
      </c>
      <c r="O25" s="364">
        <v>0</v>
      </c>
      <c r="P25" s="364">
        <v>71.75</v>
      </c>
      <c r="Q25" s="364">
        <v>112.25</v>
      </c>
      <c r="R25" s="364">
        <v>10</v>
      </c>
      <c r="S25" s="364">
        <v>10</v>
      </c>
      <c r="T25" s="364">
        <v>0</v>
      </c>
      <c r="U25" s="364">
        <v>0</v>
      </c>
      <c r="V25" s="364">
        <v>0</v>
      </c>
      <c r="W25" s="364">
        <v>0</v>
      </c>
      <c r="X25" s="364">
        <v>0</v>
      </c>
      <c r="Y25" s="364">
        <v>0</v>
      </c>
      <c r="Z25" s="364">
        <v>0</v>
      </c>
      <c r="AA25" s="364">
        <v>0</v>
      </c>
      <c r="AB25" s="364">
        <v>0</v>
      </c>
      <c r="AC25" s="364">
        <v>0</v>
      </c>
      <c r="AD25" s="364">
        <v>0</v>
      </c>
      <c r="AE25" s="364">
        <v>0</v>
      </c>
      <c r="AF25" s="364">
        <v>0</v>
      </c>
      <c r="AG25" s="364">
        <v>0</v>
      </c>
      <c r="AH25" s="364">
        <v>0</v>
      </c>
      <c r="AI25" s="364">
        <v>0</v>
      </c>
      <c r="AJ25" s="364">
        <v>0</v>
      </c>
      <c r="AK25" s="364">
        <v>0</v>
      </c>
      <c r="AL25" s="364">
        <v>0</v>
      </c>
      <c r="AM25" s="364">
        <v>0</v>
      </c>
      <c r="AN25" s="364">
        <v>0</v>
      </c>
      <c r="AO25" s="364">
        <v>0</v>
      </c>
      <c r="AP25" s="364">
        <v>0</v>
      </c>
      <c r="AQ25" s="364">
        <v>0</v>
      </c>
      <c r="AR25" s="364">
        <v>36.5</v>
      </c>
      <c r="AS25" s="364">
        <v>0</v>
      </c>
      <c r="AT25" s="364">
        <v>0</v>
      </c>
      <c r="AU25" s="364">
        <v>0</v>
      </c>
      <c r="AV25" s="364">
        <v>0</v>
      </c>
      <c r="AW25" s="364">
        <v>0</v>
      </c>
    </row>
    <row r="26" spans="3:49" x14ac:dyDescent="0.3">
      <c r="C26" s="364">
        <v>9</v>
      </c>
      <c r="D26" s="364">
        <v>3</v>
      </c>
      <c r="E26" s="364">
        <v>5</v>
      </c>
      <c r="F26" s="364">
        <v>36.5</v>
      </c>
      <c r="G26" s="364">
        <v>36.5</v>
      </c>
      <c r="H26" s="364">
        <v>0</v>
      </c>
      <c r="I26" s="364">
        <v>0</v>
      </c>
      <c r="J26" s="364">
        <v>0</v>
      </c>
      <c r="K26" s="364">
        <v>0</v>
      </c>
      <c r="L26" s="364">
        <v>0</v>
      </c>
      <c r="M26" s="364">
        <v>0</v>
      </c>
      <c r="N26" s="364">
        <v>0</v>
      </c>
      <c r="O26" s="364">
        <v>0</v>
      </c>
      <c r="P26" s="364">
        <v>0</v>
      </c>
      <c r="Q26" s="364">
        <v>0</v>
      </c>
      <c r="R26" s="364">
        <v>0</v>
      </c>
      <c r="S26" s="364">
        <v>0</v>
      </c>
      <c r="T26" s="364">
        <v>0</v>
      </c>
      <c r="U26" s="364">
        <v>0</v>
      </c>
      <c r="V26" s="364">
        <v>0</v>
      </c>
      <c r="W26" s="364">
        <v>0</v>
      </c>
      <c r="X26" s="364">
        <v>0</v>
      </c>
      <c r="Y26" s="364">
        <v>0</v>
      </c>
      <c r="Z26" s="364">
        <v>0</v>
      </c>
      <c r="AA26" s="364">
        <v>0</v>
      </c>
      <c r="AB26" s="364">
        <v>0</v>
      </c>
      <c r="AC26" s="364">
        <v>0</v>
      </c>
      <c r="AD26" s="364">
        <v>0</v>
      </c>
      <c r="AE26" s="364">
        <v>0</v>
      </c>
      <c r="AF26" s="364">
        <v>0</v>
      </c>
      <c r="AG26" s="364">
        <v>0</v>
      </c>
      <c r="AH26" s="364">
        <v>0</v>
      </c>
      <c r="AI26" s="364">
        <v>0</v>
      </c>
      <c r="AJ26" s="364">
        <v>0</v>
      </c>
      <c r="AK26" s="364">
        <v>0</v>
      </c>
      <c r="AL26" s="364">
        <v>0</v>
      </c>
      <c r="AM26" s="364">
        <v>0</v>
      </c>
      <c r="AN26" s="364">
        <v>0</v>
      </c>
      <c r="AO26" s="364">
        <v>0</v>
      </c>
      <c r="AP26" s="364">
        <v>0</v>
      </c>
      <c r="AQ26" s="364">
        <v>0</v>
      </c>
      <c r="AR26" s="364">
        <v>0</v>
      </c>
      <c r="AS26" s="364">
        <v>0</v>
      </c>
      <c r="AT26" s="364">
        <v>0</v>
      </c>
      <c r="AU26" s="364">
        <v>0</v>
      </c>
      <c r="AV26" s="364">
        <v>0</v>
      </c>
      <c r="AW26" s="364">
        <v>0</v>
      </c>
    </row>
    <row r="27" spans="3:49" x14ac:dyDescent="0.3">
      <c r="C27" s="364">
        <v>9</v>
      </c>
      <c r="D27" s="364">
        <v>3</v>
      </c>
      <c r="E27" s="364">
        <v>6</v>
      </c>
      <c r="F27" s="364">
        <v>2697836</v>
      </c>
      <c r="G27" s="364">
        <v>17275</v>
      </c>
      <c r="H27" s="364">
        <v>0</v>
      </c>
      <c r="I27" s="364">
        <v>40054</v>
      </c>
      <c r="J27" s="364">
        <v>53499</v>
      </c>
      <c r="K27" s="364">
        <v>670660</v>
      </c>
      <c r="L27" s="364">
        <v>0</v>
      </c>
      <c r="M27" s="364">
        <v>0</v>
      </c>
      <c r="N27" s="364">
        <v>0</v>
      </c>
      <c r="O27" s="364">
        <v>0</v>
      </c>
      <c r="P27" s="364">
        <v>536381</v>
      </c>
      <c r="Q27" s="364">
        <v>980714</v>
      </c>
      <c r="R27" s="364">
        <v>213356</v>
      </c>
      <c r="S27" s="364">
        <v>83078</v>
      </c>
      <c r="T27" s="364">
        <v>0</v>
      </c>
      <c r="U27" s="364">
        <v>0</v>
      </c>
      <c r="V27" s="364">
        <v>0</v>
      </c>
      <c r="W27" s="364">
        <v>0</v>
      </c>
      <c r="X27" s="364">
        <v>0</v>
      </c>
      <c r="Y27" s="364">
        <v>0</v>
      </c>
      <c r="Z27" s="364">
        <v>0</v>
      </c>
      <c r="AA27" s="364">
        <v>0</v>
      </c>
      <c r="AB27" s="364">
        <v>0</v>
      </c>
      <c r="AC27" s="364">
        <v>0</v>
      </c>
      <c r="AD27" s="364">
        <v>0</v>
      </c>
      <c r="AE27" s="364">
        <v>0</v>
      </c>
      <c r="AF27" s="364">
        <v>0</v>
      </c>
      <c r="AG27" s="364">
        <v>0</v>
      </c>
      <c r="AH27" s="364">
        <v>0</v>
      </c>
      <c r="AI27" s="364">
        <v>0</v>
      </c>
      <c r="AJ27" s="364">
        <v>0</v>
      </c>
      <c r="AK27" s="364">
        <v>0</v>
      </c>
      <c r="AL27" s="364">
        <v>0</v>
      </c>
      <c r="AM27" s="364">
        <v>0</v>
      </c>
      <c r="AN27" s="364">
        <v>0</v>
      </c>
      <c r="AO27" s="364">
        <v>0</v>
      </c>
      <c r="AP27" s="364">
        <v>0</v>
      </c>
      <c r="AQ27" s="364">
        <v>0</v>
      </c>
      <c r="AR27" s="364">
        <v>79430</v>
      </c>
      <c r="AS27" s="364">
        <v>0</v>
      </c>
      <c r="AT27" s="364">
        <v>0</v>
      </c>
      <c r="AU27" s="364">
        <v>0</v>
      </c>
      <c r="AV27" s="364">
        <v>0</v>
      </c>
      <c r="AW27" s="364">
        <v>23389</v>
      </c>
    </row>
    <row r="28" spans="3:49" x14ac:dyDescent="0.3">
      <c r="C28" s="364">
        <v>9</v>
      </c>
      <c r="D28" s="364">
        <v>3</v>
      </c>
      <c r="E28" s="364">
        <v>11</v>
      </c>
      <c r="F28" s="364">
        <v>5217.5572519083971</v>
      </c>
      <c r="G28" s="364">
        <v>0</v>
      </c>
      <c r="H28" s="364">
        <v>0</v>
      </c>
      <c r="I28" s="364">
        <v>0</v>
      </c>
      <c r="J28" s="364">
        <v>1717.5572519083971</v>
      </c>
      <c r="K28" s="364">
        <v>0</v>
      </c>
      <c r="L28" s="364">
        <v>0</v>
      </c>
      <c r="M28" s="364">
        <v>0</v>
      </c>
      <c r="N28" s="364">
        <v>0</v>
      </c>
      <c r="O28" s="364">
        <v>3500</v>
      </c>
      <c r="P28" s="364">
        <v>0</v>
      </c>
      <c r="Q28" s="364">
        <v>0</v>
      </c>
      <c r="R28" s="364">
        <v>0</v>
      </c>
      <c r="S28" s="364">
        <v>0</v>
      </c>
      <c r="T28" s="364">
        <v>0</v>
      </c>
      <c r="U28" s="364">
        <v>0</v>
      </c>
      <c r="V28" s="364">
        <v>0</v>
      </c>
      <c r="W28" s="364">
        <v>0</v>
      </c>
      <c r="X28" s="364">
        <v>0</v>
      </c>
      <c r="Y28" s="364">
        <v>0</v>
      </c>
      <c r="Z28" s="364">
        <v>0</v>
      </c>
      <c r="AA28" s="364">
        <v>0</v>
      </c>
      <c r="AB28" s="364">
        <v>0</v>
      </c>
      <c r="AC28" s="364">
        <v>0</v>
      </c>
      <c r="AD28" s="364">
        <v>0</v>
      </c>
      <c r="AE28" s="364">
        <v>0</v>
      </c>
      <c r="AF28" s="364">
        <v>0</v>
      </c>
      <c r="AG28" s="364">
        <v>0</v>
      </c>
      <c r="AH28" s="364">
        <v>0</v>
      </c>
      <c r="AI28" s="364">
        <v>0</v>
      </c>
      <c r="AJ28" s="364">
        <v>0</v>
      </c>
      <c r="AK28" s="364">
        <v>0</v>
      </c>
      <c r="AL28" s="364">
        <v>0</v>
      </c>
      <c r="AM28" s="364">
        <v>0</v>
      </c>
      <c r="AN28" s="364">
        <v>0</v>
      </c>
      <c r="AO28" s="364">
        <v>0</v>
      </c>
      <c r="AP28" s="364">
        <v>0</v>
      </c>
      <c r="AQ28" s="364">
        <v>0</v>
      </c>
      <c r="AR28" s="364">
        <v>0</v>
      </c>
      <c r="AS28" s="364">
        <v>0</v>
      </c>
      <c r="AT28" s="364">
        <v>0</v>
      </c>
      <c r="AU28" s="364">
        <v>0</v>
      </c>
      <c r="AV28" s="364">
        <v>0</v>
      </c>
      <c r="AW28" s="364">
        <v>0</v>
      </c>
    </row>
    <row r="29" spans="3:49" x14ac:dyDescent="0.3">
      <c r="C29" s="364">
        <v>9</v>
      </c>
      <c r="D29" s="364">
        <v>4</v>
      </c>
      <c r="E29" s="364">
        <v>1</v>
      </c>
      <c r="F29" s="364">
        <v>65.3</v>
      </c>
      <c r="G29" s="364">
        <v>0</v>
      </c>
      <c r="H29" s="364">
        <v>0</v>
      </c>
      <c r="I29" s="364">
        <v>0.8</v>
      </c>
      <c r="J29" s="364">
        <v>1</v>
      </c>
      <c r="K29" s="364">
        <v>7.5</v>
      </c>
      <c r="L29" s="364">
        <v>0</v>
      </c>
      <c r="M29" s="364">
        <v>0</v>
      </c>
      <c r="N29" s="364">
        <v>0</v>
      </c>
      <c r="O29" s="364">
        <v>0</v>
      </c>
      <c r="P29" s="364">
        <v>13</v>
      </c>
      <c r="Q29" s="364">
        <v>27.75</v>
      </c>
      <c r="R29" s="364">
        <v>6.75</v>
      </c>
      <c r="S29" s="364">
        <v>3.5</v>
      </c>
      <c r="T29" s="364">
        <v>0</v>
      </c>
      <c r="U29" s="364">
        <v>0</v>
      </c>
      <c r="V29" s="364">
        <v>0</v>
      </c>
      <c r="W29" s="364">
        <v>0</v>
      </c>
      <c r="X29" s="364">
        <v>0</v>
      </c>
      <c r="Y29" s="364">
        <v>0</v>
      </c>
      <c r="Z29" s="364">
        <v>0</v>
      </c>
      <c r="AA29" s="364">
        <v>0</v>
      </c>
      <c r="AB29" s="364">
        <v>0</v>
      </c>
      <c r="AC29" s="364">
        <v>0</v>
      </c>
      <c r="AD29" s="364">
        <v>0</v>
      </c>
      <c r="AE29" s="364">
        <v>0</v>
      </c>
      <c r="AF29" s="364">
        <v>0</v>
      </c>
      <c r="AG29" s="364">
        <v>0</v>
      </c>
      <c r="AH29" s="364">
        <v>0</v>
      </c>
      <c r="AI29" s="364">
        <v>0</v>
      </c>
      <c r="AJ29" s="364">
        <v>0</v>
      </c>
      <c r="AK29" s="364">
        <v>0</v>
      </c>
      <c r="AL29" s="364">
        <v>0</v>
      </c>
      <c r="AM29" s="364">
        <v>0</v>
      </c>
      <c r="AN29" s="364">
        <v>0</v>
      </c>
      <c r="AO29" s="364">
        <v>0</v>
      </c>
      <c r="AP29" s="364">
        <v>0</v>
      </c>
      <c r="AQ29" s="364">
        <v>0</v>
      </c>
      <c r="AR29" s="364">
        <v>4</v>
      </c>
      <c r="AS29" s="364">
        <v>0</v>
      </c>
      <c r="AT29" s="364">
        <v>0</v>
      </c>
      <c r="AU29" s="364">
        <v>0</v>
      </c>
      <c r="AV29" s="364">
        <v>0</v>
      </c>
      <c r="AW29" s="364">
        <v>1</v>
      </c>
    </row>
    <row r="30" spans="3:49" x14ac:dyDescent="0.3">
      <c r="C30" s="364">
        <v>9</v>
      </c>
      <c r="D30" s="364">
        <v>4</v>
      </c>
      <c r="E30" s="364">
        <v>2</v>
      </c>
      <c r="F30" s="364">
        <v>9983.15</v>
      </c>
      <c r="G30" s="364">
        <v>0</v>
      </c>
      <c r="H30" s="364">
        <v>0</v>
      </c>
      <c r="I30" s="364">
        <v>134.4</v>
      </c>
      <c r="J30" s="364">
        <v>128</v>
      </c>
      <c r="K30" s="364">
        <v>1240</v>
      </c>
      <c r="L30" s="364">
        <v>0</v>
      </c>
      <c r="M30" s="364">
        <v>0</v>
      </c>
      <c r="N30" s="364">
        <v>0</v>
      </c>
      <c r="O30" s="364">
        <v>0</v>
      </c>
      <c r="P30" s="364">
        <v>1932</v>
      </c>
      <c r="Q30" s="364">
        <v>4164</v>
      </c>
      <c r="R30" s="364">
        <v>1068</v>
      </c>
      <c r="S30" s="364">
        <v>552</v>
      </c>
      <c r="T30" s="364">
        <v>0</v>
      </c>
      <c r="U30" s="364">
        <v>0</v>
      </c>
      <c r="V30" s="364">
        <v>0</v>
      </c>
      <c r="W30" s="364">
        <v>0</v>
      </c>
      <c r="X30" s="364">
        <v>0</v>
      </c>
      <c r="Y30" s="364">
        <v>0</v>
      </c>
      <c r="Z30" s="364">
        <v>0</v>
      </c>
      <c r="AA30" s="364">
        <v>0</v>
      </c>
      <c r="AB30" s="364">
        <v>0</v>
      </c>
      <c r="AC30" s="364">
        <v>0</v>
      </c>
      <c r="AD30" s="364">
        <v>0</v>
      </c>
      <c r="AE30" s="364">
        <v>0</v>
      </c>
      <c r="AF30" s="364">
        <v>0</v>
      </c>
      <c r="AG30" s="364">
        <v>0</v>
      </c>
      <c r="AH30" s="364">
        <v>0</v>
      </c>
      <c r="AI30" s="364">
        <v>0</v>
      </c>
      <c r="AJ30" s="364">
        <v>0</v>
      </c>
      <c r="AK30" s="364">
        <v>0</v>
      </c>
      <c r="AL30" s="364">
        <v>0</v>
      </c>
      <c r="AM30" s="364">
        <v>0</v>
      </c>
      <c r="AN30" s="364">
        <v>0</v>
      </c>
      <c r="AO30" s="364">
        <v>0</v>
      </c>
      <c r="AP30" s="364">
        <v>0</v>
      </c>
      <c r="AQ30" s="364">
        <v>0</v>
      </c>
      <c r="AR30" s="364">
        <v>600.75</v>
      </c>
      <c r="AS30" s="364">
        <v>0</v>
      </c>
      <c r="AT30" s="364">
        <v>0</v>
      </c>
      <c r="AU30" s="364">
        <v>0</v>
      </c>
      <c r="AV30" s="364">
        <v>0</v>
      </c>
      <c r="AW30" s="364">
        <v>164</v>
      </c>
    </row>
    <row r="31" spans="3:49" x14ac:dyDescent="0.3">
      <c r="C31" s="364">
        <v>9</v>
      </c>
      <c r="D31" s="364">
        <v>4</v>
      </c>
      <c r="E31" s="364">
        <v>3</v>
      </c>
      <c r="F31" s="364">
        <v>558.70000000000005</v>
      </c>
      <c r="G31" s="364">
        <v>0</v>
      </c>
      <c r="H31" s="364">
        <v>0</v>
      </c>
      <c r="I31" s="364">
        <v>33.6</v>
      </c>
      <c r="J31" s="364">
        <v>0</v>
      </c>
      <c r="K31" s="364">
        <v>10.1</v>
      </c>
      <c r="L31" s="364">
        <v>0</v>
      </c>
      <c r="M31" s="364">
        <v>0</v>
      </c>
      <c r="N31" s="364">
        <v>0</v>
      </c>
      <c r="O31" s="364">
        <v>0</v>
      </c>
      <c r="P31" s="364">
        <v>276</v>
      </c>
      <c r="Q31" s="364">
        <v>149</v>
      </c>
      <c r="R31" s="364">
        <v>55</v>
      </c>
      <c r="S31" s="364">
        <v>35</v>
      </c>
      <c r="T31" s="364">
        <v>0</v>
      </c>
      <c r="U31" s="364">
        <v>0</v>
      </c>
      <c r="V31" s="364">
        <v>0</v>
      </c>
      <c r="W31" s="364">
        <v>0</v>
      </c>
      <c r="X31" s="364">
        <v>0</v>
      </c>
      <c r="Y31" s="364">
        <v>0</v>
      </c>
      <c r="Z31" s="364">
        <v>0</v>
      </c>
      <c r="AA31" s="364">
        <v>0</v>
      </c>
      <c r="AB31" s="364">
        <v>0</v>
      </c>
      <c r="AC31" s="364">
        <v>0</v>
      </c>
      <c r="AD31" s="364">
        <v>0</v>
      </c>
      <c r="AE31" s="364">
        <v>0</v>
      </c>
      <c r="AF31" s="364">
        <v>0</v>
      </c>
      <c r="AG31" s="364">
        <v>0</v>
      </c>
      <c r="AH31" s="364">
        <v>0</v>
      </c>
      <c r="AI31" s="364">
        <v>0</v>
      </c>
      <c r="AJ31" s="364">
        <v>0</v>
      </c>
      <c r="AK31" s="364">
        <v>0</v>
      </c>
      <c r="AL31" s="364">
        <v>0</v>
      </c>
      <c r="AM31" s="364">
        <v>0</v>
      </c>
      <c r="AN31" s="364">
        <v>0</v>
      </c>
      <c r="AO31" s="364">
        <v>0</v>
      </c>
      <c r="AP31" s="364">
        <v>0</v>
      </c>
      <c r="AQ31" s="364">
        <v>0</v>
      </c>
      <c r="AR31" s="364">
        <v>0</v>
      </c>
      <c r="AS31" s="364">
        <v>0</v>
      </c>
      <c r="AT31" s="364">
        <v>0</v>
      </c>
      <c r="AU31" s="364">
        <v>0</v>
      </c>
      <c r="AV31" s="364">
        <v>0</v>
      </c>
      <c r="AW31" s="364">
        <v>0</v>
      </c>
    </row>
    <row r="32" spans="3:49" x14ac:dyDescent="0.3">
      <c r="C32" s="364">
        <v>9</v>
      </c>
      <c r="D32" s="364">
        <v>4</v>
      </c>
      <c r="E32" s="364">
        <v>4</v>
      </c>
      <c r="F32" s="364">
        <v>665.3</v>
      </c>
      <c r="G32" s="364">
        <v>0</v>
      </c>
      <c r="H32" s="364">
        <v>0</v>
      </c>
      <c r="I32" s="364">
        <v>14.4</v>
      </c>
      <c r="J32" s="364">
        <v>34</v>
      </c>
      <c r="K32" s="364">
        <v>185.4</v>
      </c>
      <c r="L32" s="364">
        <v>0</v>
      </c>
      <c r="M32" s="364">
        <v>0</v>
      </c>
      <c r="N32" s="364">
        <v>0</v>
      </c>
      <c r="O32" s="364">
        <v>0</v>
      </c>
      <c r="P32" s="364">
        <v>45</v>
      </c>
      <c r="Q32" s="364">
        <v>237</v>
      </c>
      <c r="R32" s="364">
        <v>75</v>
      </c>
      <c r="S32" s="364">
        <v>30</v>
      </c>
      <c r="T32" s="364">
        <v>0</v>
      </c>
      <c r="U32" s="364">
        <v>0</v>
      </c>
      <c r="V32" s="364">
        <v>0</v>
      </c>
      <c r="W32" s="364">
        <v>0</v>
      </c>
      <c r="X32" s="364">
        <v>0</v>
      </c>
      <c r="Y32" s="364">
        <v>0</v>
      </c>
      <c r="Z32" s="364">
        <v>0</v>
      </c>
      <c r="AA32" s="364">
        <v>0</v>
      </c>
      <c r="AB32" s="364">
        <v>0</v>
      </c>
      <c r="AC32" s="364">
        <v>0</v>
      </c>
      <c r="AD32" s="364">
        <v>0</v>
      </c>
      <c r="AE32" s="364">
        <v>0</v>
      </c>
      <c r="AF32" s="364">
        <v>0</v>
      </c>
      <c r="AG32" s="364">
        <v>0</v>
      </c>
      <c r="AH32" s="364">
        <v>0</v>
      </c>
      <c r="AI32" s="364">
        <v>0</v>
      </c>
      <c r="AJ32" s="364">
        <v>0</v>
      </c>
      <c r="AK32" s="364">
        <v>0</v>
      </c>
      <c r="AL32" s="364">
        <v>0</v>
      </c>
      <c r="AM32" s="364">
        <v>0</v>
      </c>
      <c r="AN32" s="364">
        <v>0</v>
      </c>
      <c r="AO32" s="364">
        <v>0</v>
      </c>
      <c r="AP32" s="364">
        <v>0</v>
      </c>
      <c r="AQ32" s="364">
        <v>0</v>
      </c>
      <c r="AR32" s="364">
        <v>44.5</v>
      </c>
      <c r="AS32" s="364">
        <v>0</v>
      </c>
      <c r="AT32" s="364">
        <v>0</v>
      </c>
      <c r="AU32" s="364">
        <v>0</v>
      </c>
      <c r="AV32" s="364">
        <v>0</v>
      </c>
      <c r="AW32" s="364">
        <v>0</v>
      </c>
    </row>
    <row r="33" spans="3:49" x14ac:dyDescent="0.3">
      <c r="C33" s="364">
        <v>9</v>
      </c>
      <c r="D33" s="364">
        <v>4</v>
      </c>
      <c r="E33" s="364">
        <v>5</v>
      </c>
      <c r="F33" s="364">
        <v>41.5</v>
      </c>
      <c r="G33" s="364">
        <v>41.5</v>
      </c>
      <c r="H33" s="364">
        <v>0</v>
      </c>
      <c r="I33" s="364">
        <v>0</v>
      </c>
      <c r="J33" s="364">
        <v>0</v>
      </c>
      <c r="K33" s="364">
        <v>0</v>
      </c>
      <c r="L33" s="364">
        <v>0</v>
      </c>
      <c r="M33" s="364">
        <v>0</v>
      </c>
      <c r="N33" s="364">
        <v>0</v>
      </c>
      <c r="O33" s="364">
        <v>0</v>
      </c>
      <c r="P33" s="364">
        <v>0</v>
      </c>
      <c r="Q33" s="364">
        <v>0</v>
      </c>
      <c r="R33" s="364">
        <v>0</v>
      </c>
      <c r="S33" s="364">
        <v>0</v>
      </c>
      <c r="T33" s="364">
        <v>0</v>
      </c>
      <c r="U33" s="364">
        <v>0</v>
      </c>
      <c r="V33" s="364">
        <v>0</v>
      </c>
      <c r="W33" s="364">
        <v>0</v>
      </c>
      <c r="X33" s="364">
        <v>0</v>
      </c>
      <c r="Y33" s="364">
        <v>0</v>
      </c>
      <c r="Z33" s="364">
        <v>0</v>
      </c>
      <c r="AA33" s="364">
        <v>0</v>
      </c>
      <c r="AB33" s="364">
        <v>0</v>
      </c>
      <c r="AC33" s="364">
        <v>0</v>
      </c>
      <c r="AD33" s="364">
        <v>0</v>
      </c>
      <c r="AE33" s="364">
        <v>0</v>
      </c>
      <c r="AF33" s="364">
        <v>0</v>
      </c>
      <c r="AG33" s="364">
        <v>0</v>
      </c>
      <c r="AH33" s="364">
        <v>0</v>
      </c>
      <c r="AI33" s="364">
        <v>0</v>
      </c>
      <c r="AJ33" s="364">
        <v>0</v>
      </c>
      <c r="AK33" s="364">
        <v>0</v>
      </c>
      <c r="AL33" s="364">
        <v>0</v>
      </c>
      <c r="AM33" s="364">
        <v>0</v>
      </c>
      <c r="AN33" s="364">
        <v>0</v>
      </c>
      <c r="AO33" s="364">
        <v>0</v>
      </c>
      <c r="AP33" s="364">
        <v>0</v>
      </c>
      <c r="AQ33" s="364">
        <v>0</v>
      </c>
      <c r="AR33" s="364">
        <v>0</v>
      </c>
      <c r="AS33" s="364">
        <v>0</v>
      </c>
      <c r="AT33" s="364">
        <v>0</v>
      </c>
      <c r="AU33" s="364">
        <v>0</v>
      </c>
      <c r="AV33" s="364">
        <v>0</v>
      </c>
      <c r="AW33" s="364">
        <v>0</v>
      </c>
    </row>
    <row r="34" spans="3:49" x14ac:dyDescent="0.3">
      <c r="C34" s="364">
        <v>9</v>
      </c>
      <c r="D34" s="364">
        <v>4</v>
      </c>
      <c r="E34" s="364">
        <v>6</v>
      </c>
      <c r="F34" s="364">
        <v>2722577</v>
      </c>
      <c r="G34" s="364">
        <v>19775</v>
      </c>
      <c r="H34" s="364">
        <v>0</v>
      </c>
      <c r="I34" s="364">
        <v>35407</v>
      </c>
      <c r="J34" s="364">
        <v>54418</v>
      </c>
      <c r="K34" s="364">
        <v>665974</v>
      </c>
      <c r="L34" s="364">
        <v>0</v>
      </c>
      <c r="M34" s="364">
        <v>0</v>
      </c>
      <c r="N34" s="364">
        <v>0</v>
      </c>
      <c r="O34" s="364">
        <v>0</v>
      </c>
      <c r="P34" s="364">
        <v>438403</v>
      </c>
      <c r="Q34" s="364">
        <v>1025445</v>
      </c>
      <c r="R34" s="364">
        <v>286617</v>
      </c>
      <c r="S34" s="364">
        <v>94490</v>
      </c>
      <c r="T34" s="364">
        <v>0</v>
      </c>
      <c r="U34" s="364">
        <v>0</v>
      </c>
      <c r="V34" s="364">
        <v>0</v>
      </c>
      <c r="W34" s="364">
        <v>0</v>
      </c>
      <c r="X34" s="364">
        <v>0</v>
      </c>
      <c r="Y34" s="364">
        <v>0</v>
      </c>
      <c r="Z34" s="364">
        <v>0</v>
      </c>
      <c r="AA34" s="364">
        <v>0</v>
      </c>
      <c r="AB34" s="364">
        <v>0</v>
      </c>
      <c r="AC34" s="364">
        <v>0</v>
      </c>
      <c r="AD34" s="364">
        <v>0</v>
      </c>
      <c r="AE34" s="364">
        <v>0</v>
      </c>
      <c r="AF34" s="364">
        <v>0</v>
      </c>
      <c r="AG34" s="364">
        <v>0</v>
      </c>
      <c r="AH34" s="364">
        <v>0</v>
      </c>
      <c r="AI34" s="364">
        <v>0</v>
      </c>
      <c r="AJ34" s="364">
        <v>0</v>
      </c>
      <c r="AK34" s="364">
        <v>0</v>
      </c>
      <c r="AL34" s="364">
        <v>0</v>
      </c>
      <c r="AM34" s="364">
        <v>0</v>
      </c>
      <c r="AN34" s="364">
        <v>0</v>
      </c>
      <c r="AO34" s="364">
        <v>0</v>
      </c>
      <c r="AP34" s="364">
        <v>0</v>
      </c>
      <c r="AQ34" s="364">
        <v>0</v>
      </c>
      <c r="AR34" s="364">
        <v>78713</v>
      </c>
      <c r="AS34" s="364">
        <v>0</v>
      </c>
      <c r="AT34" s="364">
        <v>0</v>
      </c>
      <c r="AU34" s="364">
        <v>0</v>
      </c>
      <c r="AV34" s="364">
        <v>0</v>
      </c>
      <c r="AW34" s="364">
        <v>23335</v>
      </c>
    </row>
    <row r="35" spans="3:49" x14ac:dyDescent="0.3">
      <c r="C35" s="364">
        <v>9</v>
      </c>
      <c r="D35" s="364">
        <v>4</v>
      </c>
      <c r="E35" s="364">
        <v>9</v>
      </c>
      <c r="F35" s="364">
        <v>65308</v>
      </c>
      <c r="G35" s="364">
        <v>0</v>
      </c>
      <c r="H35" s="364">
        <v>0</v>
      </c>
      <c r="I35" s="364">
        <v>0</v>
      </c>
      <c r="J35" s="364">
        <v>0</v>
      </c>
      <c r="K35" s="364">
        <v>16800</v>
      </c>
      <c r="L35" s="364">
        <v>0</v>
      </c>
      <c r="M35" s="364">
        <v>0</v>
      </c>
      <c r="N35" s="364">
        <v>0</v>
      </c>
      <c r="O35" s="364">
        <v>0</v>
      </c>
      <c r="P35" s="364">
        <v>17201</v>
      </c>
      <c r="Q35" s="364">
        <v>21362</v>
      </c>
      <c r="R35" s="364">
        <v>5430</v>
      </c>
      <c r="S35" s="364">
        <v>4515</v>
      </c>
      <c r="T35" s="364">
        <v>0</v>
      </c>
      <c r="U35" s="364">
        <v>0</v>
      </c>
      <c r="V35" s="364">
        <v>0</v>
      </c>
      <c r="W35" s="364">
        <v>0</v>
      </c>
      <c r="X35" s="364">
        <v>0</v>
      </c>
      <c r="Y35" s="364">
        <v>0</v>
      </c>
      <c r="Z35" s="364">
        <v>0</v>
      </c>
      <c r="AA35" s="364">
        <v>0</v>
      </c>
      <c r="AB35" s="364">
        <v>0</v>
      </c>
      <c r="AC35" s="364">
        <v>0</v>
      </c>
      <c r="AD35" s="364">
        <v>0</v>
      </c>
      <c r="AE35" s="364">
        <v>0</v>
      </c>
      <c r="AF35" s="364">
        <v>0</v>
      </c>
      <c r="AG35" s="364">
        <v>0</v>
      </c>
      <c r="AH35" s="364">
        <v>0</v>
      </c>
      <c r="AI35" s="364">
        <v>0</v>
      </c>
      <c r="AJ35" s="364">
        <v>0</v>
      </c>
      <c r="AK35" s="364">
        <v>0</v>
      </c>
      <c r="AL35" s="364">
        <v>0</v>
      </c>
      <c r="AM35" s="364">
        <v>0</v>
      </c>
      <c r="AN35" s="364">
        <v>0</v>
      </c>
      <c r="AO35" s="364">
        <v>0</v>
      </c>
      <c r="AP35" s="364">
        <v>0</v>
      </c>
      <c r="AQ35" s="364">
        <v>0</v>
      </c>
      <c r="AR35" s="364">
        <v>0</v>
      </c>
      <c r="AS35" s="364">
        <v>0</v>
      </c>
      <c r="AT35" s="364">
        <v>0</v>
      </c>
      <c r="AU35" s="364">
        <v>0</v>
      </c>
      <c r="AV35" s="364">
        <v>0</v>
      </c>
      <c r="AW35" s="364">
        <v>0</v>
      </c>
    </row>
    <row r="36" spans="3:49" x14ac:dyDescent="0.3">
      <c r="C36" s="364">
        <v>9</v>
      </c>
      <c r="D36" s="364">
        <v>4</v>
      </c>
      <c r="E36" s="364">
        <v>10</v>
      </c>
      <c r="F36" s="364">
        <v>15100</v>
      </c>
      <c r="G36" s="364">
        <v>0</v>
      </c>
      <c r="H36" s="364">
        <v>0</v>
      </c>
      <c r="I36" s="364">
        <v>0</v>
      </c>
      <c r="J36" s="364">
        <v>3000</v>
      </c>
      <c r="K36" s="364">
        <v>0</v>
      </c>
      <c r="L36" s="364">
        <v>0</v>
      </c>
      <c r="M36" s="364">
        <v>0</v>
      </c>
      <c r="N36" s="364">
        <v>0</v>
      </c>
      <c r="O36" s="364">
        <v>12100</v>
      </c>
      <c r="P36" s="364">
        <v>0</v>
      </c>
      <c r="Q36" s="364">
        <v>0</v>
      </c>
      <c r="R36" s="364">
        <v>0</v>
      </c>
      <c r="S36" s="364">
        <v>0</v>
      </c>
      <c r="T36" s="364">
        <v>0</v>
      </c>
      <c r="U36" s="364">
        <v>0</v>
      </c>
      <c r="V36" s="364">
        <v>0</v>
      </c>
      <c r="W36" s="364">
        <v>0</v>
      </c>
      <c r="X36" s="364">
        <v>0</v>
      </c>
      <c r="Y36" s="364">
        <v>0</v>
      </c>
      <c r="Z36" s="364">
        <v>0</v>
      </c>
      <c r="AA36" s="364">
        <v>0</v>
      </c>
      <c r="AB36" s="364">
        <v>0</v>
      </c>
      <c r="AC36" s="364">
        <v>0</v>
      </c>
      <c r="AD36" s="364">
        <v>0</v>
      </c>
      <c r="AE36" s="364">
        <v>0</v>
      </c>
      <c r="AF36" s="364">
        <v>0</v>
      </c>
      <c r="AG36" s="364">
        <v>0</v>
      </c>
      <c r="AH36" s="364">
        <v>0</v>
      </c>
      <c r="AI36" s="364">
        <v>0</v>
      </c>
      <c r="AJ36" s="364">
        <v>0</v>
      </c>
      <c r="AK36" s="364">
        <v>0</v>
      </c>
      <c r="AL36" s="364">
        <v>0</v>
      </c>
      <c r="AM36" s="364">
        <v>0</v>
      </c>
      <c r="AN36" s="364">
        <v>0</v>
      </c>
      <c r="AO36" s="364">
        <v>0</v>
      </c>
      <c r="AP36" s="364">
        <v>0</v>
      </c>
      <c r="AQ36" s="364">
        <v>0</v>
      </c>
      <c r="AR36" s="364">
        <v>0</v>
      </c>
      <c r="AS36" s="364">
        <v>0</v>
      </c>
      <c r="AT36" s="364">
        <v>0</v>
      </c>
      <c r="AU36" s="364">
        <v>0</v>
      </c>
      <c r="AV36" s="364">
        <v>0</v>
      </c>
      <c r="AW36" s="364">
        <v>0</v>
      </c>
    </row>
    <row r="37" spans="3:49" x14ac:dyDescent="0.3">
      <c r="C37" s="364">
        <v>9</v>
      </c>
      <c r="D37" s="364">
        <v>4</v>
      </c>
      <c r="E37" s="364">
        <v>11</v>
      </c>
      <c r="F37" s="364">
        <v>5217.5572519083971</v>
      </c>
      <c r="G37" s="364">
        <v>0</v>
      </c>
      <c r="H37" s="364">
        <v>0</v>
      </c>
      <c r="I37" s="364">
        <v>0</v>
      </c>
      <c r="J37" s="364">
        <v>1717.5572519083971</v>
      </c>
      <c r="K37" s="364">
        <v>0</v>
      </c>
      <c r="L37" s="364">
        <v>0</v>
      </c>
      <c r="M37" s="364">
        <v>0</v>
      </c>
      <c r="N37" s="364">
        <v>0</v>
      </c>
      <c r="O37" s="364">
        <v>3500</v>
      </c>
      <c r="P37" s="364">
        <v>0</v>
      </c>
      <c r="Q37" s="364">
        <v>0</v>
      </c>
      <c r="R37" s="364">
        <v>0</v>
      </c>
      <c r="S37" s="364">
        <v>0</v>
      </c>
      <c r="T37" s="364">
        <v>0</v>
      </c>
      <c r="U37" s="364">
        <v>0</v>
      </c>
      <c r="V37" s="364">
        <v>0</v>
      </c>
      <c r="W37" s="364">
        <v>0</v>
      </c>
      <c r="X37" s="364">
        <v>0</v>
      </c>
      <c r="Y37" s="364">
        <v>0</v>
      </c>
      <c r="Z37" s="364">
        <v>0</v>
      </c>
      <c r="AA37" s="364">
        <v>0</v>
      </c>
      <c r="AB37" s="364">
        <v>0</v>
      </c>
      <c r="AC37" s="364">
        <v>0</v>
      </c>
      <c r="AD37" s="364">
        <v>0</v>
      </c>
      <c r="AE37" s="364">
        <v>0</v>
      </c>
      <c r="AF37" s="364">
        <v>0</v>
      </c>
      <c r="AG37" s="364">
        <v>0</v>
      </c>
      <c r="AH37" s="364">
        <v>0</v>
      </c>
      <c r="AI37" s="364">
        <v>0</v>
      </c>
      <c r="AJ37" s="364">
        <v>0</v>
      </c>
      <c r="AK37" s="364">
        <v>0</v>
      </c>
      <c r="AL37" s="364">
        <v>0</v>
      </c>
      <c r="AM37" s="364">
        <v>0</v>
      </c>
      <c r="AN37" s="364">
        <v>0</v>
      </c>
      <c r="AO37" s="364">
        <v>0</v>
      </c>
      <c r="AP37" s="364">
        <v>0</v>
      </c>
      <c r="AQ37" s="364">
        <v>0</v>
      </c>
      <c r="AR37" s="364">
        <v>0</v>
      </c>
      <c r="AS37" s="364">
        <v>0</v>
      </c>
      <c r="AT37" s="364">
        <v>0</v>
      </c>
      <c r="AU37" s="364">
        <v>0</v>
      </c>
      <c r="AV37" s="364">
        <v>0</v>
      </c>
      <c r="AW37" s="364">
        <v>0</v>
      </c>
    </row>
    <row r="38" spans="3:49" x14ac:dyDescent="0.3">
      <c r="C38" s="364">
        <v>9</v>
      </c>
      <c r="D38" s="364">
        <v>5</v>
      </c>
      <c r="E38" s="364">
        <v>1</v>
      </c>
      <c r="F38" s="364">
        <v>66.8</v>
      </c>
      <c r="G38" s="364">
        <v>0</v>
      </c>
      <c r="H38" s="364">
        <v>0</v>
      </c>
      <c r="I38" s="364">
        <v>0.8</v>
      </c>
      <c r="J38" s="364">
        <v>1</v>
      </c>
      <c r="K38" s="364">
        <v>7.5</v>
      </c>
      <c r="L38" s="364">
        <v>0</v>
      </c>
      <c r="M38" s="364">
        <v>0</v>
      </c>
      <c r="N38" s="364">
        <v>0</v>
      </c>
      <c r="O38" s="364">
        <v>0</v>
      </c>
      <c r="P38" s="364">
        <v>13.5</v>
      </c>
      <c r="Q38" s="364">
        <v>27.75</v>
      </c>
      <c r="R38" s="364">
        <v>7.75</v>
      </c>
      <c r="S38" s="364">
        <v>3.5</v>
      </c>
      <c r="T38" s="364">
        <v>0</v>
      </c>
      <c r="U38" s="364">
        <v>0</v>
      </c>
      <c r="V38" s="364">
        <v>0</v>
      </c>
      <c r="W38" s="364">
        <v>0</v>
      </c>
      <c r="X38" s="364">
        <v>0</v>
      </c>
      <c r="Y38" s="364">
        <v>0</v>
      </c>
      <c r="Z38" s="364">
        <v>0</v>
      </c>
      <c r="AA38" s="364">
        <v>0</v>
      </c>
      <c r="AB38" s="364">
        <v>0</v>
      </c>
      <c r="AC38" s="364">
        <v>0</v>
      </c>
      <c r="AD38" s="364">
        <v>0</v>
      </c>
      <c r="AE38" s="364">
        <v>0</v>
      </c>
      <c r="AF38" s="364">
        <v>0</v>
      </c>
      <c r="AG38" s="364">
        <v>0</v>
      </c>
      <c r="AH38" s="364">
        <v>0</v>
      </c>
      <c r="AI38" s="364">
        <v>0</v>
      </c>
      <c r="AJ38" s="364">
        <v>0</v>
      </c>
      <c r="AK38" s="364">
        <v>0</v>
      </c>
      <c r="AL38" s="364">
        <v>0</v>
      </c>
      <c r="AM38" s="364">
        <v>0</v>
      </c>
      <c r="AN38" s="364">
        <v>0</v>
      </c>
      <c r="AO38" s="364">
        <v>0</v>
      </c>
      <c r="AP38" s="364">
        <v>0</v>
      </c>
      <c r="AQ38" s="364">
        <v>0</v>
      </c>
      <c r="AR38" s="364">
        <v>4</v>
      </c>
      <c r="AS38" s="364">
        <v>0</v>
      </c>
      <c r="AT38" s="364">
        <v>0</v>
      </c>
      <c r="AU38" s="364">
        <v>0</v>
      </c>
      <c r="AV38" s="364">
        <v>0</v>
      </c>
      <c r="AW38" s="364">
        <v>1</v>
      </c>
    </row>
    <row r="39" spans="3:49" x14ac:dyDescent="0.3">
      <c r="C39" s="364">
        <v>9</v>
      </c>
      <c r="D39" s="364">
        <v>5</v>
      </c>
      <c r="E39" s="364">
        <v>2</v>
      </c>
      <c r="F39" s="364">
        <v>9919.75</v>
      </c>
      <c r="G39" s="364">
        <v>0</v>
      </c>
      <c r="H39" s="364">
        <v>0</v>
      </c>
      <c r="I39" s="364">
        <v>134.4</v>
      </c>
      <c r="J39" s="364">
        <v>176</v>
      </c>
      <c r="K39" s="364">
        <v>1256</v>
      </c>
      <c r="L39" s="364">
        <v>0</v>
      </c>
      <c r="M39" s="364">
        <v>0</v>
      </c>
      <c r="N39" s="364">
        <v>0</v>
      </c>
      <c r="O39" s="364">
        <v>0</v>
      </c>
      <c r="P39" s="364">
        <v>1763</v>
      </c>
      <c r="Q39" s="364">
        <v>4124</v>
      </c>
      <c r="R39" s="364">
        <v>1248</v>
      </c>
      <c r="S39" s="364">
        <v>468</v>
      </c>
      <c r="T39" s="364">
        <v>0</v>
      </c>
      <c r="U39" s="364">
        <v>0</v>
      </c>
      <c r="V39" s="364">
        <v>0</v>
      </c>
      <c r="W39" s="364">
        <v>0</v>
      </c>
      <c r="X39" s="364">
        <v>0</v>
      </c>
      <c r="Y39" s="364">
        <v>0</v>
      </c>
      <c r="Z39" s="364">
        <v>0</v>
      </c>
      <c r="AA39" s="364">
        <v>0</v>
      </c>
      <c r="AB39" s="364">
        <v>0</v>
      </c>
      <c r="AC39" s="364">
        <v>0</v>
      </c>
      <c r="AD39" s="364">
        <v>0</v>
      </c>
      <c r="AE39" s="364">
        <v>0</v>
      </c>
      <c r="AF39" s="364">
        <v>0</v>
      </c>
      <c r="AG39" s="364">
        <v>0</v>
      </c>
      <c r="AH39" s="364">
        <v>0</v>
      </c>
      <c r="AI39" s="364">
        <v>0</v>
      </c>
      <c r="AJ39" s="364">
        <v>0</v>
      </c>
      <c r="AK39" s="364">
        <v>0</v>
      </c>
      <c r="AL39" s="364">
        <v>0</v>
      </c>
      <c r="AM39" s="364">
        <v>0</v>
      </c>
      <c r="AN39" s="364">
        <v>0</v>
      </c>
      <c r="AO39" s="364">
        <v>0</v>
      </c>
      <c r="AP39" s="364">
        <v>0</v>
      </c>
      <c r="AQ39" s="364">
        <v>0</v>
      </c>
      <c r="AR39" s="364">
        <v>574.35</v>
      </c>
      <c r="AS39" s="364">
        <v>0</v>
      </c>
      <c r="AT39" s="364">
        <v>0</v>
      </c>
      <c r="AU39" s="364">
        <v>0</v>
      </c>
      <c r="AV39" s="364">
        <v>0</v>
      </c>
      <c r="AW39" s="364">
        <v>176</v>
      </c>
    </row>
    <row r="40" spans="3:49" x14ac:dyDescent="0.3">
      <c r="C40" s="364">
        <v>9</v>
      </c>
      <c r="D40" s="364">
        <v>5</v>
      </c>
      <c r="E40" s="364">
        <v>3</v>
      </c>
      <c r="F40" s="364">
        <v>702.98</v>
      </c>
      <c r="G40" s="364">
        <v>0</v>
      </c>
      <c r="H40" s="364">
        <v>0</v>
      </c>
      <c r="I40" s="364">
        <v>45.1</v>
      </c>
      <c r="J40" s="364">
        <v>0</v>
      </c>
      <c r="K40" s="364">
        <v>0</v>
      </c>
      <c r="L40" s="364">
        <v>0</v>
      </c>
      <c r="M40" s="364">
        <v>0</v>
      </c>
      <c r="N40" s="364">
        <v>0</v>
      </c>
      <c r="O40" s="364">
        <v>0</v>
      </c>
      <c r="P40" s="364">
        <v>312.63</v>
      </c>
      <c r="Q40" s="364">
        <v>235.25</v>
      </c>
      <c r="R40" s="364">
        <v>70</v>
      </c>
      <c r="S40" s="364">
        <v>40</v>
      </c>
      <c r="T40" s="364">
        <v>0</v>
      </c>
      <c r="U40" s="364">
        <v>0</v>
      </c>
      <c r="V40" s="364">
        <v>0</v>
      </c>
      <c r="W40" s="364">
        <v>0</v>
      </c>
      <c r="X40" s="364">
        <v>0</v>
      </c>
      <c r="Y40" s="364">
        <v>0</v>
      </c>
      <c r="Z40" s="364">
        <v>0</v>
      </c>
      <c r="AA40" s="364">
        <v>0</v>
      </c>
      <c r="AB40" s="364">
        <v>0</v>
      </c>
      <c r="AC40" s="364">
        <v>0</v>
      </c>
      <c r="AD40" s="364">
        <v>0</v>
      </c>
      <c r="AE40" s="364">
        <v>0</v>
      </c>
      <c r="AF40" s="364">
        <v>0</v>
      </c>
      <c r="AG40" s="364">
        <v>0</v>
      </c>
      <c r="AH40" s="364">
        <v>0</v>
      </c>
      <c r="AI40" s="364">
        <v>0</v>
      </c>
      <c r="AJ40" s="364">
        <v>0</v>
      </c>
      <c r="AK40" s="364">
        <v>0</v>
      </c>
      <c r="AL40" s="364">
        <v>0</v>
      </c>
      <c r="AM40" s="364">
        <v>0</v>
      </c>
      <c r="AN40" s="364">
        <v>0</v>
      </c>
      <c r="AO40" s="364">
        <v>0</v>
      </c>
      <c r="AP40" s="364">
        <v>0</v>
      </c>
      <c r="AQ40" s="364">
        <v>0</v>
      </c>
      <c r="AR40" s="364">
        <v>0</v>
      </c>
      <c r="AS40" s="364">
        <v>0</v>
      </c>
      <c r="AT40" s="364">
        <v>0</v>
      </c>
      <c r="AU40" s="364">
        <v>0</v>
      </c>
      <c r="AV40" s="364">
        <v>0</v>
      </c>
      <c r="AW40" s="364">
        <v>0</v>
      </c>
    </row>
    <row r="41" spans="3:49" x14ac:dyDescent="0.3">
      <c r="C41" s="364">
        <v>9</v>
      </c>
      <c r="D41" s="364">
        <v>5</v>
      </c>
      <c r="E41" s="364">
        <v>4</v>
      </c>
      <c r="F41" s="364">
        <v>847.5</v>
      </c>
      <c r="G41" s="364">
        <v>0</v>
      </c>
      <c r="H41" s="364">
        <v>0</v>
      </c>
      <c r="I41" s="364">
        <v>14.4</v>
      </c>
      <c r="J41" s="364">
        <v>23.5</v>
      </c>
      <c r="K41" s="364">
        <v>212.1</v>
      </c>
      <c r="L41" s="364">
        <v>0</v>
      </c>
      <c r="M41" s="364">
        <v>0</v>
      </c>
      <c r="N41" s="364">
        <v>0</v>
      </c>
      <c r="O41" s="364">
        <v>0</v>
      </c>
      <c r="P41" s="364">
        <v>87</v>
      </c>
      <c r="Q41" s="364">
        <v>315.25</v>
      </c>
      <c r="R41" s="364">
        <v>106.25</v>
      </c>
      <c r="S41" s="364">
        <v>35.75</v>
      </c>
      <c r="T41" s="364">
        <v>0</v>
      </c>
      <c r="U41" s="364">
        <v>0</v>
      </c>
      <c r="V41" s="364">
        <v>0</v>
      </c>
      <c r="W41" s="364">
        <v>0</v>
      </c>
      <c r="X41" s="364">
        <v>0</v>
      </c>
      <c r="Y41" s="364">
        <v>0</v>
      </c>
      <c r="Z41" s="364">
        <v>0</v>
      </c>
      <c r="AA41" s="364">
        <v>0</v>
      </c>
      <c r="AB41" s="364">
        <v>0</v>
      </c>
      <c r="AC41" s="364">
        <v>0</v>
      </c>
      <c r="AD41" s="364">
        <v>0</v>
      </c>
      <c r="AE41" s="364">
        <v>0</v>
      </c>
      <c r="AF41" s="364">
        <v>0</v>
      </c>
      <c r="AG41" s="364">
        <v>0</v>
      </c>
      <c r="AH41" s="364">
        <v>0</v>
      </c>
      <c r="AI41" s="364">
        <v>0</v>
      </c>
      <c r="AJ41" s="364">
        <v>0</v>
      </c>
      <c r="AK41" s="364">
        <v>0</v>
      </c>
      <c r="AL41" s="364">
        <v>0</v>
      </c>
      <c r="AM41" s="364">
        <v>0</v>
      </c>
      <c r="AN41" s="364">
        <v>0</v>
      </c>
      <c r="AO41" s="364">
        <v>0</v>
      </c>
      <c r="AP41" s="364">
        <v>0</v>
      </c>
      <c r="AQ41" s="364">
        <v>0</v>
      </c>
      <c r="AR41" s="364">
        <v>53.25</v>
      </c>
      <c r="AS41" s="364">
        <v>0</v>
      </c>
      <c r="AT41" s="364">
        <v>0</v>
      </c>
      <c r="AU41" s="364">
        <v>0</v>
      </c>
      <c r="AV41" s="364">
        <v>0</v>
      </c>
      <c r="AW41" s="364">
        <v>0</v>
      </c>
    </row>
    <row r="42" spans="3:49" x14ac:dyDescent="0.3">
      <c r="C42" s="364">
        <v>9</v>
      </c>
      <c r="D42" s="364">
        <v>5</v>
      </c>
      <c r="E42" s="364">
        <v>5</v>
      </c>
      <c r="F42" s="364">
        <v>11.5</v>
      </c>
      <c r="G42" s="364">
        <v>11.5</v>
      </c>
      <c r="H42" s="364">
        <v>0</v>
      </c>
      <c r="I42" s="364">
        <v>0</v>
      </c>
      <c r="J42" s="364">
        <v>0</v>
      </c>
      <c r="K42" s="364">
        <v>0</v>
      </c>
      <c r="L42" s="364">
        <v>0</v>
      </c>
      <c r="M42" s="364">
        <v>0</v>
      </c>
      <c r="N42" s="364">
        <v>0</v>
      </c>
      <c r="O42" s="364">
        <v>0</v>
      </c>
      <c r="P42" s="364">
        <v>0</v>
      </c>
      <c r="Q42" s="364">
        <v>0</v>
      </c>
      <c r="R42" s="364">
        <v>0</v>
      </c>
      <c r="S42" s="364">
        <v>0</v>
      </c>
      <c r="T42" s="364">
        <v>0</v>
      </c>
      <c r="U42" s="364">
        <v>0</v>
      </c>
      <c r="V42" s="364">
        <v>0</v>
      </c>
      <c r="W42" s="364">
        <v>0</v>
      </c>
      <c r="X42" s="364">
        <v>0</v>
      </c>
      <c r="Y42" s="364">
        <v>0</v>
      </c>
      <c r="Z42" s="364">
        <v>0</v>
      </c>
      <c r="AA42" s="364">
        <v>0</v>
      </c>
      <c r="AB42" s="364">
        <v>0</v>
      </c>
      <c r="AC42" s="364">
        <v>0</v>
      </c>
      <c r="AD42" s="364">
        <v>0</v>
      </c>
      <c r="AE42" s="364">
        <v>0</v>
      </c>
      <c r="AF42" s="364">
        <v>0</v>
      </c>
      <c r="AG42" s="364">
        <v>0</v>
      </c>
      <c r="AH42" s="364">
        <v>0</v>
      </c>
      <c r="AI42" s="364">
        <v>0</v>
      </c>
      <c r="AJ42" s="364">
        <v>0</v>
      </c>
      <c r="AK42" s="364">
        <v>0</v>
      </c>
      <c r="AL42" s="364">
        <v>0</v>
      </c>
      <c r="AM42" s="364">
        <v>0</v>
      </c>
      <c r="AN42" s="364">
        <v>0</v>
      </c>
      <c r="AO42" s="364">
        <v>0</v>
      </c>
      <c r="AP42" s="364">
        <v>0</v>
      </c>
      <c r="AQ42" s="364">
        <v>0</v>
      </c>
      <c r="AR42" s="364">
        <v>0</v>
      </c>
      <c r="AS42" s="364">
        <v>0</v>
      </c>
      <c r="AT42" s="364">
        <v>0</v>
      </c>
      <c r="AU42" s="364">
        <v>0</v>
      </c>
      <c r="AV42" s="364">
        <v>0</v>
      </c>
      <c r="AW42" s="364">
        <v>0</v>
      </c>
    </row>
    <row r="43" spans="3:49" x14ac:dyDescent="0.3">
      <c r="C43" s="364">
        <v>9</v>
      </c>
      <c r="D43" s="364">
        <v>5</v>
      </c>
      <c r="E43" s="364">
        <v>6</v>
      </c>
      <c r="F43" s="364">
        <v>2923017</v>
      </c>
      <c r="G43" s="364">
        <v>2875</v>
      </c>
      <c r="H43" s="364">
        <v>0</v>
      </c>
      <c r="I43" s="364">
        <v>40262</v>
      </c>
      <c r="J43" s="364">
        <v>51884</v>
      </c>
      <c r="K43" s="364">
        <v>677063</v>
      </c>
      <c r="L43" s="364">
        <v>0</v>
      </c>
      <c r="M43" s="364">
        <v>0</v>
      </c>
      <c r="N43" s="364">
        <v>0</v>
      </c>
      <c r="O43" s="364">
        <v>0</v>
      </c>
      <c r="P43" s="364">
        <v>493392</v>
      </c>
      <c r="Q43" s="364">
        <v>1118611</v>
      </c>
      <c r="R43" s="364">
        <v>331036</v>
      </c>
      <c r="S43" s="364">
        <v>104119</v>
      </c>
      <c r="T43" s="364">
        <v>0</v>
      </c>
      <c r="U43" s="364">
        <v>0</v>
      </c>
      <c r="V43" s="364">
        <v>0</v>
      </c>
      <c r="W43" s="364">
        <v>0</v>
      </c>
      <c r="X43" s="364">
        <v>0</v>
      </c>
      <c r="Y43" s="364">
        <v>0</v>
      </c>
      <c r="Z43" s="364">
        <v>0</v>
      </c>
      <c r="AA43" s="364">
        <v>0</v>
      </c>
      <c r="AB43" s="364">
        <v>0</v>
      </c>
      <c r="AC43" s="364">
        <v>0</v>
      </c>
      <c r="AD43" s="364">
        <v>0</v>
      </c>
      <c r="AE43" s="364">
        <v>0</v>
      </c>
      <c r="AF43" s="364">
        <v>0</v>
      </c>
      <c r="AG43" s="364">
        <v>0</v>
      </c>
      <c r="AH43" s="364">
        <v>0</v>
      </c>
      <c r="AI43" s="364">
        <v>0</v>
      </c>
      <c r="AJ43" s="364">
        <v>0</v>
      </c>
      <c r="AK43" s="364">
        <v>0</v>
      </c>
      <c r="AL43" s="364">
        <v>0</v>
      </c>
      <c r="AM43" s="364">
        <v>0</v>
      </c>
      <c r="AN43" s="364">
        <v>0</v>
      </c>
      <c r="AO43" s="364">
        <v>0</v>
      </c>
      <c r="AP43" s="364">
        <v>0</v>
      </c>
      <c r="AQ43" s="364">
        <v>0</v>
      </c>
      <c r="AR43" s="364">
        <v>80455</v>
      </c>
      <c r="AS43" s="364">
        <v>0</v>
      </c>
      <c r="AT43" s="364">
        <v>0</v>
      </c>
      <c r="AU43" s="364">
        <v>0</v>
      </c>
      <c r="AV43" s="364">
        <v>0</v>
      </c>
      <c r="AW43" s="364">
        <v>23320</v>
      </c>
    </row>
    <row r="44" spans="3:49" x14ac:dyDescent="0.3">
      <c r="C44" s="364">
        <v>9</v>
      </c>
      <c r="D44" s="364">
        <v>5</v>
      </c>
      <c r="E44" s="364">
        <v>9</v>
      </c>
      <c r="F44" s="364">
        <v>3938</v>
      </c>
      <c r="G44" s="364">
        <v>0</v>
      </c>
      <c r="H44" s="364">
        <v>0</v>
      </c>
      <c r="I44" s="364">
        <v>0</v>
      </c>
      <c r="J44" s="364">
        <v>0</v>
      </c>
      <c r="K44" s="364">
        <v>0</v>
      </c>
      <c r="L44" s="364">
        <v>0</v>
      </c>
      <c r="M44" s="364">
        <v>0</v>
      </c>
      <c r="N44" s="364">
        <v>0</v>
      </c>
      <c r="O44" s="364">
        <v>0</v>
      </c>
      <c r="P44" s="364">
        <v>1623</v>
      </c>
      <c r="Q44" s="364">
        <v>1157</v>
      </c>
      <c r="R44" s="364">
        <v>464</v>
      </c>
      <c r="S44" s="364">
        <v>694</v>
      </c>
      <c r="T44" s="364">
        <v>0</v>
      </c>
      <c r="U44" s="364">
        <v>0</v>
      </c>
      <c r="V44" s="364">
        <v>0</v>
      </c>
      <c r="W44" s="364">
        <v>0</v>
      </c>
      <c r="X44" s="364">
        <v>0</v>
      </c>
      <c r="Y44" s="364">
        <v>0</v>
      </c>
      <c r="Z44" s="364">
        <v>0</v>
      </c>
      <c r="AA44" s="364">
        <v>0</v>
      </c>
      <c r="AB44" s="364">
        <v>0</v>
      </c>
      <c r="AC44" s="364">
        <v>0</v>
      </c>
      <c r="AD44" s="364">
        <v>0</v>
      </c>
      <c r="AE44" s="364">
        <v>0</v>
      </c>
      <c r="AF44" s="364">
        <v>0</v>
      </c>
      <c r="AG44" s="364">
        <v>0</v>
      </c>
      <c r="AH44" s="364">
        <v>0</v>
      </c>
      <c r="AI44" s="364">
        <v>0</v>
      </c>
      <c r="AJ44" s="364">
        <v>0</v>
      </c>
      <c r="AK44" s="364">
        <v>0</v>
      </c>
      <c r="AL44" s="364">
        <v>0</v>
      </c>
      <c r="AM44" s="364">
        <v>0</v>
      </c>
      <c r="AN44" s="364">
        <v>0</v>
      </c>
      <c r="AO44" s="364">
        <v>0</v>
      </c>
      <c r="AP44" s="364">
        <v>0</v>
      </c>
      <c r="AQ44" s="364">
        <v>0</v>
      </c>
      <c r="AR44" s="364">
        <v>0</v>
      </c>
      <c r="AS44" s="364">
        <v>0</v>
      </c>
      <c r="AT44" s="364">
        <v>0</v>
      </c>
      <c r="AU44" s="364">
        <v>0</v>
      </c>
      <c r="AV44" s="364">
        <v>0</v>
      </c>
      <c r="AW44" s="364">
        <v>0</v>
      </c>
    </row>
    <row r="45" spans="3:49" x14ac:dyDescent="0.3">
      <c r="C45" s="364">
        <v>9</v>
      </c>
      <c r="D45" s="364">
        <v>5</v>
      </c>
      <c r="E45" s="364">
        <v>10</v>
      </c>
      <c r="F45" s="364">
        <v>8314</v>
      </c>
      <c r="G45" s="364">
        <v>0</v>
      </c>
      <c r="H45" s="364">
        <v>0</v>
      </c>
      <c r="I45" s="364">
        <v>0</v>
      </c>
      <c r="J45" s="364">
        <v>1100</v>
      </c>
      <c r="K45" s="364">
        <v>0</v>
      </c>
      <c r="L45" s="364">
        <v>0</v>
      </c>
      <c r="M45" s="364">
        <v>0</v>
      </c>
      <c r="N45" s="364">
        <v>0</v>
      </c>
      <c r="O45" s="364">
        <v>7214</v>
      </c>
      <c r="P45" s="364">
        <v>0</v>
      </c>
      <c r="Q45" s="364">
        <v>0</v>
      </c>
      <c r="R45" s="364">
        <v>0</v>
      </c>
      <c r="S45" s="364">
        <v>0</v>
      </c>
      <c r="T45" s="364">
        <v>0</v>
      </c>
      <c r="U45" s="364">
        <v>0</v>
      </c>
      <c r="V45" s="364">
        <v>0</v>
      </c>
      <c r="W45" s="364">
        <v>0</v>
      </c>
      <c r="X45" s="364">
        <v>0</v>
      </c>
      <c r="Y45" s="364">
        <v>0</v>
      </c>
      <c r="Z45" s="364">
        <v>0</v>
      </c>
      <c r="AA45" s="364">
        <v>0</v>
      </c>
      <c r="AB45" s="364">
        <v>0</v>
      </c>
      <c r="AC45" s="364">
        <v>0</v>
      </c>
      <c r="AD45" s="364">
        <v>0</v>
      </c>
      <c r="AE45" s="364">
        <v>0</v>
      </c>
      <c r="AF45" s="364">
        <v>0</v>
      </c>
      <c r="AG45" s="364">
        <v>0</v>
      </c>
      <c r="AH45" s="364">
        <v>0</v>
      </c>
      <c r="AI45" s="364">
        <v>0</v>
      </c>
      <c r="AJ45" s="364">
        <v>0</v>
      </c>
      <c r="AK45" s="364">
        <v>0</v>
      </c>
      <c r="AL45" s="364">
        <v>0</v>
      </c>
      <c r="AM45" s="364">
        <v>0</v>
      </c>
      <c r="AN45" s="364">
        <v>0</v>
      </c>
      <c r="AO45" s="364">
        <v>0</v>
      </c>
      <c r="AP45" s="364">
        <v>0</v>
      </c>
      <c r="AQ45" s="364">
        <v>0</v>
      </c>
      <c r="AR45" s="364">
        <v>0</v>
      </c>
      <c r="AS45" s="364">
        <v>0</v>
      </c>
      <c r="AT45" s="364">
        <v>0</v>
      </c>
      <c r="AU45" s="364">
        <v>0</v>
      </c>
      <c r="AV45" s="364">
        <v>0</v>
      </c>
      <c r="AW45" s="364">
        <v>0</v>
      </c>
    </row>
    <row r="46" spans="3:49" x14ac:dyDescent="0.3">
      <c r="C46" s="364">
        <v>9</v>
      </c>
      <c r="D46" s="364">
        <v>5</v>
      </c>
      <c r="E46" s="364">
        <v>11</v>
      </c>
      <c r="F46" s="364">
        <v>5217.5572519083971</v>
      </c>
      <c r="G46" s="364">
        <v>0</v>
      </c>
      <c r="H46" s="364">
        <v>0</v>
      </c>
      <c r="I46" s="364">
        <v>0</v>
      </c>
      <c r="J46" s="364">
        <v>1717.5572519083971</v>
      </c>
      <c r="K46" s="364">
        <v>0</v>
      </c>
      <c r="L46" s="364">
        <v>0</v>
      </c>
      <c r="M46" s="364">
        <v>0</v>
      </c>
      <c r="N46" s="364">
        <v>0</v>
      </c>
      <c r="O46" s="364">
        <v>3500</v>
      </c>
      <c r="P46" s="364">
        <v>0</v>
      </c>
      <c r="Q46" s="364">
        <v>0</v>
      </c>
      <c r="R46" s="364">
        <v>0</v>
      </c>
      <c r="S46" s="364">
        <v>0</v>
      </c>
      <c r="T46" s="364">
        <v>0</v>
      </c>
      <c r="U46" s="364">
        <v>0</v>
      </c>
      <c r="V46" s="364">
        <v>0</v>
      </c>
      <c r="W46" s="364">
        <v>0</v>
      </c>
      <c r="X46" s="364">
        <v>0</v>
      </c>
      <c r="Y46" s="364">
        <v>0</v>
      </c>
      <c r="Z46" s="364">
        <v>0</v>
      </c>
      <c r="AA46" s="364">
        <v>0</v>
      </c>
      <c r="AB46" s="364">
        <v>0</v>
      </c>
      <c r="AC46" s="364">
        <v>0</v>
      </c>
      <c r="AD46" s="364">
        <v>0</v>
      </c>
      <c r="AE46" s="364">
        <v>0</v>
      </c>
      <c r="AF46" s="364">
        <v>0</v>
      </c>
      <c r="AG46" s="364">
        <v>0</v>
      </c>
      <c r="AH46" s="364">
        <v>0</v>
      </c>
      <c r="AI46" s="364">
        <v>0</v>
      </c>
      <c r="AJ46" s="364">
        <v>0</v>
      </c>
      <c r="AK46" s="364">
        <v>0</v>
      </c>
      <c r="AL46" s="364">
        <v>0</v>
      </c>
      <c r="AM46" s="364">
        <v>0</v>
      </c>
      <c r="AN46" s="364">
        <v>0</v>
      </c>
      <c r="AO46" s="364">
        <v>0</v>
      </c>
      <c r="AP46" s="364">
        <v>0</v>
      </c>
      <c r="AQ46" s="364">
        <v>0</v>
      </c>
      <c r="AR46" s="364">
        <v>0</v>
      </c>
      <c r="AS46" s="364">
        <v>0</v>
      </c>
      <c r="AT46" s="364">
        <v>0</v>
      </c>
      <c r="AU46" s="364">
        <v>0</v>
      </c>
      <c r="AV46" s="364">
        <v>0</v>
      </c>
      <c r="AW46" s="364">
        <v>0</v>
      </c>
    </row>
    <row r="47" spans="3:49" x14ac:dyDescent="0.3">
      <c r="C47" s="364">
        <v>9</v>
      </c>
      <c r="D47" s="364">
        <v>6</v>
      </c>
      <c r="E47" s="364">
        <v>1</v>
      </c>
      <c r="F47" s="364">
        <v>67.05</v>
      </c>
      <c r="G47" s="364">
        <v>0</v>
      </c>
      <c r="H47" s="364">
        <v>0</v>
      </c>
      <c r="I47" s="364">
        <v>0.8</v>
      </c>
      <c r="J47" s="364">
        <v>1</v>
      </c>
      <c r="K47" s="364">
        <v>7.5</v>
      </c>
      <c r="L47" s="364">
        <v>0</v>
      </c>
      <c r="M47" s="364">
        <v>0</v>
      </c>
      <c r="N47" s="364">
        <v>0</v>
      </c>
      <c r="O47" s="364">
        <v>0</v>
      </c>
      <c r="P47" s="364">
        <v>11.75</v>
      </c>
      <c r="Q47" s="364">
        <v>27.75</v>
      </c>
      <c r="R47" s="364">
        <v>7.75</v>
      </c>
      <c r="S47" s="364">
        <v>5.5</v>
      </c>
      <c r="T47" s="364">
        <v>0</v>
      </c>
      <c r="U47" s="364">
        <v>0</v>
      </c>
      <c r="V47" s="364">
        <v>0</v>
      </c>
      <c r="W47" s="364">
        <v>0</v>
      </c>
      <c r="X47" s="364">
        <v>0</v>
      </c>
      <c r="Y47" s="364">
        <v>0</v>
      </c>
      <c r="Z47" s="364">
        <v>0</v>
      </c>
      <c r="AA47" s="364">
        <v>0</v>
      </c>
      <c r="AB47" s="364">
        <v>0</v>
      </c>
      <c r="AC47" s="364">
        <v>0</v>
      </c>
      <c r="AD47" s="364">
        <v>0</v>
      </c>
      <c r="AE47" s="364">
        <v>0</v>
      </c>
      <c r="AF47" s="364">
        <v>0</v>
      </c>
      <c r="AG47" s="364">
        <v>0</v>
      </c>
      <c r="AH47" s="364">
        <v>0</v>
      </c>
      <c r="AI47" s="364">
        <v>0</v>
      </c>
      <c r="AJ47" s="364">
        <v>0</v>
      </c>
      <c r="AK47" s="364">
        <v>0</v>
      </c>
      <c r="AL47" s="364">
        <v>0</v>
      </c>
      <c r="AM47" s="364">
        <v>0</v>
      </c>
      <c r="AN47" s="364">
        <v>0</v>
      </c>
      <c r="AO47" s="364">
        <v>0</v>
      </c>
      <c r="AP47" s="364">
        <v>0</v>
      </c>
      <c r="AQ47" s="364">
        <v>0</v>
      </c>
      <c r="AR47" s="364">
        <v>4</v>
      </c>
      <c r="AS47" s="364">
        <v>0</v>
      </c>
      <c r="AT47" s="364">
        <v>0</v>
      </c>
      <c r="AU47" s="364">
        <v>0</v>
      </c>
      <c r="AV47" s="364">
        <v>0</v>
      </c>
      <c r="AW47" s="364">
        <v>1</v>
      </c>
    </row>
    <row r="48" spans="3:49" x14ac:dyDescent="0.3">
      <c r="C48" s="364">
        <v>9</v>
      </c>
      <c r="D48" s="364">
        <v>6</v>
      </c>
      <c r="E48" s="364">
        <v>2</v>
      </c>
      <c r="F48" s="364">
        <v>9244.9</v>
      </c>
      <c r="G48" s="364">
        <v>0</v>
      </c>
      <c r="H48" s="364">
        <v>0</v>
      </c>
      <c r="I48" s="364">
        <v>121.6</v>
      </c>
      <c r="J48" s="364">
        <v>176</v>
      </c>
      <c r="K48" s="364">
        <v>1300</v>
      </c>
      <c r="L48" s="364">
        <v>0</v>
      </c>
      <c r="M48" s="364">
        <v>0</v>
      </c>
      <c r="N48" s="364">
        <v>0</v>
      </c>
      <c r="O48" s="364">
        <v>0</v>
      </c>
      <c r="P48" s="364">
        <v>1594.8</v>
      </c>
      <c r="Q48" s="364">
        <v>3556</v>
      </c>
      <c r="R48" s="364">
        <v>1136</v>
      </c>
      <c r="S48" s="364">
        <v>636</v>
      </c>
      <c r="T48" s="364">
        <v>0</v>
      </c>
      <c r="U48" s="364">
        <v>0</v>
      </c>
      <c r="V48" s="364">
        <v>0</v>
      </c>
      <c r="W48" s="364">
        <v>0</v>
      </c>
      <c r="X48" s="364">
        <v>0</v>
      </c>
      <c r="Y48" s="364">
        <v>0</v>
      </c>
      <c r="Z48" s="364">
        <v>0</v>
      </c>
      <c r="AA48" s="364">
        <v>0</v>
      </c>
      <c r="AB48" s="364">
        <v>0</v>
      </c>
      <c r="AC48" s="364">
        <v>0</v>
      </c>
      <c r="AD48" s="364">
        <v>0</v>
      </c>
      <c r="AE48" s="364">
        <v>0</v>
      </c>
      <c r="AF48" s="364">
        <v>0</v>
      </c>
      <c r="AG48" s="364">
        <v>0</v>
      </c>
      <c r="AH48" s="364">
        <v>0</v>
      </c>
      <c r="AI48" s="364">
        <v>0</v>
      </c>
      <c r="AJ48" s="364">
        <v>0</v>
      </c>
      <c r="AK48" s="364">
        <v>0</v>
      </c>
      <c r="AL48" s="364">
        <v>0</v>
      </c>
      <c r="AM48" s="364">
        <v>0</v>
      </c>
      <c r="AN48" s="364">
        <v>0</v>
      </c>
      <c r="AO48" s="364">
        <v>0</v>
      </c>
      <c r="AP48" s="364">
        <v>0</v>
      </c>
      <c r="AQ48" s="364">
        <v>0</v>
      </c>
      <c r="AR48" s="364">
        <v>548.5</v>
      </c>
      <c r="AS48" s="364">
        <v>0</v>
      </c>
      <c r="AT48" s="364">
        <v>0</v>
      </c>
      <c r="AU48" s="364">
        <v>0</v>
      </c>
      <c r="AV48" s="364">
        <v>0</v>
      </c>
      <c r="AW48" s="364">
        <v>176</v>
      </c>
    </row>
    <row r="49" spans="3:49" x14ac:dyDescent="0.3">
      <c r="C49" s="364">
        <v>9</v>
      </c>
      <c r="D49" s="364">
        <v>6</v>
      </c>
      <c r="E49" s="364">
        <v>3</v>
      </c>
      <c r="F49" s="364">
        <v>808.5</v>
      </c>
      <c r="G49" s="364">
        <v>0</v>
      </c>
      <c r="H49" s="364">
        <v>0</v>
      </c>
      <c r="I49" s="364">
        <v>30</v>
      </c>
      <c r="J49" s="364">
        <v>0</v>
      </c>
      <c r="K49" s="364">
        <v>0</v>
      </c>
      <c r="L49" s="364">
        <v>0</v>
      </c>
      <c r="M49" s="364">
        <v>0</v>
      </c>
      <c r="N49" s="364">
        <v>0</v>
      </c>
      <c r="O49" s="364">
        <v>0</v>
      </c>
      <c r="P49" s="364">
        <v>364.5</v>
      </c>
      <c r="Q49" s="364">
        <v>257.5</v>
      </c>
      <c r="R49" s="364">
        <v>106.5</v>
      </c>
      <c r="S49" s="364">
        <v>50</v>
      </c>
      <c r="T49" s="364">
        <v>0</v>
      </c>
      <c r="U49" s="364">
        <v>0</v>
      </c>
      <c r="V49" s="364">
        <v>0</v>
      </c>
      <c r="W49" s="364">
        <v>0</v>
      </c>
      <c r="X49" s="364">
        <v>0</v>
      </c>
      <c r="Y49" s="364">
        <v>0</v>
      </c>
      <c r="Z49" s="364">
        <v>0</v>
      </c>
      <c r="AA49" s="364">
        <v>0</v>
      </c>
      <c r="AB49" s="364">
        <v>0</v>
      </c>
      <c r="AC49" s="364">
        <v>0</v>
      </c>
      <c r="AD49" s="364">
        <v>0</v>
      </c>
      <c r="AE49" s="364">
        <v>0</v>
      </c>
      <c r="AF49" s="364">
        <v>0</v>
      </c>
      <c r="AG49" s="364">
        <v>0</v>
      </c>
      <c r="AH49" s="364">
        <v>0</v>
      </c>
      <c r="AI49" s="364">
        <v>0</v>
      </c>
      <c r="AJ49" s="364">
        <v>0</v>
      </c>
      <c r="AK49" s="364">
        <v>0</v>
      </c>
      <c r="AL49" s="364">
        <v>0</v>
      </c>
      <c r="AM49" s="364">
        <v>0</v>
      </c>
      <c r="AN49" s="364">
        <v>0</v>
      </c>
      <c r="AO49" s="364">
        <v>0</v>
      </c>
      <c r="AP49" s="364">
        <v>0</v>
      </c>
      <c r="AQ49" s="364">
        <v>0</v>
      </c>
      <c r="AR49" s="364">
        <v>0</v>
      </c>
      <c r="AS49" s="364">
        <v>0</v>
      </c>
      <c r="AT49" s="364">
        <v>0</v>
      </c>
      <c r="AU49" s="364">
        <v>0</v>
      </c>
      <c r="AV49" s="364">
        <v>0</v>
      </c>
      <c r="AW49" s="364">
        <v>0</v>
      </c>
    </row>
    <row r="50" spans="3:49" x14ac:dyDescent="0.3">
      <c r="C50" s="364">
        <v>9</v>
      </c>
      <c r="D50" s="364">
        <v>6</v>
      </c>
      <c r="E50" s="364">
        <v>4</v>
      </c>
      <c r="F50" s="364">
        <v>834.75</v>
      </c>
      <c r="G50" s="364">
        <v>0</v>
      </c>
      <c r="H50" s="364">
        <v>0</v>
      </c>
      <c r="I50" s="364">
        <v>6</v>
      </c>
      <c r="J50" s="364">
        <v>24</v>
      </c>
      <c r="K50" s="364">
        <v>189</v>
      </c>
      <c r="L50" s="364">
        <v>0</v>
      </c>
      <c r="M50" s="364">
        <v>0</v>
      </c>
      <c r="N50" s="364">
        <v>0</v>
      </c>
      <c r="O50" s="364">
        <v>0</v>
      </c>
      <c r="P50" s="364">
        <v>63</v>
      </c>
      <c r="Q50" s="364">
        <v>384.25</v>
      </c>
      <c r="R50" s="364">
        <v>73.5</v>
      </c>
      <c r="S50" s="364">
        <v>50</v>
      </c>
      <c r="T50" s="364">
        <v>0</v>
      </c>
      <c r="U50" s="364">
        <v>0</v>
      </c>
      <c r="V50" s="364">
        <v>0</v>
      </c>
      <c r="W50" s="364">
        <v>0</v>
      </c>
      <c r="X50" s="364">
        <v>0</v>
      </c>
      <c r="Y50" s="364">
        <v>0</v>
      </c>
      <c r="Z50" s="364">
        <v>0</v>
      </c>
      <c r="AA50" s="364">
        <v>0</v>
      </c>
      <c r="AB50" s="364">
        <v>0</v>
      </c>
      <c r="AC50" s="364">
        <v>0</v>
      </c>
      <c r="AD50" s="364">
        <v>0</v>
      </c>
      <c r="AE50" s="364">
        <v>0</v>
      </c>
      <c r="AF50" s="364">
        <v>0</v>
      </c>
      <c r="AG50" s="364">
        <v>0</v>
      </c>
      <c r="AH50" s="364">
        <v>0</v>
      </c>
      <c r="AI50" s="364">
        <v>0</v>
      </c>
      <c r="AJ50" s="364">
        <v>0</v>
      </c>
      <c r="AK50" s="364">
        <v>0</v>
      </c>
      <c r="AL50" s="364">
        <v>0</v>
      </c>
      <c r="AM50" s="364">
        <v>0</v>
      </c>
      <c r="AN50" s="364">
        <v>0</v>
      </c>
      <c r="AO50" s="364">
        <v>0</v>
      </c>
      <c r="AP50" s="364">
        <v>0</v>
      </c>
      <c r="AQ50" s="364">
        <v>0</v>
      </c>
      <c r="AR50" s="364">
        <v>45</v>
      </c>
      <c r="AS50" s="364">
        <v>0</v>
      </c>
      <c r="AT50" s="364">
        <v>0</v>
      </c>
      <c r="AU50" s="364">
        <v>0</v>
      </c>
      <c r="AV50" s="364">
        <v>0</v>
      </c>
      <c r="AW50" s="364">
        <v>0</v>
      </c>
    </row>
    <row r="51" spans="3:49" x14ac:dyDescent="0.3">
      <c r="C51" s="364">
        <v>9</v>
      </c>
      <c r="D51" s="364">
        <v>6</v>
      </c>
      <c r="E51" s="364">
        <v>5</v>
      </c>
      <c r="F51" s="364">
        <v>23</v>
      </c>
      <c r="G51" s="364">
        <v>23</v>
      </c>
      <c r="H51" s="364">
        <v>0</v>
      </c>
      <c r="I51" s="364">
        <v>0</v>
      </c>
      <c r="J51" s="364">
        <v>0</v>
      </c>
      <c r="K51" s="364">
        <v>0</v>
      </c>
      <c r="L51" s="364">
        <v>0</v>
      </c>
      <c r="M51" s="364">
        <v>0</v>
      </c>
      <c r="N51" s="364">
        <v>0</v>
      </c>
      <c r="O51" s="364">
        <v>0</v>
      </c>
      <c r="P51" s="364">
        <v>0</v>
      </c>
      <c r="Q51" s="364">
        <v>0</v>
      </c>
      <c r="R51" s="364">
        <v>0</v>
      </c>
      <c r="S51" s="364">
        <v>0</v>
      </c>
      <c r="T51" s="364">
        <v>0</v>
      </c>
      <c r="U51" s="364">
        <v>0</v>
      </c>
      <c r="V51" s="364">
        <v>0</v>
      </c>
      <c r="W51" s="364">
        <v>0</v>
      </c>
      <c r="X51" s="364">
        <v>0</v>
      </c>
      <c r="Y51" s="364">
        <v>0</v>
      </c>
      <c r="Z51" s="364">
        <v>0</v>
      </c>
      <c r="AA51" s="364">
        <v>0</v>
      </c>
      <c r="AB51" s="364">
        <v>0</v>
      </c>
      <c r="AC51" s="364">
        <v>0</v>
      </c>
      <c r="AD51" s="364">
        <v>0</v>
      </c>
      <c r="AE51" s="364">
        <v>0</v>
      </c>
      <c r="AF51" s="364">
        <v>0</v>
      </c>
      <c r="AG51" s="364">
        <v>0</v>
      </c>
      <c r="AH51" s="364">
        <v>0</v>
      </c>
      <c r="AI51" s="364">
        <v>0</v>
      </c>
      <c r="AJ51" s="364">
        <v>0</v>
      </c>
      <c r="AK51" s="364">
        <v>0</v>
      </c>
      <c r="AL51" s="364">
        <v>0</v>
      </c>
      <c r="AM51" s="364">
        <v>0</v>
      </c>
      <c r="AN51" s="364">
        <v>0</v>
      </c>
      <c r="AO51" s="364">
        <v>0</v>
      </c>
      <c r="AP51" s="364">
        <v>0</v>
      </c>
      <c r="AQ51" s="364">
        <v>0</v>
      </c>
      <c r="AR51" s="364">
        <v>0</v>
      </c>
      <c r="AS51" s="364">
        <v>0</v>
      </c>
      <c r="AT51" s="364">
        <v>0</v>
      </c>
      <c r="AU51" s="364">
        <v>0</v>
      </c>
      <c r="AV51" s="364">
        <v>0</v>
      </c>
      <c r="AW51" s="364">
        <v>0</v>
      </c>
    </row>
    <row r="52" spans="3:49" x14ac:dyDescent="0.3">
      <c r="C52" s="364">
        <v>9</v>
      </c>
      <c r="D52" s="364">
        <v>6</v>
      </c>
      <c r="E52" s="364">
        <v>6</v>
      </c>
      <c r="F52" s="364">
        <v>2846801</v>
      </c>
      <c r="G52" s="364">
        <v>5865</v>
      </c>
      <c r="H52" s="364">
        <v>0</v>
      </c>
      <c r="I52" s="364">
        <v>35391</v>
      </c>
      <c r="J52" s="364">
        <v>48391</v>
      </c>
      <c r="K52" s="364">
        <v>665581</v>
      </c>
      <c r="L52" s="364">
        <v>0</v>
      </c>
      <c r="M52" s="364">
        <v>0</v>
      </c>
      <c r="N52" s="364">
        <v>0</v>
      </c>
      <c r="O52" s="364">
        <v>0</v>
      </c>
      <c r="P52" s="364">
        <v>449227</v>
      </c>
      <c r="Q52" s="364">
        <v>1099615</v>
      </c>
      <c r="R52" s="364">
        <v>318997</v>
      </c>
      <c r="S52" s="364">
        <v>119602</v>
      </c>
      <c r="T52" s="364">
        <v>0</v>
      </c>
      <c r="U52" s="364">
        <v>0</v>
      </c>
      <c r="V52" s="364">
        <v>0</v>
      </c>
      <c r="W52" s="364">
        <v>0</v>
      </c>
      <c r="X52" s="364">
        <v>0</v>
      </c>
      <c r="Y52" s="364">
        <v>0</v>
      </c>
      <c r="Z52" s="364">
        <v>0</v>
      </c>
      <c r="AA52" s="364">
        <v>0</v>
      </c>
      <c r="AB52" s="364">
        <v>0</v>
      </c>
      <c r="AC52" s="364">
        <v>0</v>
      </c>
      <c r="AD52" s="364">
        <v>0</v>
      </c>
      <c r="AE52" s="364">
        <v>0</v>
      </c>
      <c r="AF52" s="364">
        <v>0</v>
      </c>
      <c r="AG52" s="364">
        <v>0</v>
      </c>
      <c r="AH52" s="364">
        <v>0</v>
      </c>
      <c r="AI52" s="364">
        <v>0</v>
      </c>
      <c r="AJ52" s="364">
        <v>0</v>
      </c>
      <c r="AK52" s="364">
        <v>0</v>
      </c>
      <c r="AL52" s="364">
        <v>0</v>
      </c>
      <c r="AM52" s="364">
        <v>0</v>
      </c>
      <c r="AN52" s="364">
        <v>0</v>
      </c>
      <c r="AO52" s="364">
        <v>0</v>
      </c>
      <c r="AP52" s="364">
        <v>0</v>
      </c>
      <c r="AQ52" s="364">
        <v>0</v>
      </c>
      <c r="AR52" s="364">
        <v>80812</v>
      </c>
      <c r="AS52" s="364">
        <v>0</v>
      </c>
      <c r="AT52" s="364">
        <v>0</v>
      </c>
      <c r="AU52" s="364">
        <v>0</v>
      </c>
      <c r="AV52" s="364">
        <v>0</v>
      </c>
      <c r="AW52" s="364">
        <v>23320</v>
      </c>
    </row>
    <row r="53" spans="3:49" x14ac:dyDescent="0.3">
      <c r="C53" s="364">
        <v>9</v>
      </c>
      <c r="D53" s="364">
        <v>6</v>
      </c>
      <c r="E53" s="364">
        <v>9</v>
      </c>
      <c r="F53" s="364">
        <v>27737</v>
      </c>
      <c r="G53" s="364">
        <v>0</v>
      </c>
      <c r="H53" s="364">
        <v>0</v>
      </c>
      <c r="I53" s="364">
        <v>2800</v>
      </c>
      <c r="J53" s="364">
        <v>0</v>
      </c>
      <c r="K53" s="364">
        <v>24937</v>
      </c>
      <c r="L53" s="364">
        <v>0</v>
      </c>
      <c r="M53" s="364">
        <v>0</v>
      </c>
      <c r="N53" s="364">
        <v>0</v>
      </c>
      <c r="O53" s="364">
        <v>0</v>
      </c>
      <c r="P53" s="364">
        <v>0</v>
      </c>
      <c r="Q53" s="364">
        <v>0</v>
      </c>
      <c r="R53" s="364">
        <v>0</v>
      </c>
      <c r="S53" s="364">
        <v>0</v>
      </c>
      <c r="T53" s="364">
        <v>0</v>
      </c>
      <c r="U53" s="364">
        <v>0</v>
      </c>
      <c r="V53" s="364">
        <v>0</v>
      </c>
      <c r="W53" s="364">
        <v>0</v>
      </c>
      <c r="X53" s="364">
        <v>0</v>
      </c>
      <c r="Y53" s="364">
        <v>0</v>
      </c>
      <c r="Z53" s="364">
        <v>0</v>
      </c>
      <c r="AA53" s="364">
        <v>0</v>
      </c>
      <c r="AB53" s="364">
        <v>0</v>
      </c>
      <c r="AC53" s="364">
        <v>0</v>
      </c>
      <c r="AD53" s="364">
        <v>0</v>
      </c>
      <c r="AE53" s="364">
        <v>0</v>
      </c>
      <c r="AF53" s="364">
        <v>0</v>
      </c>
      <c r="AG53" s="364">
        <v>0</v>
      </c>
      <c r="AH53" s="364">
        <v>0</v>
      </c>
      <c r="AI53" s="364">
        <v>0</v>
      </c>
      <c r="AJ53" s="364">
        <v>0</v>
      </c>
      <c r="AK53" s="364">
        <v>0</v>
      </c>
      <c r="AL53" s="364">
        <v>0</v>
      </c>
      <c r="AM53" s="364">
        <v>0</v>
      </c>
      <c r="AN53" s="364">
        <v>0</v>
      </c>
      <c r="AO53" s="364">
        <v>0</v>
      </c>
      <c r="AP53" s="364">
        <v>0</v>
      </c>
      <c r="AQ53" s="364">
        <v>0</v>
      </c>
      <c r="AR53" s="364">
        <v>0</v>
      </c>
      <c r="AS53" s="364">
        <v>0</v>
      </c>
      <c r="AT53" s="364">
        <v>0</v>
      </c>
      <c r="AU53" s="364">
        <v>0</v>
      </c>
      <c r="AV53" s="364">
        <v>0</v>
      </c>
      <c r="AW53" s="364">
        <v>0</v>
      </c>
    </row>
    <row r="54" spans="3:49" x14ac:dyDescent="0.3">
      <c r="C54" s="364">
        <v>9</v>
      </c>
      <c r="D54" s="364">
        <v>6</v>
      </c>
      <c r="E54" s="364">
        <v>10</v>
      </c>
      <c r="F54" s="364">
        <v>4200</v>
      </c>
      <c r="G54" s="364">
        <v>0</v>
      </c>
      <c r="H54" s="364">
        <v>0</v>
      </c>
      <c r="I54" s="364">
        <v>0</v>
      </c>
      <c r="J54" s="364">
        <v>0</v>
      </c>
      <c r="K54" s="364">
        <v>0</v>
      </c>
      <c r="L54" s="364">
        <v>0</v>
      </c>
      <c r="M54" s="364">
        <v>0</v>
      </c>
      <c r="N54" s="364">
        <v>0</v>
      </c>
      <c r="O54" s="364">
        <v>4200</v>
      </c>
      <c r="P54" s="364">
        <v>0</v>
      </c>
      <c r="Q54" s="364">
        <v>0</v>
      </c>
      <c r="R54" s="364">
        <v>0</v>
      </c>
      <c r="S54" s="364">
        <v>0</v>
      </c>
      <c r="T54" s="364">
        <v>0</v>
      </c>
      <c r="U54" s="364">
        <v>0</v>
      </c>
      <c r="V54" s="364">
        <v>0</v>
      </c>
      <c r="W54" s="364">
        <v>0</v>
      </c>
      <c r="X54" s="364">
        <v>0</v>
      </c>
      <c r="Y54" s="364">
        <v>0</v>
      </c>
      <c r="Z54" s="364">
        <v>0</v>
      </c>
      <c r="AA54" s="364">
        <v>0</v>
      </c>
      <c r="AB54" s="364">
        <v>0</v>
      </c>
      <c r="AC54" s="364">
        <v>0</v>
      </c>
      <c r="AD54" s="364">
        <v>0</v>
      </c>
      <c r="AE54" s="364">
        <v>0</v>
      </c>
      <c r="AF54" s="364">
        <v>0</v>
      </c>
      <c r="AG54" s="364">
        <v>0</v>
      </c>
      <c r="AH54" s="364">
        <v>0</v>
      </c>
      <c r="AI54" s="364">
        <v>0</v>
      </c>
      <c r="AJ54" s="364">
        <v>0</v>
      </c>
      <c r="AK54" s="364">
        <v>0</v>
      </c>
      <c r="AL54" s="364">
        <v>0</v>
      </c>
      <c r="AM54" s="364">
        <v>0</v>
      </c>
      <c r="AN54" s="364">
        <v>0</v>
      </c>
      <c r="AO54" s="364">
        <v>0</v>
      </c>
      <c r="AP54" s="364">
        <v>0</v>
      </c>
      <c r="AQ54" s="364">
        <v>0</v>
      </c>
      <c r="AR54" s="364">
        <v>0</v>
      </c>
      <c r="AS54" s="364">
        <v>0</v>
      </c>
      <c r="AT54" s="364">
        <v>0</v>
      </c>
      <c r="AU54" s="364">
        <v>0</v>
      </c>
      <c r="AV54" s="364">
        <v>0</v>
      </c>
      <c r="AW54" s="364">
        <v>0</v>
      </c>
    </row>
    <row r="55" spans="3:49" x14ac:dyDescent="0.3">
      <c r="C55" s="364">
        <v>9</v>
      </c>
      <c r="D55" s="364">
        <v>6</v>
      </c>
      <c r="E55" s="364">
        <v>11</v>
      </c>
      <c r="F55" s="364">
        <v>5217.5572519083971</v>
      </c>
      <c r="G55" s="364">
        <v>0</v>
      </c>
      <c r="H55" s="364">
        <v>0</v>
      </c>
      <c r="I55" s="364">
        <v>0</v>
      </c>
      <c r="J55" s="364">
        <v>1717.5572519083971</v>
      </c>
      <c r="K55" s="364">
        <v>0</v>
      </c>
      <c r="L55" s="364">
        <v>0</v>
      </c>
      <c r="M55" s="364">
        <v>0</v>
      </c>
      <c r="N55" s="364">
        <v>0</v>
      </c>
      <c r="O55" s="364">
        <v>3500</v>
      </c>
      <c r="P55" s="364">
        <v>0</v>
      </c>
      <c r="Q55" s="364">
        <v>0</v>
      </c>
      <c r="R55" s="364">
        <v>0</v>
      </c>
      <c r="S55" s="364">
        <v>0</v>
      </c>
      <c r="T55" s="364">
        <v>0</v>
      </c>
      <c r="U55" s="364">
        <v>0</v>
      </c>
      <c r="V55" s="364">
        <v>0</v>
      </c>
      <c r="W55" s="364">
        <v>0</v>
      </c>
      <c r="X55" s="364">
        <v>0</v>
      </c>
      <c r="Y55" s="364">
        <v>0</v>
      </c>
      <c r="Z55" s="364">
        <v>0</v>
      </c>
      <c r="AA55" s="364">
        <v>0</v>
      </c>
      <c r="AB55" s="364">
        <v>0</v>
      </c>
      <c r="AC55" s="364">
        <v>0</v>
      </c>
      <c r="AD55" s="364">
        <v>0</v>
      </c>
      <c r="AE55" s="364">
        <v>0</v>
      </c>
      <c r="AF55" s="364">
        <v>0</v>
      </c>
      <c r="AG55" s="364">
        <v>0</v>
      </c>
      <c r="AH55" s="364">
        <v>0</v>
      </c>
      <c r="AI55" s="364">
        <v>0</v>
      </c>
      <c r="AJ55" s="364">
        <v>0</v>
      </c>
      <c r="AK55" s="364">
        <v>0</v>
      </c>
      <c r="AL55" s="364">
        <v>0</v>
      </c>
      <c r="AM55" s="364">
        <v>0</v>
      </c>
      <c r="AN55" s="364">
        <v>0</v>
      </c>
      <c r="AO55" s="364">
        <v>0</v>
      </c>
      <c r="AP55" s="364">
        <v>0</v>
      </c>
      <c r="AQ55" s="364">
        <v>0</v>
      </c>
      <c r="AR55" s="364">
        <v>0</v>
      </c>
      <c r="AS55" s="364">
        <v>0</v>
      </c>
      <c r="AT55" s="364">
        <v>0</v>
      </c>
      <c r="AU55" s="364">
        <v>0</v>
      </c>
      <c r="AV55" s="364">
        <v>0</v>
      </c>
      <c r="AW55" s="364">
        <v>0</v>
      </c>
    </row>
    <row r="56" spans="3:49" x14ac:dyDescent="0.3">
      <c r="C56" s="364">
        <v>9</v>
      </c>
      <c r="D56" s="364">
        <v>7</v>
      </c>
      <c r="E56" s="364">
        <v>1</v>
      </c>
      <c r="F56" s="364">
        <v>69.3</v>
      </c>
      <c r="G56" s="364">
        <v>0</v>
      </c>
      <c r="H56" s="364">
        <v>0</v>
      </c>
      <c r="I56" s="364">
        <v>0.8</v>
      </c>
      <c r="J56" s="364">
        <v>1</v>
      </c>
      <c r="K56" s="364">
        <v>7.5</v>
      </c>
      <c r="L56" s="364">
        <v>0</v>
      </c>
      <c r="M56" s="364">
        <v>0</v>
      </c>
      <c r="N56" s="364">
        <v>0</v>
      </c>
      <c r="O56" s="364">
        <v>0</v>
      </c>
      <c r="P56" s="364">
        <v>12</v>
      </c>
      <c r="Q56" s="364">
        <v>27.75</v>
      </c>
      <c r="R56" s="364">
        <v>7.75</v>
      </c>
      <c r="S56" s="364">
        <v>7.5</v>
      </c>
      <c r="T56" s="364">
        <v>0</v>
      </c>
      <c r="U56" s="364">
        <v>0</v>
      </c>
      <c r="V56" s="364">
        <v>0</v>
      </c>
      <c r="W56" s="364">
        <v>0</v>
      </c>
      <c r="X56" s="364">
        <v>0</v>
      </c>
      <c r="Y56" s="364">
        <v>0</v>
      </c>
      <c r="Z56" s="364">
        <v>0</v>
      </c>
      <c r="AA56" s="364">
        <v>0</v>
      </c>
      <c r="AB56" s="364">
        <v>0</v>
      </c>
      <c r="AC56" s="364">
        <v>0</v>
      </c>
      <c r="AD56" s="364">
        <v>0</v>
      </c>
      <c r="AE56" s="364">
        <v>0</v>
      </c>
      <c r="AF56" s="364">
        <v>0</v>
      </c>
      <c r="AG56" s="364">
        <v>0</v>
      </c>
      <c r="AH56" s="364">
        <v>0</v>
      </c>
      <c r="AI56" s="364">
        <v>0</v>
      </c>
      <c r="AJ56" s="364">
        <v>0</v>
      </c>
      <c r="AK56" s="364">
        <v>0</v>
      </c>
      <c r="AL56" s="364">
        <v>0</v>
      </c>
      <c r="AM56" s="364">
        <v>0</v>
      </c>
      <c r="AN56" s="364">
        <v>0</v>
      </c>
      <c r="AO56" s="364">
        <v>0</v>
      </c>
      <c r="AP56" s="364">
        <v>0</v>
      </c>
      <c r="AQ56" s="364">
        <v>0</v>
      </c>
      <c r="AR56" s="364">
        <v>4</v>
      </c>
      <c r="AS56" s="364">
        <v>0</v>
      </c>
      <c r="AT56" s="364">
        <v>0</v>
      </c>
      <c r="AU56" s="364">
        <v>0</v>
      </c>
      <c r="AV56" s="364">
        <v>0</v>
      </c>
      <c r="AW56" s="364">
        <v>1</v>
      </c>
    </row>
    <row r="57" spans="3:49" x14ac:dyDescent="0.3">
      <c r="C57" s="364">
        <v>9</v>
      </c>
      <c r="D57" s="364">
        <v>7</v>
      </c>
      <c r="E57" s="364">
        <v>2</v>
      </c>
      <c r="F57" s="364">
        <v>8613.9500000000007</v>
      </c>
      <c r="G57" s="364">
        <v>0</v>
      </c>
      <c r="H57" s="364">
        <v>0</v>
      </c>
      <c r="I57" s="364">
        <v>134.4</v>
      </c>
      <c r="J57" s="364">
        <v>128</v>
      </c>
      <c r="K57" s="364">
        <v>828</v>
      </c>
      <c r="L57" s="364">
        <v>0</v>
      </c>
      <c r="M57" s="364">
        <v>0</v>
      </c>
      <c r="N57" s="364">
        <v>0</v>
      </c>
      <c r="O57" s="364">
        <v>0</v>
      </c>
      <c r="P57" s="364">
        <v>1514.8</v>
      </c>
      <c r="Q57" s="364">
        <v>3408</v>
      </c>
      <c r="R57" s="364">
        <v>1040</v>
      </c>
      <c r="S57" s="364">
        <v>960</v>
      </c>
      <c r="T57" s="364">
        <v>0</v>
      </c>
      <c r="U57" s="364">
        <v>0</v>
      </c>
      <c r="V57" s="364">
        <v>0</v>
      </c>
      <c r="W57" s="364">
        <v>0</v>
      </c>
      <c r="X57" s="364">
        <v>0</v>
      </c>
      <c r="Y57" s="364">
        <v>0</v>
      </c>
      <c r="Z57" s="364">
        <v>0</v>
      </c>
      <c r="AA57" s="364">
        <v>0</v>
      </c>
      <c r="AB57" s="364">
        <v>0</v>
      </c>
      <c r="AC57" s="364">
        <v>0</v>
      </c>
      <c r="AD57" s="364">
        <v>0</v>
      </c>
      <c r="AE57" s="364">
        <v>0</v>
      </c>
      <c r="AF57" s="364">
        <v>0</v>
      </c>
      <c r="AG57" s="364">
        <v>0</v>
      </c>
      <c r="AH57" s="364">
        <v>0</v>
      </c>
      <c r="AI57" s="364">
        <v>0</v>
      </c>
      <c r="AJ57" s="364">
        <v>0</v>
      </c>
      <c r="AK57" s="364">
        <v>0</v>
      </c>
      <c r="AL57" s="364">
        <v>0</v>
      </c>
      <c r="AM57" s="364">
        <v>0</v>
      </c>
      <c r="AN57" s="364">
        <v>0</v>
      </c>
      <c r="AO57" s="364">
        <v>0</v>
      </c>
      <c r="AP57" s="364">
        <v>0</v>
      </c>
      <c r="AQ57" s="364">
        <v>0</v>
      </c>
      <c r="AR57" s="364">
        <v>472.75</v>
      </c>
      <c r="AS57" s="364">
        <v>0</v>
      </c>
      <c r="AT57" s="364">
        <v>0</v>
      </c>
      <c r="AU57" s="364">
        <v>0</v>
      </c>
      <c r="AV57" s="364">
        <v>0</v>
      </c>
      <c r="AW57" s="364">
        <v>128</v>
      </c>
    </row>
    <row r="58" spans="3:49" x14ac:dyDescent="0.3">
      <c r="C58" s="364">
        <v>9</v>
      </c>
      <c r="D58" s="364">
        <v>7</v>
      </c>
      <c r="E58" s="364">
        <v>3</v>
      </c>
      <c r="F58" s="364">
        <v>860.1</v>
      </c>
      <c r="G58" s="364">
        <v>0</v>
      </c>
      <c r="H58" s="364">
        <v>0</v>
      </c>
      <c r="I58" s="364">
        <v>33.6</v>
      </c>
      <c r="J58" s="364">
        <v>0</v>
      </c>
      <c r="K58" s="364">
        <v>0</v>
      </c>
      <c r="L58" s="364">
        <v>0</v>
      </c>
      <c r="M58" s="364">
        <v>0</v>
      </c>
      <c r="N58" s="364">
        <v>0</v>
      </c>
      <c r="O58" s="364">
        <v>0</v>
      </c>
      <c r="P58" s="364">
        <v>347.5</v>
      </c>
      <c r="Q58" s="364">
        <v>329</v>
      </c>
      <c r="R58" s="364">
        <v>100</v>
      </c>
      <c r="S58" s="364">
        <v>50</v>
      </c>
      <c r="T58" s="364">
        <v>0</v>
      </c>
      <c r="U58" s="364">
        <v>0</v>
      </c>
      <c r="V58" s="364">
        <v>0</v>
      </c>
      <c r="W58" s="364">
        <v>0</v>
      </c>
      <c r="X58" s="364">
        <v>0</v>
      </c>
      <c r="Y58" s="364">
        <v>0</v>
      </c>
      <c r="Z58" s="364">
        <v>0</v>
      </c>
      <c r="AA58" s="364">
        <v>0</v>
      </c>
      <c r="AB58" s="364">
        <v>0</v>
      </c>
      <c r="AC58" s="364">
        <v>0</v>
      </c>
      <c r="AD58" s="364">
        <v>0</v>
      </c>
      <c r="AE58" s="364">
        <v>0</v>
      </c>
      <c r="AF58" s="364">
        <v>0</v>
      </c>
      <c r="AG58" s="364">
        <v>0</v>
      </c>
      <c r="AH58" s="364">
        <v>0</v>
      </c>
      <c r="AI58" s="364">
        <v>0</v>
      </c>
      <c r="AJ58" s="364">
        <v>0</v>
      </c>
      <c r="AK58" s="364">
        <v>0</v>
      </c>
      <c r="AL58" s="364">
        <v>0</v>
      </c>
      <c r="AM58" s="364">
        <v>0</v>
      </c>
      <c r="AN58" s="364">
        <v>0</v>
      </c>
      <c r="AO58" s="364">
        <v>0</v>
      </c>
      <c r="AP58" s="364">
        <v>0</v>
      </c>
      <c r="AQ58" s="364">
        <v>0</v>
      </c>
      <c r="AR58" s="364">
        <v>0</v>
      </c>
      <c r="AS58" s="364">
        <v>0</v>
      </c>
      <c r="AT58" s="364">
        <v>0</v>
      </c>
      <c r="AU58" s="364">
        <v>0</v>
      </c>
      <c r="AV58" s="364">
        <v>0</v>
      </c>
      <c r="AW58" s="364">
        <v>0</v>
      </c>
    </row>
    <row r="59" spans="3:49" x14ac:dyDescent="0.3">
      <c r="C59" s="364">
        <v>9</v>
      </c>
      <c r="D59" s="364">
        <v>7</v>
      </c>
      <c r="E59" s="364">
        <v>4</v>
      </c>
      <c r="F59" s="364">
        <v>877.6</v>
      </c>
      <c r="G59" s="364">
        <v>0</v>
      </c>
      <c r="H59" s="364">
        <v>0</v>
      </c>
      <c r="I59" s="364">
        <v>25.6</v>
      </c>
      <c r="J59" s="364">
        <v>32</v>
      </c>
      <c r="K59" s="364">
        <v>232</v>
      </c>
      <c r="L59" s="364">
        <v>0</v>
      </c>
      <c r="M59" s="364">
        <v>0</v>
      </c>
      <c r="N59" s="364">
        <v>0</v>
      </c>
      <c r="O59" s="364">
        <v>0</v>
      </c>
      <c r="P59" s="364">
        <v>66</v>
      </c>
      <c r="Q59" s="364">
        <v>313.5</v>
      </c>
      <c r="R59" s="364">
        <v>70</v>
      </c>
      <c r="S59" s="364">
        <v>80</v>
      </c>
      <c r="T59" s="364">
        <v>0</v>
      </c>
      <c r="U59" s="364">
        <v>0</v>
      </c>
      <c r="V59" s="364">
        <v>0</v>
      </c>
      <c r="W59" s="364">
        <v>0</v>
      </c>
      <c r="X59" s="364">
        <v>0</v>
      </c>
      <c r="Y59" s="364">
        <v>0</v>
      </c>
      <c r="Z59" s="364">
        <v>0</v>
      </c>
      <c r="AA59" s="364">
        <v>0</v>
      </c>
      <c r="AB59" s="364">
        <v>0</v>
      </c>
      <c r="AC59" s="364">
        <v>0</v>
      </c>
      <c r="AD59" s="364">
        <v>0</v>
      </c>
      <c r="AE59" s="364">
        <v>0</v>
      </c>
      <c r="AF59" s="364">
        <v>0</v>
      </c>
      <c r="AG59" s="364">
        <v>0</v>
      </c>
      <c r="AH59" s="364">
        <v>0</v>
      </c>
      <c r="AI59" s="364">
        <v>0</v>
      </c>
      <c r="AJ59" s="364">
        <v>0</v>
      </c>
      <c r="AK59" s="364">
        <v>0</v>
      </c>
      <c r="AL59" s="364">
        <v>0</v>
      </c>
      <c r="AM59" s="364">
        <v>0</v>
      </c>
      <c r="AN59" s="364">
        <v>0</v>
      </c>
      <c r="AO59" s="364">
        <v>0</v>
      </c>
      <c r="AP59" s="364">
        <v>0</v>
      </c>
      <c r="AQ59" s="364">
        <v>0</v>
      </c>
      <c r="AR59" s="364">
        <v>58.5</v>
      </c>
      <c r="AS59" s="364">
        <v>0</v>
      </c>
      <c r="AT59" s="364">
        <v>0</v>
      </c>
      <c r="AU59" s="364">
        <v>0</v>
      </c>
      <c r="AV59" s="364">
        <v>0</v>
      </c>
      <c r="AW59" s="364">
        <v>0</v>
      </c>
    </row>
    <row r="60" spans="3:49" x14ac:dyDescent="0.3">
      <c r="C60" s="364">
        <v>9</v>
      </c>
      <c r="D60" s="364">
        <v>7</v>
      </c>
      <c r="E60" s="364">
        <v>5</v>
      </c>
      <c r="F60" s="364">
        <v>46</v>
      </c>
      <c r="G60" s="364">
        <v>46</v>
      </c>
      <c r="H60" s="364">
        <v>0</v>
      </c>
      <c r="I60" s="364">
        <v>0</v>
      </c>
      <c r="J60" s="364">
        <v>0</v>
      </c>
      <c r="K60" s="364">
        <v>0</v>
      </c>
      <c r="L60" s="364">
        <v>0</v>
      </c>
      <c r="M60" s="364">
        <v>0</v>
      </c>
      <c r="N60" s="364">
        <v>0</v>
      </c>
      <c r="O60" s="364">
        <v>0</v>
      </c>
      <c r="P60" s="364">
        <v>0</v>
      </c>
      <c r="Q60" s="364">
        <v>0</v>
      </c>
      <c r="R60" s="364">
        <v>0</v>
      </c>
      <c r="S60" s="364">
        <v>0</v>
      </c>
      <c r="T60" s="364">
        <v>0</v>
      </c>
      <c r="U60" s="364">
        <v>0</v>
      </c>
      <c r="V60" s="364">
        <v>0</v>
      </c>
      <c r="W60" s="364">
        <v>0</v>
      </c>
      <c r="X60" s="364">
        <v>0</v>
      </c>
      <c r="Y60" s="364">
        <v>0</v>
      </c>
      <c r="Z60" s="364">
        <v>0</v>
      </c>
      <c r="AA60" s="364">
        <v>0</v>
      </c>
      <c r="AB60" s="364">
        <v>0</v>
      </c>
      <c r="AC60" s="364">
        <v>0</v>
      </c>
      <c r="AD60" s="364">
        <v>0</v>
      </c>
      <c r="AE60" s="364">
        <v>0</v>
      </c>
      <c r="AF60" s="364">
        <v>0</v>
      </c>
      <c r="AG60" s="364">
        <v>0</v>
      </c>
      <c r="AH60" s="364">
        <v>0</v>
      </c>
      <c r="AI60" s="364">
        <v>0</v>
      </c>
      <c r="AJ60" s="364">
        <v>0</v>
      </c>
      <c r="AK60" s="364">
        <v>0</v>
      </c>
      <c r="AL60" s="364">
        <v>0</v>
      </c>
      <c r="AM60" s="364">
        <v>0</v>
      </c>
      <c r="AN60" s="364">
        <v>0</v>
      </c>
      <c r="AO60" s="364">
        <v>0</v>
      </c>
      <c r="AP60" s="364">
        <v>0</v>
      </c>
      <c r="AQ60" s="364">
        <v>0</v>
      </c>
      <c r="AR60" s="364">
        <v>0</v>
      </c>
      <c r="AS60" s="364">
        <v>0</v>
      </c>
      <c r="AT60" s="364">
        <v>0</v>
      </c>
      <c r="AU60" s="364">
        <v>0</v>
      </c>
      <c r="AV60" s="364">
        <v>0</v>
      </c>
      <c r="AW60" s="364">
        <v>0</v>
      </c>
    </row>
    <row r="61" spans="3:49" x14ac:dyDescent="0.3">
      <c r="C61" s="364">
        <v>9</v>
      </c>
      <c r="D61" s="364">
        <v>7</v>
      </c>
      <c r="E61" s="364">
        <v>6</v>
      </c>
      <c r="F61" s="364">
        <v>3741943</v>
      </c>
      <c r="G61" s="364">
        <v>11615</v>
      </c>
      <c r="H61" s="364">
        <v>0</v>
      </c>
      <c r="I61" s="364">
        <v>55787</v>
      </c>
      <c r="J61" s="364">
        <v>67950</v>
      </c>
      <c r="K61" s="364">
        <v>866427</v>
      </c>
      <c r="L61" s="364">
        <v>0</v>
      </c>
      <c r="M61" s="364">
        <v>0</v>
      </c>
      <c r="N61" s="364">
        <v>0</v>
      </c>
      <c r="O61" s="364">
        <v>0</v>
      </c>
      <c r="P61" s="364">
        <v>569661</v>
      </c>
      <c r="Q61" s="364">
        <v>1390209</v>
      </c>
      <c r="R61" s="364">
        <v>438261</v>
      </c>
      <c r="S61" s="364">
        <v>204664</v>
      </c>
      <c r="T61" s="364">
        <v>0</v>
      </c>
      <c r="U61" s="364">
        <v>0</v>
      </c>
      <c r="V61" s="364">
        <v>0</v>
      </c>
      <c r="W61" s="364">
        <v>0</v>
      </c>
      <c r="X61" s="364">
        <v>0</v>
      </c>
      <c r="Y61" s="364">
        <v>0</v>
      </c>
      <c r="Z61" s="364">
        <v>0</v>
      </c>
      <c r="AA61" s="364">
        <v>0</v>
      </c>
      <c r="AB61" s="364">
        <v>0</v>
      </c>
      <c r="AC61" s="364">
        <v>0</v>
      </c>
      <c r="AD61" s="364">
        <v>0</v>
      </c>
      <c r="AE61" s="364">
        <v>0</v>
      </c>
      <c r="AF61" s="364">
        <v>0</v>
      </c>
      <c r="AG61" s="364">
        <v>0</v>
      </c>
      <c r="AH61" s="364">
        <v>0</v>
      </c>
      <c r="AI61" s="364">
        <v>0</v>
      </c>
      <c r="AJ61" s="364">
        <v>0</v>
      </c>
      <c r="AK61" s="364">
        <v>0</v>
      </c>
      <c r="AL61" s="364">
        <v>0</v>
      </c>
      <c r="AM61" s="364">
        <v>0</v>
      </c>
      <c r="AN61" s="364">
        <v>0</v>
      </c>
      <c r="AO61" s="364">
        <v>0</v>
      </c>
      <c r="AP61" s="364">
        <v>0</v>
      </c>
      <c r="AQ61" s="364">
        <v>0</v>
      </c>
      <c r="AR61" s="364">
        <v>107806</v>
      </c>
      <c r="AS61" s="364">
        <v>0</v>
      </c>
      <c r="AT61" s="364">
        <v>0</v>
      </c>
      <c r="AU61" s="364">
        <v>0</v>
      </c>
      <c r="AV61" s="364">
        <v>0</v>
      </c>
      <c r="AW61" s="364">
        <v>29563</v>
      </c>
    </row>
    <row r="62" spans="3:49" x14ac:dyDescent="0.3">
      <c r="C62" s="364">
        <v>9</v>
      </c>
      <c r="D62" s="364">
        <v>7</v>
      </c>
      <c r="E62" s="364">
        <v>9</v>
      </c>
      <c r="F62" s="364">
        <v>692948</v>
      </c>
      <c r="G62" s="364">
        <v>0</v>
      </c>
      <c r="H62" s="364">
        <v>0</v>
      </c>
      <c r="I62" s="364">
        <v>10909</v>
      </c>
      <c r="J62" s="364">
        <v>11310</v>
      </c>
      <c r="K62" s="364">
        <v>168451</v>
      </c>
      <c r="L62" s="364">
        <v>0</v>
      </c>
      <c r="M62" s="364">
        <v>0</v>
      </c>
      <c r="N62" s="364">
        <v>0</v>
      </c>
      <c r="O62" s="364">
        <v>0</v>
      </c>
      <c r="P62" s="364">
        <v>101654</v>
      </c>
      <c r="Q62" s="364">
        <v>241476</v>
      </c>
      <c r="R62" s="364">
        <v>109790</v>
      </c>
      <c r="S62" s="364">
        <v>22223</v>
      </c>
      <c r="T62" s="364">
        <v>0</v>
      </c>
      <c r="U62" s="364">
        <v>0</v>
      </c>
      <c r="V62" s="364">
        <v>0</v>
      </c>
      <c r="W62" s="364">
        <v>0</v>
      </c>
      <c r="X62" s="364">
        <v>0</v>
      </c>
      <c r="Y62" s="364">
        <v>0</v>
      </c>
      <c r="Z62" s="364">
        <v>0</v>
      </c>
      <c r="AA62" s="364">
        <v>0</v>
      </c>
      <c r="AB62" s="364">
        <v>0</v>
      </c>
      <c r="AC62" s="364">
        <v>0</v>
      </c>
      <c r="AD62" s="364">
        <v>0</v>
      </c>
      <c r="AE62" s="364">
        <v>0</v>
      </c>
      <c r="AF62" s="364">
        <v>0</v>
      </c>
      <c r="AG62" s="364">
        <v>0</v>
      </c>
      <c r="AH62" s="364">
        <v>0</v>
      </c>
      <c r="AI62" s="364">
        <v>0</v>
      </c>
      <c r="AJ62" s="364">
        <v>0</v>
      </c>
      <c r="AK62" s="364">
        <v>0</v>
      </c>
      <c r="AL62" s="364">
        <v>0</v>
      </c>
      <c r="AM62" s="364">
        <v>0</v>
      </c>
      <c r="AN62" s="364">
        <v>0</v>
      </c>
      <c r="AO62" s="364">
        <v>0</v>
      </c>
      <c r="AP62" s="364">
        <v>0</v>
      </c>
      <c r="AQ62" s="364">
        <v>0</v>
      </c>
      <c r="AR62" s="364">
        <v>20720</v>
      </c>
      <c r="AS62" s="364">
        <v>0</v>
      </c>
      <c r="AT62" s="364">
        <v>0</v>
      </c>
      <c r="AU62" s="364">
        <v>0</v>
      </c>
      <c r="AV62" s="364">
        <v>0</v>
      </c>
      <c r="AW62" s="364">
        <v>6415</v>
      </c>
    </row>
    <row r="63" spans="3:49" x14ac:dyDescent="0.3">
      <c r="C63" s="364">
        <v>9</v>
      </c>
      <c r="D63" s="364">
        <v>7</v>
      </c>
      <c r="E63" s="364">
        <v>11</v>
      </c>
      <c r="F63" s="364">
        <v>5217.5572519083971</v>
      </c>
      <c r="G63" s="364">
        <v>0</v>
      </c>
      <c r="H63" s="364">
        <v>0</v>
      </c>
      <c r="I63" s="364">
        <v>0</v>
      </c>
      <c r="J63" s="364">
        <v>1717.5572519083971</v>
      </c>
      <c r="K63" s="364">
        <v>0</v>
      </c>
      <c r="L63" s="364">
        <v>0</v>
      </c>
      <c r="M63" s="364">
        <v>0</v>
      </c>
      <c r="N63" s="364">
        <v>0</v>
      </c>
      <c r="O63" s="364">
        <v>3500</v>
      </c>
      <c r="P63" s="364">
        <v>0</v>
      </c>
      <c r="Q63" s="364">
        <v>0</v>
      </c>
      <c r="R63" s="364">
        <v>0</v>
      </c>
      <c r="S63" s="364">
        <v>0</v>
      </c>
      <c r="T63" s="364">
        <v>0</v>
      </c>
      <c r="U63" s="364">
        <v>0</v>
      </c>
      <c r="V63" s="364">
        <v>0</v>
      </c>
      <c r="W63" s="364">
        <v>0</v>
      </c>
      <c r="X63" s="364">
        <v>0</v>
      </c>
      <c r="Y63" s="364">
        <v>0</v>
      </c>
      <c r="Z63" s="364">
        <v>0</v>
      </c>
      <c r="AA63" s="364">
        <v>0</v>
      </c>
      <c r="AB63" s="364">
        <v>0</v>
      </c>
      <c r="AC63" s="364">
        <v>0</v>
      </c>
      <c r="AD63" s="364">
        <v>0</v>
      </c>
      <c r="AE63" s="364">
        <v>0</v>
      </c>
      <c r="AF63" s="364">
        <v>0</v>
      </c>
      <c r="AG63" s="364">
        <v>0</v>
      </c>
      <c r="AH63" s="364">
        <v>0</v>
      </c>
      <c r="AI63" s="364">
        <v>0</v>
      </c>
      <c r="AJ63" s="364">
        <v>0</v>
      </c>
      <c r="AK63" s="364">
        <v>0</v>
      </c>
      <c r="AL63" s="364">
        <v>0</v>
      </c>
      <c r="AM63" s="364">
        <v>0</v>
      </c>
      <c r="AN63" s="364">
        <v>0</v>
      </c>
      <c r="AO63" s="364">
        <v>0</v>
      </c>
      <c r="AP63" s="364">
        <v>0</v>
      </c>
      <c r="AQ63" s="364">
        <v>0</v>
      </c>
      <c r="AR63" s="364">
        <v>0</v>
      </c>
      <c r="AS63" s="364">
        <v>0</v>
      </c>
      <c r="AT63" s="364">
        <v>0</v>
      </c>
      <c r="AU63" s="364">
        <v>0</v>
      </c>
      <c r="AV63" s="364">
        <v>0</v>
      </c>
      <c r="AW63" s="36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67" bestFit="1" customWidth="1"/>
    <col min="2" max="2" width="11.6640625" style="267" hidden="1" customWidth="1"/>
    <col min="3" max="4" width="11" style="269" customWidth="1"/>
    <col min="5" max="5" width="11" style="270" customWidth="1"/>
    <col min="6" max="16384" width="8.88671875" style="267"/>
  </cols>
  <sheetData>
    <row r="1" spans="1:5" ht="18.600000000000001" thickBot="1" x14ac:dyDescent="0.4">
      <c r="A1" s="464" t="s">
        <v>143</v>
      </c>
      <c r="B1" s="464"/>
      <c r="C1" s="465"/>
      <c r="D1" s="465"/>
      <c r="E1" s="465"/>
    </row>
    <row r="2" spans="1:5" ht="14.4" customHeight="1" thickBot="1" x14ac:dyDescent="0.35">
      <c r="A2" s="368" t="s">
        <v>301</v>
      </c>
      <c r="B2" s="268"/>
    </row>
    <row r="3" spans="1:5" ht="14.4" customHeight="1" thickBot="1" x14ac:dyDescent="0.35">
      <c r="A3" s="271"/>
      <c r="C3" s="272" t="s">
        <v>124</v>
      </c>
      <c r="D3" s="273" t="s">
        <v>87</v>
      </c>
      <c r="E3" s="274" t="s">
        <v>89</v>
      </c>
    </row>
    <row r="4" spans="1:5" ht="14.4" customHeight="1" thickBot="1" x14ac:dyDescent="0.35">
      <c r="A4" s="275" t="str">
        <f>HYPERLINK("#HI!A1","NÁKLADY CELKEM (v tisících Kč)")</f>
        <v>NÁKLADY CELKEM (v tisících Kč)</v>
      </c>
      <c r="B4" s="276"/>
      <c r="C4" s="277">
        <f ca="1">IF(ISERROR(VLOOKUP("Náklady celkem",INDIRECT("HI!$A:$G"),6,0)),0,VLOOKUP("Náklady celkem",INDIRECT("HI!$A:$G"),6,0))</f>
        <v>38536.394666420238</v>
      </c>
      <c r="D4" s="277">
        <f ca="1">IF(ISERROR(VLOOKUP("Náklady celkem",INDIRECT("HI!$A:$G"),5,0)),0,VLOOKUP("Náklady celkem",INDIRECT("HI!$A:$G"),5,0))</f>
        <v>40249.782780000001</v>
      </c>
      <c r="E4" s="278">
        <f ca="1">IF(C4=0,0,D4/C4)</f>
        <v>1.0444615571438698</v>
      </c>
    </row>
    <row r="5" spans="1:5" ht="14.4" customHeight="1" x14ac:dyDescent="0.3">
      <c r="A5" s="279" t="s">
        <v>185</v>
      </c>
      <c r="B5" s="280"/>
      <c r="C5" s="281"/>
      <c r="D5" s="281"/>
      <c r="E5" s="282"/>
    </row>
    <row r="6" spans="1:5" ht="14.4" customHeight="1" x14ac:dyDescent="0.3">
      <c r="A6" s="283" t="s">
        <v>190</v>
      </c>
      <c r="B6" s="284"/>
      <c r="C6" s="285"/>
      <c r="D6" s="285"/>
      <c r="E6" s="282"/>
    </row>
    <row r="7" spans="1:5" ht="14.4" customHeight="1" x14ac:dyDescent="0.3">
      <c r="A7" s="4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4" t="s">
        <v>129</v>
      </c>
      <c r="C7" s="285">
        <f>IF(ISERROR(HI!F5),"",HI!F5)</f>
        <v>3603.3685098679716</v>
      </c>
      <c r="D7" s="285">
        <f>IF(ISERROR(HI!E5),"",HI!E5)</f>
        <v>4379.1107599999996</v>
      </c>
      <c r="E7" s="282">
        <f t="shared" ref="E7:E15" si="0">IF(C7=0,0,D7/C7)</f>
        <v>1.215282519122767</v>
      </c>
    </row>
    <row r="8" spans="1:5" ht="14.4" customHeight="1" x14ac:dyDescent="0.3">
      <c r="A8" s="450" t="str">
        <f>HYPERLINK("#'LŽ PL'!A1","Plnění pozitivního listu (min. 90%)")</f>
        <v>Plnění pozitivního listu (min. 90%)</v>
      </c>
      <c r="B8" s="284" t="s">
        <v>178</v>
      </c>
      <c r="C8" s="286">
        <v>0.9</v>
      </c>
      <c r="D8" s="286">
        <f>IF(ISERROR(VLOOKUP("celkem",'LŽ PL'!$A:$F,5,0)),0,VLOOKUP("celkem",'LŽ PL'!$A:$F,5,0))</f>
        <v>0.80289784797281882</v>
      </c>
      <c r="E8" s="282">
        <f t="shared" si="0"/>
        <v>0.89210871996979868</v>
      </c>
    </row>
    <row r="9" spans="1:5" ht="14.4" customHeight="1" x14ac:dyDescent="0.3">
      <c r="A9" s="450" t="str">
        <f>HYPERLINK("#'LŽ Statim'!A1","Podíl statimových žádanek (max. 30%)")</f>
        <v>Podíl statimových žádanek (max. 30%)</v>
      </c>
      <c r="B9" s="448" t="s">
        <v>260</v>
      </c>
      <c r="C9" s="449">
        <v>0.3</v>
      </c>
      <c r="D9" s="449">
        <f>IF('LŽ Statim'!G3="",0,'LŽ Statim'!G3)</f>
        <v>0.12985865724381626</v>
      </c>
      <c r="E9" s="282">
        <f>IF(C9=0,0,D9/C9)</f>
        <v>0.43286219081272087</v>
      </c>
    </row>
    <row r="10" spans="1:5" ht="14.4" customHeight="1" x14ac:dyDescent="0.3">
      <c r="A10" s="287" t="s">
        <v>186</v>
      </c>
      <c r="B10" s="284"/>
      <c r="C10" s="285"/>
      <c r="D10" s="285"/>
      <c r="E10" s="282"/>
    </row>
    <row r="11" spans="1:5" ht="14.4" customHeight="1" x14ac:dyDescent="0.3">
      <c r="A11" s="450" t="str">
        <f>HYPERLINK("#'Léky Recepty'!A1","Záchyt v lékárně (Úhrada Kč, min. 60%)")</f>
        <v>Záchyt v lékárně (Úhrada Kč, min. 60%)</v>
      </c>
      <c r="B11" s="284" t="s">
        <v>134</v>
      </c>
      <c r="C11" s="286">
        <v>0.6</v>
      </c>
      <c r="D11" s="286">
        <f>IF(ISERROR(VLOOKUP("Celkem",'Léky Recepty'!B:H,5,0)),0,VLOOKUP("Celkem",'Léky Recepty'!B:H,5,0))</f>
        <v>0.74276482063727234</v>
      </c>
      <c r="E11" s="282">
        <f t="shared" si="0"/>
        <v>1.2379413677287874</v>
      </c>
    </row>
    <row r="12" spans="1:5" ht="14.4" customHeight="1" x14ac:dyDescent="0.3">
      <c r="A12" s="450" t="str">
        <f>HYPERLINK("#'LRp PL'!A1","Plnění pozitivního listu (min. 80%)")</f>
        <v>Plnění pozitivního listu (min. 80%)</v>
      </c>
      <c r="B12" s="284" t="s">
        <v>179</v>
      </c>
      <c r="C12" s="286">
        <v>0.8</v>
      </c>
      <c r="D12" s="286">
        <f>IF(ISERROR(VLOOKUP("Celkem",'LRp PL'!A:F,5,0)),0,VLOOKUP("Celkem",'LRp PL'!A:F,5,0))</f>
        <v>0.64935064935064934</v>
      </c>
      <c r="E12" s="282">
        <f t="shared" si="0"/>
        <v>0.81168831168831168</v>
      </c>
    </row>
    <row r="13" spans="1:5" ht="14.4" customHeight="1" x14ac:dyDescent="0.3">
      <c r="A13" s="287" t="s">
        <v>187</v>
      </c>
      <c r="B13" s="284"/>
      <c r="C13" s="285"/>
      <c r="D13" s="285"/>
      <c r="E13" s="282"/>
    </row>
    <row r="14" spans="1:5" ht="14.4" customHeight="1" x14ac:dyDescent="0.3">
      <c r="A14" s="288" t="s">
        <v>191</v>
      </c>
      <c r="B14" s="284"/>
      <c r="C14" s="281"/>
      <c r="D14" s="281"/>
      <c r="E14" s="282"/>
    </row>
    <row r="15" spans="1:5" ht="14.4" customHeight="1" x14ac:dyDescent="0.3">
      <c r="A15" s="28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4" t="s">
        <v>129</v>
      </c>
      <c r="C15" s="285">
        <f>IF(ISERROR(HI!F6),"",HI!F6)</f>
        <v>2647.1195992588118</v>
      </c>
      <c r="D15" s="285">
        <f>IF(ISERROR(HI!E6),"",HI!E6)</f>
        <v>2566.94974</v>
      </c>
      <c r="E15" s="282">
        <f t="shared" si="0"/>
        <v>0.96971430407554715</v>
      </c>
    </row>
    <row r="16" spans="1:5" ht="14.4" customHeight="1" thickBot="1" x14ac:dyDescent="0.35">
      <c r="A16" s="290" t="str">
        <f>HYPERLINK("#HI!A1","Osobní náklady")</f>
        <v>Osobní náklady</v>
      </c>
      <c r="B16" s="284"/>
      <c r="C16" s="281">
        <f ca="1">IF(ISERROR(VLOOKUP("Osobní náklady (Kč) *",INDIRECT("HI!$A:$G"),6,0)),0,VLOOKUP("Osobní náklady (Kč) *",INDIRECT("HI!$A:$G"),6,0))</f>
        <v>26779.085750935385</v>
      </c>
      <c r="D16" s="281">
        <f ca="1">IF(ISERROR(VLOOKUP("Osobní náklady (Kč) *",INDIRECT("HI!$A:$G"),5,0)),0,VLOOKUP("Osobní náklady (Kč) *",INDIRECT("HI!$A:$G"),5,0))</f>
        <v>27318.874580000003</v>
      </c>
      <c r="E16" s="282">
        <f ca="1">IF(C16=0,0,D16/C16)</f>
        <v>1.0201571044689517</v>
      </c>
    </row>
    <row r="17" spans="1:5" ht="14.4" customHeight="1" thickBot="1" x14ac:dyDescent="0.35">
      <c r="A17" s="294"/>
      <c r="B17" s="295"/>
      <c r="C17" s="296"/>
      <c r="D17" s="296"/>
      <c r="E17" s="297"/>
    </row>
    <row r="18" spans="1:5" ht="14.4" customHeight="1" thickBot="1" x14ac:dyDescent="0.35">
      <c r="A18" s="298" t="str">
        <f>HYPERLINK("#HI!A1","VÝNOSY CELKEM (v tisících)")</f>
        <v>VÝNOSY CELKEM (v tisících)</v>
      </c>
      <c r="B18" s="299"/>
      <c r="C18" s="300">
        <f ca="1">IF(ISERROR(VLOOKUP("Výnosy celkem",INDIRECT("HI!$A:$G"),6,0)),0,VLOOKUP("Výnosy celkem",INDIRECT("HI!$A:$G"),6,0))</f>
        <v>50551.679999999993</v>
      </c>
      <c r="D18" s="300">
        <f ca="1">IF(ISERROR(VLOOKUP("Výnosy celkem",INDIRECT("HI!$A:$G"),5,0)),0,VLOOKUP("Výnosy celkem",INDIRECT("HI!$A:$G"),5,0))</f>
        <v>47475.751999999993</v>
      </c>
      <c r="E18" s="301">
        <f t="shared" ref="E18:E28" ca="1" si="1">IF(C18=0,0,D18/C18)</f>
        <v>0.93915280362591314</v>
      </c>
    </row>
    <row r="19" spans="1:5" ht="14.4" customHeight="1" x14ac:dyDescent="0.3">
      <c r="A19" s="302" t="str">
        <f>HYPERLINK("#HI!A1","Ambulance (body za výkony + Kč za ZUM a ZULP)")</f>
        <v>Ambulance (body za výkony + Kč za ZUM a ZULP)</v>
      </c>
      <c r="B19" s="280"/>
      <c r="C19" s="281">
        <f ca="1">IF(ISERROR(VLOOKUP("Ambulance *",INDIRECT("HI!$A:$G"),6,0)),0,VLOOKUP("Ambulance *",INDIRECT("HI!$A:$G"),6,0))</f>
        <v>0</v>
      </c>
      <c r="D19" s="281">
        <f ca="1">IF(ISERROR(VLOOKUP("Ambulance *",INDIRECT("HI!$A:$G"),5,0)),0,VLOOKUP("Ambulance *",INDIRECT("HI!$A:$G"),5,0))</f>
        <v>238.142</v>
      </c>
      <c r="E19" s="282">
        <f t="shared" ca="1" si="1"/>
        <v>0</v>
      </c>
    </row>
    <row r="20" spans="1:5" ht="14.4" customHeight="1" x14ac:dyDescent="0.3">
      <c r="A20" s="303" t="str">
        <f>HYPERLINK("#'ZV Vykáz.-A'!A1","Zdravotní výkony vykázané u ambulantních pacientů (min. 100 %)")</f>
        <v>Zdravotní výkony vykázané u ambulantních pacientů (min. 100 %)</v>
      </c>
      <c r="B20" s="267" t="s">
        <v>145</v>
      </c>
      <c r="C20" s="286">
        <v>1</v>
      </c>
      <c r="D20" s="286" t="str">
        <f>IF(ISERROR(VLOOKUP("Celkem:",'ZV Vykáz.-A'!$A:$S,7,0)),"",VLOOKUP("Celkem:",'ZV Vykáz.-A'!$A:$S,7,0))</f>
        <v/>
      </c>
      <c r="E20" s="282" t="e">
        <f t="shared" si="1"/>
        <v>#VALUE!</v>
      </c>
    </row>
    <row r="21" spans="1:5" ht="14.4" customHeight="1" x14ac:dyDescent="0.3">
      <c r="A21" s="303" t="str">
        <f>HYPERLINK("#'ZV Vykáz.-H'!A1","Zdravotní výkony vykázané u hospitalizovaných pacientů (max. 85 %)")</f>
        <v>Zdravotní výkony vykázané u hospitalizovaných pacientů (max. 85 %)</v>
      </c>
      <c r="B21" s="267" t="s">
        <v>147</v>
      </c>
      <c r="C21" s="286">
        <v>0.85</v>
      </c>
      <c r="D21" s="286">
        <f>IF(ISERROR(VLOOKUP("Celkem:",'ZV Vykáz.-H'!$A:$S,7,0)),"",VLOOKUP("Celkem:",'ZV Vykáz.-H'!$A:$S,7,0))</f>
        <v>0.94575423839682105</v>
      </c>
      <c r="E21" s="282">
        <f t="shared" si="1"/>
        <v>1.1126520451727306</v>
      </c>
    </row>
    <row r="22" spans="1:5" ht="14.4" customHeight="1" x14ac:dyDescent="0.3">
      <c r="A22" s="304" t="str">
        <f>HYPERLINK("#HI!A1","Hospitalizace (casemix * 30000)")</f>
        <v>Hospitalizace (casemix * 30000)</v>
      </c>
      <c r="B22" s="284"/>
      <c r="C22" s="281">
        <f ca="1">IF(ISERROR(VLOOKUP("Hospitalizace *",INDIRECT("HI!$A:$G"),6,0)),0,VLOOKUP("Hospitalizace *",INDIRECT("HI!$A:$G"),6,0))</f>
        <v>50551.679999999993</v>
      </c>
      <c r="D22" s="281">
        <f ca="1">IF(ISERROR(VLOOKUP("Hospitalizace *",INDIRECT("HI!$A:$G"),5,0)),0,VLOOKUP("Hospitalizace *",INDIRECT("HI!$A:$G"),5,0))</f>
        <v>47237.609999999993</v>
      </c>
      <c r="E22" s="282">
        <f ca="1">IF(C22=0,0,D22/C22)</f>
        <v>0.93444194139541947</v>
      </c>
    </row>
    <row r="23" spans="1:5" ht="14.4" customHeight="1" x14ac:dyDescent="0.3">
      <c r="A23" s="303" t="str">
        <f>HYPERLINK("#'CaseMix'!A1","Casemix (min. 100 %)")</f>
        <v>Casemix (min. 100 %)</v>
      </c>
      <c r="B23" s="284" t="s">
        <v>64</v>
      </c>
      <c r="C23" s="286">
        <v>1</v>
      </c>
      <c r="D23" s="286">
        <f>IF(ISERROR(VLOOKUP("Celkem",CaseMix!A:M,5,0)),0,VLOOKUP("Celkem",CaseMix!A:M,5,0))</f>
        <v>0.93444194139541947</v>
      </c>
      <c r="E23" s="282">
        <f t="shared" si="1"/>
        <v>0.93444194139541947</v>
      </c>
    </row>
    <row r="24" spans="1:5" ht="14.4" customHeight="1" x14ac:dyDescent="0.3">
      <c r="A24" s="305" t="str">
        <f>HYPERLINK("#'CaseMix'!A1","DRG mimo vyjmenované baze")</f>
        <v>DRG mimo vyjmenované baze</v>
      </c>
      <c r="B24" s="284" t="s">
        <v>64</v>
      </c>
      <c r="C24" s="286">
        <v>1</v>
      </c>
      <c r="D24" s="286">
        <f>IF(ISERROR(CaseMix!E26),"",CaseMix!E26)</f>
        <v>1.3798682972718719</v>
      </c>
      <c r="E24" s="282">
        <f t="shared" si="1"/>
        <v>1.3798682972718719</v>
      </c>
    </row>
    <row r="25" spans="1:5" ht="14.4" customHeight="1" x14ac:dyDescent="0.3">
      <c r="A25" s="305" t="str">
        <f>HYPERLINK("#'CaseMix'!A1","Vyjmenované baze DRG")</f>
        <v>Vyjmenované baze DRG</v>
      </c>
      <c r="B25" s="284" t="s">
        <v>64</v>
      </c>
      <c r="C25" s="286">
        <v>1</v>
      </c>
      <c r="D25" s="286">
        <f>IF(ISERROR(CaseMix!E39),"",CaseMix!E39)</f>
        <v>0</v>
      </c>
      <c r="E25" s="282">
        <f t="shared" si="1"/>
        <v>0</v>
      </c>
    </row>
    <row r="26" spans="1:5" ht="14.4" customHeight="1" x14ac:dyDescent="0.3">
      <c r="A26" s="303" t="str">
        <f>HYPERLINK("#'CaseMix'!A1","Počet hospitalizací ukončených na pracovišti (min. 95 %)")</f>
        <v>Počet hospitalizací ukončených na pracovišti (min. 95 %)</v>
      </c>
      <c r="B26" s="284" t="s">
        <v>64</v>
      </c>
      <c r="C26" s="286">
        <v>0.95</v>
      </c>
      <c r="D26" s="286">
        <f>IF(ISERROR(CaseMix!I13),"",CaseMix!I13)</f>
        <v>0.99035812672176304</v>
      </c>
      <c r="E26" s="282">
        <f t="shared" si="1"/>
        <v>1.0424822386544874</v>
      </c>
    </row>
    <row r="27" spans="1:5" ht="14.4" customHeight="1" x14ac:dyDescent="0.3">
      <c r="A27" s="303" t="str">
        <f>HYPERLINK("#'ALOS'!A1","Průměrná délka hospitalizace (max. 100 % republikového průměru)")</f>
        <v>Průměrná délka hospitalizace (max. 100 % republikového průměru)</v>
      </c>
      <c r="B27" s="284" t="s">
        <v>79</v>
      </c>
      <c r="C27" s="286">
        <v>1</v>
      </c>
      <c r="D27" s="306">
        <f>IF(ISERROR(INDEX(ALOS!$E:$E,COUNT(ALOS!$E:$E)+32)),0,INDEX(ALOS!$E:$E,COUNT(ALOS!$E:$E)+32))</f>
        <v>0.95185007208073047</v>
      </c>
      <c r="E27" s="282">
        <f t="shared" si="1"/>
        <v>0.95185007208073047</v>
      </c>
    </row>
    <row r="28" spans="1:5" ht="27.6" x14ac:dyDescent="0.3">
      <c r="A28" s="30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84" t="s">
        <v>142</v>
      </c>
      <c r="C28" s="286">
        <f>IF(E23&gt;1,95%,95%-2*ABS(C23-D23))</f>
        <v>0.8188838827908389</v>
      </c>
      <c r="D28" s="286">
        <f>IF(ISERROR(VLOOKUP("Celkem:",'ZV Vyžád.'!$A:$M,7,0)),"",VLOOKUP("Celkem:",'ZV Vyžád.'!$A:$M,7,0))</f>
        <v>1.3524173762024296</v>
      </c>
      <c r="E28" s="282">
        <f t="shared" si="1"/>
        <v>1.6515374213902645</v>
      </c>
    </row>
    <row r="29" spans="1:5" ht="14.4" customHeight="1" thickBot="1" x14ac:dyDescent="0.35">
      <c r="A29" s="308" t="s">
        <v>188</v>
      </c>
      <c r="B29" s="291"/>
      <c r="C29" s="292"/>
      <c r="D29" s="292"/>
      <c r="E29" s="293"/>
    </row>
    <row r="30" spans="1:5" ht="14.4" customHeight="1" thickBot="1" x14ac:dyDescent="0.35">
      <c r="A30" s="309"/>
      <c r="B30" s="310"/>
      <c r="C30" s="311"/>
      <c r="D30" s="311"/>
      <c r="E30" s="312"/>
    </row>
    <row r="31" spans="1:5" ht="14.4" customHeight="1" thickBot="1" x14ac:dyDescent="0.35">
      <c r="A31" s="313" t="s">
        <v>189</v>
      </c>
      <c r="B31" s="314"/>
      <c r="C31" s="315"/>
      <c r="D31" s="315"/>
      <c r="E31" s="31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44" bestFit="1" customWidth="1"/>
    <col min="2" max="2" width="7.77734375" style="209" customWidth="1"/>
    <col min="3" max="3" width="5.44140625" style="244" hidden="1" customWidth="1"/>
    <col min="4" max="4" width="7.77734375" style="209" customWidth="1"/>
    <col min="5" max="5" width="5.44140625" style="244" hidden="1" customWidth="1"/>
    <col min="6" max="6" width="7.77734375" style="209" customWidth="1"/>
    <col min="7" max="7" width="7.77734375" style="329" customWidth="1"/>
    <col min="8" max="8" width="7.77734375" style="209" customWidth="1"/>
    <col min="9" max="9" width="5.44140625" style="244" hidden="1" customWidth="1"/>
    <col min="10" max="10" width="7.77734375" style="209" customWidth="1"/>
    <col min="11" max="11" width="5.44140625" style="244" hidden="1" customWidth="1"/>
    <col min="12" max="12" width="7.77734375" style="209" customWidth="1"/>
    <col min="13" max="13" width="7.77734375" style="329" customWidth="1"/>
    <col min="14" max="14" width="7.77734375" style="209" customWidth="1"/>
    <col min="15" max="15" width="5" style="244" hidden="1" customWidth="1"/>
    <col min="16" max="16" width="7.77734375" style="209" customWidth="1"/>
    <col min="17" max="17" width="5" style="244" hidden="1" customWidth="1"/>
    <col min="18" max="18" width="7.77734375" style="209" customWidth="1"/>
    <col min="19" max="19" width="7.77734375" style="329" customWidth="1"/>
    <col min="20" max="16384" width="8.88671875" style="244"/>
  </cols>
  <sheetData>
    <row r="1" spans="1:19" ht="18.600000000000001" customHeight="1" thickBot="1" x14ac:dyDescent="0.4">
      <c r="A1" s="526" t="s">
        <v>1710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</row>
    <row r="2" spans="1:19" ht="14.4" customHeight="1" thickBot="1" x14ac:dyDescent="0.35">
      <c r="A2" s="368" t="s">
        <v>301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4.4" customHeight="1" thickBot="1" x14ac:dyDescent="0.35">
      <c r="A3" s="335" t="s">
        <v>151</v>
      </c>
      <c r="B3" s="336">
        <f>SUBTOTAL(9,B6:B1048576)/2</f>
        <v>0</v>
      </c>
      <c r="C3" s="337">
        <f t="shared" ref="C3:R3" si="0">SUBTOTAL(9,C6:C1048576)</f>
        <v>0</v>
      </c>
      <c r="D3" s="337">
        <f>SUBTOTAL(9,D6:D1048576)/2</f>
        <v>0</v>
      </c>
      <c r="E3" s="337">
        <f t="shared" si="0"/>
        <v>0</v>
      </c>
      <c r="F3" s="337">
        <f>SUBTOTAL(9,F6:F1048576)/2</f>
        <v>238142</v>
      </c>
      <c r="G3" s="338" t="str">
        <f>IF(B3&lt;&gt;0,F3/B3,"")</f>
        <v/>
      </c>
      <c r="H3" s="339">
        <f t="shared" si="0"/>
        <v>0</v>
      </c>
      <c r="I3" s="337">
        <f t="shared" si="0"/>
        <v>0</v>
      </c>
      <c r="J3" s="337">
        <f t="shared" si="0"/>
        <v>0</v>
      </c>
      <c r="K3" s="337">
        <f t="shared" si="0"/>
        <v>0</v>
      </c>
      <c r="L3" s="337">
        <f t="shared" si="0"/>
        <v>7.2759576141834259E-10</v>
      </c>
      <c r="M3" s="340" t="str">
        <f>IF(H3&lt;&gt;0,L3/H3,"")</f>
        <v/>
      </c>
      <c r="N3" s="336">
        <f t="shared" si="0"/>
        <v>0</v>
      </c>
      <c r="O3" s="337">
        <f t="shared" si="0"/>
        <v>0</v>
      </c>
      <c r="P3" s="337">
        <f t="shared" si="0"/>
        <v>0</v>
      </c>
      <c r="Q3" s="337">
        <f t="shared" si="0"/>
        <v>0</v>
      </c>
      <c r="R3" s="337">
        <f t="shared" si="0"/>
        <v>2849865.94</v>
      </c>
      <c r="S3" s="338" t="str">
        <f>IF(N3&lt;&gt;0,R3/N3,"")</f>
        <v/>
      </c>
    </row>
    <row r="4" spans="1:19" ht="14.4" customHeight="1" x14ac:dyDescent="0.3">
      <c r="A4" s="527" t="s">
        <v>265</v>
      </c>
      <c r="B4" s="528" t="s">
        <v>116</v>
      </c>
      <c r="C4" s="529"/>
      <c r="D4" s="529"/>
      <c r="E4" s="529"/>
      <c r="F4" s="529"/>
      <c r="G4" s="530"/>
      <c r="H4" s="528" t="s">
        <v>117</v>
      </c>
      <c r="I4" s="529"/>
      <c r="J4" s="529"/>
      <c r="K4" s="529"/>
      <c r="L4" s="529"/>
      <c r="M4" s="530"/>
      <c r="N4" s="528" t="s">
        <v>118</v>
      </c>
      <c r="O4" s="529"/>
      <c r="P4" s="529"/>
      <c r="Q4" s="529"/>
      <c r="R4" s="529"/>
      <c r="S4" s="530"/>
    </row>
    <row r="5" spans="1:19" ht="14.4" customHeight="1" thickBot="1" x14ac:dyDescent="0.35">
      <c r="A5" s="744"/>
      <c r="B5" s="745">
        <v>2014</v>
      </c>
      <c r="C5" s="746"/>
      <c r="D5" s="746">
        <v>2015</v>
      </c>
      <c r="E5" s="746"/>
      <c r="F5" s="746">
        <v>2016</v>
      </c>
      <c r="G5" s="747" t="s">
        <v>2</v>
      </c>
      <c r="H5" s="745">
        <v>2014</v>
      </c>
      <c r="I5" s="746"/>
      <c r="J5" s="746">
        <v>2015</v>
      </c>
      <c r="K5" s="746"/>
      <c r="L5" s="746">
        <v>2016</v>
      </c>
      <c r="M5" s="747" t="s">
        <v>2</v>
      </c>
      <c r="N5" s="745">
        <v>2014</v>
      </c>
      <c r="O5" s="746"/>
      <c r="P5" s="746">
        <v>2015</v>
      </c>
      <c r="Q5" s="746"/>
      <c r="R5" s="746">
        <v>2016</v>
      </c>
      <c r="S5" s="747" t="s">
        <v>2</v>
      </c>
    </row>
    <row r="6" spans="1:19" ht="14.4" customHeight="1" x14ac:dyDescent="0.3">
      <c r="A6" s="665" t="s">
        <v>1708</v>
      </c>
      <c r="B6" s="748"/>
      <c r="C6" s="633"/>
      <c r="D6" s="748"/>
      <c r="E6" s="633"/>
      <c r="F6" s="748">
        <v>0</v>
      </c>
      <c r="G6" s="655"/>
      <c r="H6" s="748"/>
      <c r="I6" s="633"/>
      <c r="J6" s="748"/>
      <c r="K6" s="633"/>
      <c r="L6" s="748"/>
      <c r="M6" s="655"/>
      <c r="N6" s="748"/>
      <c r="O6" s="633"/>
      <c r="P6" s="748"/>
      <c r="Q6" s="633"/>
      <c r="R6" s="748"/>
      <c r="S6" s="679"/>
    </row>
    <row r="7" spans="1:19" ht="14.4" customHeight="1" thickBot="1" x14ac:dyDescent="0.35">
      <c r="A7" s="750" t="s">
        <v>1709</v>
      </c>
      <c r="B7" s="749"/>
      <c r="C7" s="645"/>
      <c r="D7" s="749"/>
      <c r="E7" s="645"/>
      <c r="F7" s="749">
        <v>238142</v>
      </c>
      <c r="G7" s="657"/>
      <c r="H7" s="749"/>
      <c r="I7" s="645"/>
      <c r="J7" s="749"/>
      <c r="K7" s="645"/>
      <c r="L7" s="749">
        <v>7.2759576141834259E-10</v>
      </c>
      <c r="M7" s="657"/>
      <c r="N7" s="749"/>
      <c r="O7" s="645"/>
      <c r="P7" s="749"/>
      <c r="Q7" s="645"/>
      <c r="R7" s="749">
        <v>2849865.94</v>
      </c>
      <c r="S7" s="681"/>
    </row>
    <row r="8" spans="1:19" ht="14.4" customHeight="1" thickBot="1" x14ac:dyDescent="0.35"/>
    <row r="9" spans="1:19" ht="14.4" customHeight="1" x14ac:dyDescent="0.3">
      <c r="A9" s="665" t="s">
        <v>1227</v>
      </c>
      <c r="B9" s="748"/>
      <c r="C9" s="633"/>
      <c r="D9" s="748"/>
      <c r="E9" s="633"/>
      <c r="F9" s="748">
        <v>238142</v>
      </c>
      <c r="G9" s="655"/>
      <c r="H9" s="748"/>
      <c r="I9" s="633"/>
      <c r="J9" s="748"/>
      <c r="K9" s="633"/>
      <c r="L9" s="748"/>
      <c r="M9" s="655"/>
      <c r="N9" s="748"/>
      <c r="O9" s="633"/>
      <c r="P9" s="748"/>
      <c r="Q9" s="633"/>
      <c r="R9" s="748"/>
      <c r="S9" s="679"/>
    </row>
    <row r="10" spans="1:19" ht="14.4" customHeight="1" thickBot="1" x14ac:dyDescent="0.35">
      <c r="A10" s="750" t="s">
        <v>553</v>
      </c>
      <c r="B10" s="749"/>
      <c r="C10" s="645"/>
      <c r="D10" s="749"/>
      <c r="E10" s="645"/>
      <c r="F10" s="749">
        <v>0</v>
      </c>
      <c r="G10" s="657"/>
      <c r="H10" s="749"/>
      <c r="I10" s="645"/>
      <c r="J10" s="749"/>
      <c r="K10" s="645"/>
      <c r="L10" s="749"/>
      <c r="M10" s="657"/>
      <c r="N10" s="749"/>
      <c r="O10" s="645"/>
      <c r="P10" s="749"/>
      <c r="Q10" s="645"/>
      <c r="R10" s="749"/>
      <c r="S10" s="681"/>
    </row>
    <row r="11" spans="1:19" ht="14.4" customHeight="1" x14ac:dyDescent="0.3">
      <c r="A11" s="695" t="s">
        <v>1210</v>
      </c>
    </row>
    <row r="12" spans="1:19" ht="14.4" customHeight="1" x14ac:dyDescent="0.3">
      <c r="A12" s="696" t="s">
        <v>1211</v>
      </c>
    </row>
    <row r="13" spans="1:19" ht="14.4" customHeight="1" x14ac:dyDescent="0.3">
      <c r="A13" s="695" t="s">
        <v>1711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44" bestFit="1" customWidth="1"/>
    <col min="2" max="4" width="7.77734375" style="326" customWidth="1"/>
    <col min="5" max="7" width="7.77734375" style="209" customWidth="1"/>
    <col min="8" max="16384" width="8.88671875" style="244"/>
  </cols>
  <sheetData>
    <row r="1" spans="1:7" ht="18.600000000000001" customHeight="1" thickBot="1" x14ac:dyDescent="0.4">
      <c r="A1" s="526" t="s">
        <v>1721</v>
      </c>
      <c r="B1" s="464"/>
      <c r="C1" s="464"/>
      <c r="D1" s="464"/>
      <c r="E1" s="464"/>
      <c r="F1" s="464"/>
      <c r="G1" s="464"/>
    </row>
    <row r="2" spans="1:7" ht="14.4" customHeight="1" thickBot="1" x14ac:dyDescent="0.35">
      <c r="A2" s="368" t="s">
        <v>301</v>
      </c>
      <c r="B2" s="214"/>
      <c r="C2" s="214"/>
      <c r="D2" s="214"/>
      <c r="E2" s="214"/>
      <c r="F2" s="214"/>
      <c r="G2" s="214"/>
    </row>
    <row r="3" spans="1:7" ht="14.4" customHeight="1" thickBot="1" x14ac:dyDescent="0.35">
      <c r="A3" s="335" t="s">
        <v>151</v>
      </c>
      <c r="B3" s="453">
        <f t="shared" ref="B3:G3" si="0">SUBTOTAL(9,B6:B1048576)</f>
        <v>0</v>
      </c>
      <c r="C3" s="454">
        <f t="shared" si="0"/>
        <v>0</v>
      </c>
      <c r="D3" s="454">
        <f t="shared" si="0"/>
        <v>1612</v>
      </c>
      <c r="E3" s="339">
        <f t="shared" si="0"/>
        <v>0</v>
      </c>
      <c r="F3" s="337">
        <f t="shared" si="0"/>
        <v>0</v>
      </c>
      <c r="G3" s="455">
        <f t="shared" si="0"/>
        <v>238142</v>
      </c>
    </row>
    <row r="4" spans="1:7" ht="14.4" customHeight="1" x14ac:dyDescent="0.3">
      <c r="A4" s="527" t="s">
        <v>159</v>
      </c>
      <c r="B4" s="528" t="s">
        <v>262</v>
      </c>
      <c r="C4" s="529"/>
      <c r="D4" s="529"/>
      <c r="E4" s="531" t="s">
        <v>116</v>
      </c>
      <c r="F4" s="532"/>
      <c r="G4" s="533"/>
    </row>
    <row r="5" spans="1:7" ht="14.4" customHeight="1" thickBot="1" x14ac:dyDescent="0.35">
      <c r="A5" s="744"/>
      <c r="B5" s="745">
        <v>2014</v>
      </c>
      <c r="C5" s="746">
        <v>2015</v>
      </c>
      <c r="D5" s="746">
        <v>2016</v>
      </c>
      <c r="E5" s="745">
        <v>2014</v>
      </c>
      <c r="F5" s="746">
        <v>2015</v>
      </c>
      <c r="G5" s="746">
        <v>2016</v>
      </c>
    </row>
    <row r="6" spans="1:7" ht="14.4" customHeight="1" x14ac:dyDescent="0.3">
      <c r="A6" s="665" t="s">
        <v>1712</v>
      </c>
      <c r="B6" s="636"/>
      <c r="C6" s="636"/>
      <c r="D6" s="636">
        <v>75</v>
      </c>
      <c r="E6" s="748"/>
      <c r="F6" s="748"/>
      <c r="G6" s="751">
        <v>8621</v>
      </c>
    </row>
    <row r="7" spans="1:7" ht="14.4" customHeight="1" x14ac:dyDescent="0.3">
      <c r="A7" s="666" t="s">
        <v>1713</v>
      </c>
      <c r="B7" s="642"/>
      <c r="C7" s="642"/>
      <c r="D7" s="642">
        <v>87</v>
      </c>
      <c r="E7" s="752"/>
      <c r="F7" s="752"/>
      <c r="G7" s="753">
        <v>8549</v>
      </c>
    </row>
    <row r="8" spans="1:7" ht="14.4" customHeight="1" x14ac:dyDescent="0.3">
      <c r="A8" s="666" t="s">
        <v>1714</v>
      </c>
      <c r="B8" s="642"/>
      <c r="C8" s="642"/>
      <c r="D8" s="642">
        <v>1</v>
      </c>
      <c r="E8" s="752"/>
      <c r="F8" s="752"/>
      <c r="G8" s="753">
        <v>37</v>
      </c>
    </row>
    <row r="9" spans="1:7" ht="14.4" customHeight="1" x14ac:dyDescent="0.3">
      <c r="A9" s="666" t="s">
        <v>1715</v>
      </c>
      <c r="B9" s="642"/>
      <c r="C9" s="642"/>
      <c r="D9" s="642">
        <v>161</v>
      </c>
      <c r="E9" s="752"/>
      <c r="F9" s="752"/>
      <c r="G9" s="753">
        <v>13317</v>
      </c>
    </row>
    <row r="10" spans="1:7" ht="14.4" customHeight="1" x14ac:dyDescent="0.3">
      <c r="A10" s="666" t="s">
        <v>1213</v>
      </c>
      <c r="B10" s="642"/>
      <c r="C10" s="642"/>
      <c r="D10" s="642">
        <v>264</v>
      </c>
      <c r="E10" s="752"/>
      <c r="F10" s="752"/>
      <c r="G10" s="753">
        <v>58545</v>
      </c>
    </row>
    <row r="11" spans="1:7" ht="14.4" customHeight="1" x14ac:dyDescent="0.3">
      <c r="A11" s="666" t="s">
        <v>1716</v>
      </c>
      <c r="B11" s="642"/>
      <c r="C11" s="642"/>
      <c r="D11" s="642">
        <v>58</v>
      </c>
      <c r="E11" s="752"/>
      <c r="F11" s="752"/>
      <c r="G11" s="753">
        <v>4889</v>
      </c>
    </row>
    <row r="12" spans="1:7" ht="14.4" customHeight="1" x14ac:dyDescent="0.3">
      <c r="A12" s="666" t="s">
        <v>1215</v>
      </c>
      <c r="B12" s="642"/>
      <c r="C12" s="642"/>
      <c r="D12" s="642">
        <v>640</v>
      </c>
      <c r="E12" s="752"/>
      <c r="F12" s="752"/>
      <c r="G12" s="753">
        <v>77980</v>
      </c>
    </row>
    <row r="13" spans="1:7" ht="14.4" customHeight="1" x14ac:dyDescent="0.3">
      <c r="A13" s="666" t="s">
        <v>1717</v>
      </c>
      <c r="B13" s="642"/>
      <c r="C13" s="642"/>
      <c r="D13" s="642">
        <v>1</v>
      </c>
      <c r="E13" s="752"/>
      <c r="F13" s="752"/>
      <c r="G13" s="753">
        <v>74</v>
      </c>
    </row>
    <row r="14" spans="1:7" ht="14.4" customHeight="1" x14ac:dyDescent="0.3">
      <c r="A14" s="666" t="s">
        <v>1718</v>
      </c>
      <c r="B14" s="642"/>
      <c r="C14" s="642"/>
      <c r="D14" s="642">
        <v>5</v>
      </c>
      <c r="E14" s="752"/>
      <c r="F14" s="752"/>
      <c r="G14" s="753">
        <v>1298</v>
      </c>
    </row>
    <row r="15" spans="1:7" ht="14.4" customHeight="1" x14ac:dyDescent="0.3">
      <c r="A15" s="666" t="s">
        <v>1216</v>
      </c>
      <c r="B15" s="642"/>
      <c r="C15" s="642"/>
      <c r="D15" s="642">
        <v>1</v>
      </c>
      <c r="E15" s="752"/>
      <c r="F15" s="752"/>
      <c r="G15" s="753">
        <v>177</v>
      </c>
    </row>
    <row r="16" spans="1:7" ht="14.4" customHeight="1" x14ac:dyDescent="0.3">
      <c r="A16" s="666" t="s">
        <v>1719</v>
      </c>
      <c r="B16" s="642"/>
      <c r="C16" s="642"/>
      <c r="D16" s="642">
        <v>57</v>
      </c>
      <c r="E16" s="752"/>
      <c r="F16" s="752"/>
      <c r="G16" s="753">
        <v>22616</v>
      </c>
    </row>
    <row r="17" spans="1:7" ht="14.4" customHeight="1" x14ac:dyDescent="0.3">
      <c r="A17" s="666" t="s">
        <v>1218</v>
      </c>
      <c r="B17" s="642"/>
      <c r="C17" s="642"/>
      <c r="D17" s="642">
        <v>65</v>
      </c>
      <c r="E17" s="752"/>
      <c r="F17" s="752"/>
      <c r="G17" s="753">
        <v>10467</v>
      </c>
    </row>
    <row r="18" spans="1:7" ht="14.4" customHeight="1" thickBot="1" x14ac:dyDescent="0.35">
      <c r="A18" s="750" t="s">
        <v>1720</v>
      </c>
      <c r="B18" s="648"/>
      <c r="C18" s="648"/>
      <c r="D18" s="648">
        <v>197</v>
      </c>
      <c r="E18" s="749"/>
      <c r="F18" s="749"/>
      <c r="G18" s="754">
        <v>31572</v>
      </c>
    </row>
    <row r="19" spans="1:7" ht="14.4" customHeight="1" x14ac:dyDescent="0.3">
      <c r="A19" s="695" t="s">
        <v>1210</v>
      </c>
    </row>
    <row r="20" spans="1:7" ht="14.4" customHeight="1" x14ac:dyDescent="0.3">
      <c r="A20" s="696" t="s">
        <v>1211</v>
      </c>
    </row>
    <row r="21" spans="1:7" ht="14.4" customHeight="1" x14ac:dyDescent="0.3">
      <c r="A21" s="695" t="s">
        <v>1711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44" bestFit="1" customWidth="1"/>
    <col min="2" max="2" width="6.109375" style="244" customWidth="1"/>
    <col min="3" max="3" width="2.109375" style="244" bestFit="1" customWidth="1"/>
    <col min="4" max="4" width="8" style="244" customWidth="1"/>
    <col min="5" max="5" width="50.88671875" style="244" bestFit="1" customWidth="1"/>
    <col min="6" max="7" width="11.109375" style="326" customWidth="1"/>
    <col min="8" max="9" width="9.33203125" style="244" hidden="1" customWidth="1"/>
    <col min="10" max="11" width="11.109375" style="326" customWidth="1"/>
    <col min="12" max="13" width="9.33203125" style="244" hidden="1" customWidth="1"/>
    <col min="14" max="15" width="11.109375" style="326" customWidth="1"/>
    <col min="16" max="16" width="11.109375" style="329" customWidth="1"/>
    <col min="17" max="17" width="11.109375" style="326" customWidth="1"/>
    <col min="18" max="16384" width="8.88671875" style="244"/>
  </cols>
  <sheetData>
    <row r="1" spans="1:17" ht="18.600000000000001" customHeight="1" thickBot="1" x14ac:dyDescent="0.4">
      <c r="A1" s="464" t="s">
        <v>1758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ht="14.4" customHeight="1" thickBot="1" x14ac:dyDescent="0.35">
      <c r="A2" s="368" t="s">
        <v>301</v>
      </c>
      <c r="B2" s="459"/>
      <c r="C2" s="245"/>
      <c r="D2" s="452"/>
      <c r="E2" s="245"/>
      <c r="F2" s="343"/>
      <c r="G2" s="343"/>
      <c r="H2" s="245"/>
      <c r="I2" s="245"/>
      <c r="J2" s="343"/>
      <c r="K2" s="343"/>
      <c r="L2" s="245"/>
      <c r="M2" s="245"/>
      <c r="N2" s="343"/>
      <c r="O2" s="343"/>
      <c r="P2" s="344"/>
      <c r="Q2" s="343"/>
    </row>
    <row r="3" spans="1:17" ht="14.4" customHeight="1" thickBot="1" x14ac:dyDescent="0.35">
      <c r="E3" s="102" t="s">
        <v>151</v>
      </c>
      <c r="F3" s="201">
        <f t="shared" ref="F3:O3" si="0">SUBTOTAL(9,F6:F1048576)</f>
        <v>0</v>
      </c>
      <c r="G3" s="202">
        <f t="shared" si="0"/>
        <v>0</v>
      </c>
      <c r="H3" s="70"/>
      <c r="I3" s="70"/>
      <c r="J3" s="202">
        <f t="shared" si="0"/>
        <v>0</v>
      </c>
      <c r="K3" s="202">
        <f t="shared" si="0"/>
        <v>0</v>
      </c>
      <c r="L3" s="70"/>
      <c r="M3" s="70"/>
      <c r="N3" s="202">
        <f t="shared" si="0"/>
        <v>1788</v>
      </c>
      <c r="O3" s="202">
        <f t="shared" si="0"/>
        <v>3088007.94</v>
      </c>
      <c r="P3" s="71">
        <f>IF(G3=0,0,O3/G3)</f>
        <v>0</v>
      </c>
      <c r="Q3" s="203">
        <f>IF(N3=0,0,O3/N3)</f>
        <v>1727.0737919463088</v>
      </c>
    </row>
    <row r="4" spans="1:17" ht="14.4" customHeight="1" x14ac:dyDescent="0.3">
      <c r="A4" s="535" t="s">
        <v>112</v>
      </c>
      <c r="B4" s="542" t="s">
        <v>0</v>
      </c>
      <c r="C4" s="536" t="s">
        <v>113</v>
      </c>
      <c r="D4" s="541" t="s">
        <v>83</v>
      </c>
      <c r="E4" s="537" t="s">
        <v>74</v>
      </c>
      <c r="F4" s="538">
        <v>2014</v>
      </c>
      <c r="G4" s="539"/>
      <c r="H4" s="200"/>
      <c r="I4" s="200"/>
      <c r="J4" s="538">
        <v>2015</v>
      </c>
      <c r="K4" s="539"/>
      <c r="L4" s="200"/>
      <c r="M4" s="200"/>
      <c r="N4" s="538">
        <v>2016</v>
      </c>
      <c r="O4" s="539"/>
      <c r="P4" s="540" t="s">
        <v>2</v>
      </c>
      <c r="Q4" s="534" t="s">
        <v>115</v>
      </c>
    </row>
    <row r="5" spans="1:17" ht="14.4" customHeight="1" thickBot="1" x14ac:dyDescent="0.35">
      <c r="A5" s="755"/>
      <c r="B5" s="756"/>
      <c r="C5" s="757"/>
      <c r="D5" s="758"/>
      <c r="E5" s="759"/>
      <c r="F5" s="760" t="s">
        <v>84</v>
      </c>
      <c r="G5" s="761" t="s">
        <v>14</v>
      </c>
      <c r="H5" s="762"/>
      <c r="I5" s="762"/>
      <c r="J5" s="760" t="s">
        <v>84</v>
      </c>
      <c r="K5" s="761" t="s">
        <v>14</v>
      </c>
      <c r="L5" s="762"/>
      <c r="M5" s="762"/>
      <c r="N5" s="760" t="s">
        <v>84</v>
      </c>
      <c r="O5" s="761" t="s">
        <v>14</v>
      </c>
      <c r="P5" s="763"/>
      <c r="Q5" s="764"/>
    </row>
    <row r="6" spans="1:17" ht="14.4" customHeight="1" x14ac:dyDescent="0.3">
      <c r="A6" s="632" t="s">
        <v>1722</v>
      </c>
      <c r="B6" s="633" t="s">
        <v>1227</v>
      </c>
      <c r="C6" s="633" t="s">
        <v>1723</v>
      </c>
      <c r="D6" s="633" t="s">
        <v>1724</v>
      </c>
      <c r="E6" s="633" t="s">
        <v>1725</v>
      </c>
      <c r="F6" s="636"/>
      <c r="G6" s="636"/>
      <c r="H6" s="633"/>
      <c r="I6" s="633"/>
      <c r="J6" s="636"/>
      <c r="K6" s="636"/>
      <c r="L6" s="633"/>
      <c r="M6" s="633"/>
      <c r="N6" s="636">
        <v>0</v>
      </c>
      <c r="O6" s="636">
        <v>0</v>
      </c>
      <c r="P6" s="655"/>
      <c r="Q6" s="637"/>
    </row>
    <row r="7" spans="1:17" ht="14.4" customHeight="1" x14ac:dyDescent="0.3">
      <c r="A7" s="638" t="s">
        <v>1722</v>
      </c>
      <c r="B7" s="639" t="s">
        <v>1227</v>
      </c>
      <c r="C7" s="639" t="s">
        <v>1723</v>
      </c>
      <c r="D7" s="639" t="s">
        <v>1726</v>
      </c>
      <c r="E7" s="639" t="s">
        <v>1727</v>
      </c>
      <c r="F7" s="642"/>
      <c r="G7" s="642"/>
      <c r="H7" s="639"/>
      <c r="I7" s="639"/>
      <c r="J7" s="642"/>
      <c r="K7" s="642"/>
      <c r="L7" s="639"/>
      <c r="M7" s="639"/>
      <c r="N7" s="642">
        <v>0</v>
      </c>
      <c r="O7" s="642">
        <v>0</v>
      </c>
      <c r="P7" s="656"/>
      <c r="Q7" s="643"/>
    </row>
    <row r="8" spans="1:17" ht="14.4" customHeight="1" x14ac:dyDescent="0.3">
      <c r="A8" s="638" t="s">
        <v>1728</v>
      </c>
      <c r="B8" s="639" t="s">
        <v>1729</v>
      </c>
      <c r="C8" s="639" t="s">
        <v>1730</v>
      </c>
      <c r="D8" s="639" t="s">
        <v>1731</v>
      </c>
      <c r="E8" s="639" t="s">
        <v>1732</v>
      </c>
      <c r="F8" s="642"/>
      <c r="G8" s="642"/>
      <c r="H8" s="639"/>
      <c r="I8" s="639"/>
      <c r="J8" s="642"/>
      <c r="K8" s="642"/>
      <c r="L8" s="639"/>
      <c r="M8" s="639"/>
      <c r="N8" s="642">
        <v>0</v>
      </c>
      <c r="O8" s="642">
        <v>-2.1827872842550278E-11</v>
      </c>
      <c r="P8" s="656"/>
      <c r="Q8" s="643"/>
    </row>
    <row r="9" spans="1:17" ht="14.4" customHeight="1" x14ac:dyDescent="0.3">
      <c r="A9" s="638" t="s">
        <v>1728</v>
      </c>
      <c r="B9" s="639" t="s">
        <v>1729</v>
      </c>
      <c r="C9" s="639" t="s">
        <v>1730</v>
      </c>
      <c r="D9" s="639" t="s">
        <v>1733</v>
      </c>
      <c r="E9" s="639" t="s">
        <v>1732</v>
      </c>
      <c r="F9" s="642"/>
      <c r="G9" s="642"/>
      <c r="H9" s="639"/>
      <c r="I9" s="639"/>
      <c r="J9" s="642"/>
      <c r="K9" s="642"/>
      <c r="L9" s="639"/>
      <c r="M9" s="639"/>
      <c r="N9" s="642">
        <v>0</v>
      </c>
      <c r="O9" s="642">
        <v>0</v>
      </c>
      <c r="P9" s="656"/>
      <c r="Q9" s="643"/>
    </row>
    <row r="10" spans="1:17" ht="14.4" customHeight="1" x14ac:dyDescent="0.3">
      <c r="A10" s="638" t="s">
        <v>1728</v>
      </c>
      <c r="B10" s="639" t="s">
        <v>1729</v>
      </c>
      <c r="C10" s="639" t="s">
        <v>1730</v>
      </c>
      <c r="D10" s="639" t="s">
        <v>1734</v>
      </c>
      <c r="E10" s="639" t="s">
        <v>1732</v>
      </c>
      <c r="F10" s="642"/>
      <c r="G10" s="642"/>
      <c r="H10" s="639"/>
      <c r="I10" s="639"/>
      <c r="J10" s="642"/>
      <c r="K10" s="642"/>
      <c r="L10" s="639"/>
      <c r="M10" s="639"/>
      <c r="N10" s="642">
        <v>0</v>
      </c>
      <c r="O10" s="642">
        <v>0</v>
      </c>
      <c r="P10" s="656"/>
      <c r="Q10" s="643"/>
    </row>
    <row r="11" spans="1:17" ht="14.4" customHeight="1" x14ac:dyDescent="0.3">
      <c r="A11" s="638" t="s">
        <v>1728</v>
      </c>
      <c r="B11" s="639" t="s">
        <v>1729</v>
      </c>
      <c r="C11" s="639" t="s">
        <v>1730</v>
      </c>
      <c r="D11" s="639" t="s">
        <v>1735</v>
      </c>
      <c r="E11" s="639" t="s">
        <v>1732</v>
      </c>
      <c r="F11" s="642"/>
      <c r="G11" s="642"/>
      <c r="H11" s="639"/>
      <c r="I11" s="639"/>
      <c r="J11" s="642"/>
      <c r="K11" s="642"/>
      <c r="L11" s="639"/>
      <c r="M11" s="639"/>
      <c r="N11" s="642">
        <v>0</v>
      </c>
      <c r="O11" s="642">
        <v>-5.4569682106375694E-12</v>
      </c>
      <c r="P11" s="656"/>
      <c r="Q11" s="643"/>
    </row>
    <row r="12" spans="1:17" ht="14.4" customHeight="1" x14ac:dyDescent="0.3">
      <c r="A12" s="638" t="s">
        <v>1728</v>
      </c>
      <c r="B12" s="639" t="s">
        <v>1227</v>
      </c>
      <c r="C12" s="639" t="s">
        <v>1730</v>
      </c>
      <c r="D12" s="639" t="s">
        <v>1731</v>
      </c>
      <c r="E12" s="639" t="s">
        <v>1736</v>
      </c>
      <c r="F12" s="642"/>
      <c r="G12" s="642"/>
      <c r="H12" s="639"/>
      <c r="I12" s="639"/>
      <c r="J12" s="642"/>
      <c r="K12" s="642"/>
      <c r="L12" s="639"/>
      <c r="M12" s="639"/>
      <c r="N12" s="642">
        <v>16</v>
      </c>
      <c r="O12" s="642">
        <v>157233.91999999998</v>
      </c>
      <c r="P12" s="656"/>
      <c r="Q12" s="643">
        <v>9827.119999999999</v>
      </c>
    </row>
    <row r="13" spans="1:17" ht="14.4" customHeight="1" x14ac:dyDescent="0.3">
      <c r="A13" s="638" t="s">
        <v>1728</v>
      </c>
      <c r="B13" s="639" t="s">
        <v>1227</v>
      </c>
      <c r="C13" s="639" t="s">
        <v>1730</v>
      </c>
      <c r="D13" s="639" t="s">
        <v>1733</v>
      </c>
      <c r="E13" s="639" t="s">
        <v>1737</v>
      </c>
      <c r="F13" s="642"/>
      <c r="G13" s="642"/>
      <c r="H13" s="639"/>
      <c r="I13" s="639"/>
      <c r="J13" s="642"/>
      <c r="K13" s="642"/>
      <c r="L13" s="639"/>
      <c r="M13" s="639"/>
      <c r="N13" s="642">
        <v>18</v>
      </c>
      <c r="O13" s="642">
        <v>353776.5</v>
      </c>
      <c r="P13" s="656"/>
      <c r="Q13" s="643">
        <v>19654.25</v>
      </c>
    </row>
    <row r="14" spans="1:17" ht="14.4" customHeight="1" x14ac:dyDescent="0.3">
      <c r="A14" s="638" t="s">
        <v>1728</v>
      </c>
      <c r="B14" s="639" t="s">
        <v>1227</v>
      </c>
      <c r="C14" s="639" t="s">
        <v>1730</v>
      </c>
      <c r="D14" s="639" t="s">
        <v>1734</v>
      </c>
      <c r="E14" s="639" t="s">
        <v>1123</v>
      </c>
      <c r="F14" s="642"/>
      <c r="G14" s="642"/>
      <c r="H14" s="639"/>
      <c r="I14" s="639"/>
      <c r="J14" s="642"/>
      <c r="K14" s="642"/>
      <c r="L14" s="639"/>
      <c r="M14" s="639"/>
      <c r="N14" s="642">
        <v>97</v>
      </c>
      <c r="O14" s="642">
        <v>1896635.12</v>
      </c>
      <c r="P14" s="656"/>
      <c r="Q14" s="643">
        <v>19552.939381443299</v>
      </c>
    </row>
    <row r="15" spans="1:17" ht="14.4" customHeight="1" x14ac:dyDescent="0.3">
      <c r="A15" s="638" t="s">
        <v>1728</v>
      </c>
      <c r="B15" s="639" t="s">
        <v>1227</v>
      </c>
      <c r="C15" s="639" t="s">
        <v>1730</v>
      </c>
      <c r="D15" s="639" t="s">
        <v>1735</v>
      </c>
      <c r="E15" s="639" t="s">
        <v>1123</v>
      </c>
      <c r="F15" s="642"/>
      <c r="G15" s="642"/>
      <c r="H15" s="639"/>
      <c r="I15" s="639"/>
      <c r="J15" s="642"/>
      <c r="K15" s="642"/>
      <c r="L15" s="639"/>
      <c r="M15" s="639"/>
      <c r="N15" s="642">
        <v>45</v>
      </c>
      <c r="O15" s="642">
        <v>442220.4</v>
      </c>
      <c r="P15" s="656"/>
      <c r="Q15" s="643">
        <v>9827.1200000000008</v>
      </c>
    </row>
    <row r="16" spans="1:17" ht="14.4" customHeight="1" x14ac:dyDescent="0.3">
      <c r="A16" s="638" t="s">
        <v>1728</v>
      </c>
      <c r="B16" s="639" t="s">
        <v>1227</v>
      </c>
      <c r="C16" s="639" t="s">
        <v>1723</v>
      </c>
      <c r="D16" s="639" t="s">
        <v>1738</v>
      </c>
      <c r="E16" s="639" t="s">
        <v>1739</v>
      </c>
      <c r="F16" s="642"/>
      <c r="G16" s="642"/>
      <c r="H16" s="639"/>
      <c r="I16" s="639"/>
      <c r="J16" s="642"/>
      <c r="K16" s="642"/>
      <c r="L16" s="639"/>
      <c r="M16" s="639"/>
      <c r="N16" s="642">
        <v>7</v>
      </c>
      <c r="O16" s="642">
        <v>210</v>
      </c>
      <c r="P16" s="656"/>
      <c r="Q16" s="643">
        <v>30</v>
      </c>
    </row>
    <row r="17" spans="1:17" ht="14.4" customHeight="1" x14ac:dyDescent="0.3">
      <c r="A17" s="638" t="s">
        <v>1728</v>
      </c>
      <c r="B17" s="639" t="s">
        <v>1227</v>
      </c>
      <c r="C17" s="639" t="s">
        <v>1723</v>
      </c>
      <c r="D17" s="639" t="s">
        <v>1740</v>
      </c>
      <c r="E17" s="639" t="s">
        <v>1741</v>
      </c>
      <c r="F17" s="642"/>
      <c r="G17" s="642"/>
      <c r="H17" s="639"/>
      <c r="I17" s="639"/>
      <c r="J17" s="642"/>
      <c r="K17" s="642"/>
      <c r="L17" s="639"/>
      <c r="M17" s="639"/>
      <c r="N17" s="642">
        <v>32</v>
      </c>
      <c r="O17" s="642">
        <v>2112</v>
      </c>
      <c r="P17" s="656"/>
      <c r="Q17" s="643">
        <v>66</v>
      </c>
    </row>
    <row r="18" spans="1:17" ht="14.4" customHeight="1" x14ac:dyDescent="0.3">
      <c r="A18" s="638" t="s">
        <v>1728</v>
      </c>
      <c r="B18" s="639" t="s">
        <v>1227</v>
      </c>
      <c r="C18" s="639" t="s">
        <v>1723</v>
      </c>
      <c r="D18" s="639" t="s">
        <v>1742</v>
      </c>
      <c r="E18" s="639" t="s">
        <v>1743</v>
      </c>
      <c r="F18" s="642"/>
      <c r="G18" s="642"/>
      <c r="H18" s="639"/>
      <c r="I18" s="639"/>
      <c r="J18" s="642"/>
      <c r="K18" s="642"/>
      <c r="L18" s="639"/>
      <c r="M18" s="639"/>
      <c r="N18" s="642">
        <v>254</v>
      </c>
      <c r="O18" s="642">
        <v>9398</v>
      </c>
      <c r="P18" s="656"/>
      <c r="Q18" s="643">
        <v>37</v>
      </c>
    </row>
    <row r="19" spans="1:17" ht="14.4" customHeight="1" x14ac:dyDescent="0.3">
      <c r="A19" s="638" t="s">
        <v>1728</v>
      </c>
      <c r="B19" s="639" t="s">
        <v>1227</v>
      </c>
      <c r="C19" s="639" t="s">
        <v>1723</v>
      </c>
      <c r="D19" s="639" t="s">
        <v>1744</v>
      </c>
      <c r="E19" s="639" t="s">
        <v>1745</v>
      </c>
      <c r="F19" s="642"/>
      <c r="G19" s="642"/>
      <c r="H19" s="639"/>
      <c r="I19" s="639"/>
      <c r="J19" s="642"/>
      <c r="K19" s="642"/>
      <c r="L19" s="639"/>
      <c r="M19" s="639"/>
      <c r="N19" s="642">
        <v>359</v>
      </c>
      <c r="O19" s="642">
        <v>63543</v>
      </c>
      <c r="P19" s="656"/>
      <c r="Q19" s="643">
        <v>177</v>
      </c>
    </row>
    <row r="20" spans="1:17" ht="14.4" customHeight="1" x14ac:dyDescent="0.3">
      <c r="A20" s="638" t="s">
        <v>1728</v>
      </c>
      <c r="B20" s="639" t="s">
        <v>1227</v>
      </c>
      <c r="C20" s="639" t="s">
        <v>1723</v>
      </c>
      <c r="D20" s="639" t="s">
        <v>1746</v>
      </c>
      <c r="E20" s="639" t="s">
        <v>1747</v>
      </c>
      <c r="F20" s="642"/>
      <c r="G20" s="642"/>
      <c r="H20" s="639"/>
      <c r="I20" s="639"/>
      <c r="J20" s="642"/>
      <c r="K20" s="642"/>
      <c r="L20" s="639"/>
      <c r="M20" s="639"/>
      <c r="N20" s="642">
        <v>122</v>
      </c>
      <c r="O20" s="642">
        <v>0</v>
      </c>
      <c r="P20" s="656"/>
      <c r="Q20" s="643">
        <v>0</v>
      </c>
    </row>
    <row r="21" spans="1:17" ht="14.4" customHeight="1" x14ac:dyDescent="0.3">
      <c r="A21" s="638" t="s">
        <v>1728</v>
      </c>
      <c r="B21" s="639" t="s">
        <v>1227</v>
      </c>
      <c r="C21" s="639" t="s">
        <v>1723</v>
      </c>
      <c r="D21" s="639" t="s">
        <v>1748</v>
      </c>
      <c r="E21" s="639" t="s">
        <v>1749</v>
      </c>
      <c r="F21" s="642"/>
      <c r="G21" s="642"/>
      <c r="H21" s="639"/>
      <c r="I21" s="639"/>
      <c r="J21" s="642"/>
      <c r="K21" s="642"/>
      <c r="L21" s="639"/>
      <c r="M21" s="639"/>
      <c r="N21" s="642">
        <v>588</v>
      </c>
      <c r="O21" s="642">
        <v>68208</v>
      </c>
      <c r="P21" s="656"/>
      <c r="Q21" s="643">
        <v>116</v>
      </c>
    </row>
    <row r="22" spans="1:17" ht="14.4" customHeight="1" x14ac:dyDescent="0.3">
      <c r="A22" s="638" t="s">
        <v>1728</v>
      </c>
      <c r="B22" s="639" t="s">
        <v>1227</v>
      </c>
      <c r="C22" s="639" t="s">
        <v>1723</v>
      </c>
      <c r="D22" s="639" t="s">
        <v>1724</v>
      </c>
      <c r="E22" s="639" t="s">
        <v>1725</v>
      </c>
      <c r="F22" s="642"/>
      <c r="G22" s="642"/>
      <c r="H22" s="639"/>
      <c r="I22" s="639"/>
      <c r="J22" s="642"/>
      <c r="K22" s="642"/>
      <c r="L22" s="639"/>
      <c r="M22" s="639"/>
      <c r="N22" s="642">
        <v>187</v>
      </c>
      <c r="O22" s="642">
        <v>66198</v>
      </c>
      <c r="P22" s="656"/>
      <c r="Q22" s="643">
        <v>354</v>
      </c>
    </row>
    <row r="23" spans="1:17" ht="14.4" customHeight="1" x14ac:dyDescent="0.3">
      <c r="A23" s="638" t="s">
        <v>1728</v>
      </c>
      <c r="B23" s="639" t="s">
        <v>1227</v>
      </c>
      <c r="C23" s="639" t="s">
        <v>1723</v>
      </c>
      <c r="D23" s="639" t="s">
        <v>1750</v>
      </c>
      <c r="E23" s="639" t="s">
        <v>1751</v>
      </c>
      <c r="F23" s="642"/>
      <c r="G23" s="642"/>
      <c r="H23" s="639"/>
      <c r="I23" s="639"/>
      <c r="J23" s="642"/>
      <c r="K23" s="642"/>
      <c r="L23" s="639"/>
      <c r="M23" s="639"/>
      <c r="N23" s="642">
        <v>24</v>
      </c>
      <c r="O23" s="642">
        <v>1776</v>
      </c>
      <c r="P23" s="656"/>
      <c r="Q23" s="643">
        <v>74</v>
      </c>
    </row>
    <row r="24" spans="1:17" ht="14.4" customHeight="1" x14ac:dyDescent="0.3">
      <c r="A24" s="638" t="s">
        <v>1728</v>
      </c>
      <c r="B24" s="639" t="s">
        <v>1227</v>
      </c>
      <c r="C24" s="639" t="s">
        <v>1723</v>
      </c>
      <c r="D24" s="639" t="s">
        <v>1752</v>
      </c>
      <c r="E24" s="639" t="s">
        <v>1753</v>
      </c>
      <c r="F24" s="642"/>
      <c r="G24" s="642"/>
      <c r="H24" s="639"/>
      <c r="I24" s="639"/>
      <c r="J24" s="642"/>
      <c r="K24" s="642"/>
      <c r="L24" s="639"/>
      <c r="M24" s="639"/>
      <c r="N24" s="642">
        <v>38</v>
      </c>
      <c r="O24" s="642">
        <v>26638</v>
      </c>
      <c r="P24" s="656"/>
      <c r="Q24" s="643">
        <v>701</v>
      </c>
    </row>
    <row r="25" spans="1:17" ht="14.4" customHeight="1" x14ac:dyDescent="0.3">
      <c r="A25" s="638" t="s">
        <v>1728</v>
      </c>
      <c r="B25" s="639" t="s">
        <v>1227</v>
      </c>
      <c r="C25" s="639" t="s">
        <v>1723</v>
      </c>
      <c r="D25" s="639" t="s">
        <v>1754</v>
      </c>
      <c r="E25" s="639" t="s">
        <v>1755</v>
      </c>
      <c r="F25" s="642"/>
      <c r="G25" s="642"/>
      <c r="H25" s="639"/>
      <c r="I25" s="639"/>
      <c r="J25" s="642"/>
      <c r="K25" s="642"/>
      <c r="L25" s="639"/>
      <c r="M25" s="639"/>
      <c r="N25" s="642">
        <v>1</v>
      </c>
      <c r="O25" s="642">
        <v>59</v>
      </c>
      <c r="P25" s="656"/>
      <c r="Q25" s="643">
        <v>59</v>
      </c>
    </row>
    <row r="26" spans="1:17" ht="14.4" customHeight="1" x14ac:dyDescent="0.3">
      <c r="A26" s="638" t="s">
        <v>1728</v>
      </c>
      <c r="B26" s="639" t="s">
        <v>553</v>
      </c>
      <c r="C26" s="639" t="s">
        <v>1730</v>
      </c>
      <c r="D26" s="639" t="s">
        <v>1735</v>
      </c>
      <c r="E26" s="639" t="s">
        <v>1123</v>
      </c>
      <c r="F26" s="642"/>
      <c r="G26" s="642"/>
      <c r="H26" s="639"/>
      <c r="I26" s="639"/>
      <c r="J26" s="642"/>
      <c r="K26" s="642"/>
      <c r="L26" s="639"/>
      <c r="M26" s="639"/>
      <c r="N26" s="642">
        <v>0</v>
      </c>
      <c r="O26" s="642">
        <v>0</v>
      </c>
      <c r="P26" s="656"/>
      <c r="Q26" s="643"/>
    </row>
    <row r="27" spans="1:17" ht="14.4" customHeight="1" x14ac:dyDescent="0.3">
      <c r="A27" s="638" t="s">
        <v>1728</v>
      </c>
      <c r="B27" s="639" t="s">
        <v>553</v>
      </c>
      <c r="C27" s="639" t="s">
        <v>1723</v>
      </c>
      <c r="D27" s="639" t="s">
        <v>1746</v>
      </c>
      <c r="E27" s="639" t="s">
        <v>1747</v>
      </c>
      <c r="F27" s="642"/>
      <c r="G27" s="642"/>
      <c r="H27" s="639"/>
      <c r="I27" s="639"/>
      <c r="J27" s="642"/>
      <c r="K27" s="642"/>
      <c r="L27" s="639"/>
      <c r="M27" s="639"/>
      <c r="N27" s="642">
        <v>0</v>
      </c>
      <c r="O27" s="642">
        <v>0</v>
      </c>
      <c r="P27" s="656"/>
      <c r="Q27" s="643"/>
    </row>
    <row r="28" spans="1:17" ht="14.4" customHeight="1" thickBot="1" x14ac:dyDescent="0.35">
      <c r="A28" s="644" t="s">
        <v>1728</v>
      </c>
      <c r="B28" s="645" t="s">
        <v>553</v>
      </c>
      <c r="C28" s="645" t="s">
        <v>1723</v>
      </c>
      <c r="D28" s="645" t="s">
        <v>1756</v>
      </c>
      <c r="E28" s="645" t="s">
        <v>1757</v>
      </c>
      <c r="F28" s="648"/>
      <c r="G28" s="648"/>
      <c r="H28" s="645"/>
      <c r="I28" s="645"/>
      <c r="J28" s="648"/>
      <c r="K28" s="648"/>
      <c r="L28" s="645"/>
      <c r="M28" s="645"/>
      <c r="N28" s="648">
        <v>0</v>
      </c>
      <c r="O28" s="648">
        <v>0</v>
      </c>
      <c r="P28" s="657"/>
      <c r="Q28" s="649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44" bestFit="1" customWidth="1"/>
    <col min="2" max="2" width="7.77734375" style="209" customWidth="1"/>
    <col min="3" max="3" width="0.109375" style="244" hidden="1" customWidth="1"/>
    <col min="4" max="4" width="7.77734375" style="209" customWidth="1"/>
    <col min="5" max="5" width="5.44140625" style="244" hidden="1" customWidth="1"/>
    <col min="6" max="6" width="7.77734375" style="209" customWidth="1"/>
    <col min="7" max="7" width="7.77734375" style="329" customWidth="1"/>
    <col min="8" max="8" width="7.77734375" style="209" customWidth="1"/>
    <col min="9" max="9" width="5.44140625" style="244" hidden="1" customWidth="1"/>
    <col min="10" max="10" width="7.77734375" style="209" customWidth="1"/>
    <col min="11" max="11" width="5.44140625" style="244" hidden="1" customWidth="1"/>
    <col min="12" max="12" width="7.77734375" style="209" customWidth="1"/>
    <col min="13" max="13" width="7.77734375" style="329" customWidth="1"/>
    <col min="14" max="14" width="7.77734375" style="209" customWidth="1"/>
    <col min="15" max="15" width="5" style="244" hidden="1" customWidth="1"/>
    <col min="16" max="16" width="7.77734375" style="209" customWidth="1"/>
    <col min="17" max="17" width="5" style="244" hidden="1" customWidth="1"/>
    <col min="18" max="18" width="7.77734375" style="209" customWidth="1"/>
    <col min="19" max="19" width="7.77734375" style="329" customWidth="1"/>
    <col min="20" max="16384" width="8.88671875" style="244"/>
  </cols>
  <sheetData>
    <row r="1" spans="1:19" ht="18.600000000000001" customHeight="1" thickBot="1" x14ac:dyDescent="0.4">
      <c r="A1" s="473" t="s">
        <v>149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</row>
    <row r="2" spans="1:19" ht="14.4" customHeight="1" thickBot="1" x14ac:dyDescent="0.35">
      <c r="A2" s="368" t="s">
        <v>301</v>
      </c>
      <c r="B2" s="341"/>
      <c r="C2" s="214"/>
      <c r="D2" s="341"/>
      <c r="E2" s="214"/>
      <c r="F2" s="341"/>
      <c r="G2" s="342"/>
      <c r="H2" s="341"/>
      <c r="I2" s="214"/>
      <c r="J2" s="341"/>
      <c r="K2" s="214"/>
      <c r="L2" s="341"/>
      <c r="M2" s="342"/>
      <c r="N2" s="341"/>
      <c r="O2" s="214"/>
      <c r="P2" s="341"/>
      <c r="Q2" s="214"/>
      <c r="R2" s="341"/>
      <c r="S2" s="342"/>
    </row>
    <row r="3" spans="1:19" ht="14.4" customHeight="1" thickBot="1" x14ac:dyDescent="0.35">
      <c r="A3" s="335" t="s">
        <v>151</v>
      </c>
      <c r="B3" s="336">
        <f>SUBTOTAL(9,B6:B1048576)</f>
        <v>42499560</v>
      </c>
      <c r="C3" s="337">
        <f t="shared" ref="C3:R3" si="0">SUBTOTAL(9,C6:C1048576)</f>
        <v>1</v>
      </c>
      <c r="D3" s="337">
        <f t="shared" si="0"/>
        <v>44666172</v>
      </c>
      <c r="E3" s="337">
        <f t="shared" si="0"/>
        <v>1.0509796336715016</v>
      </c>
      <c r="F3" s="337">
        <f t="shared" si="0"/>
        <v>40194139</v>
      </c>
      <c r="G3" s="340">
        <f>IF(B3&lt;&gt;0,F3/B3,"")</f>
        <v>0.94575423839682105</v>
      </c>
      <c r="H3" s="336">
        <f t="shared" si="0"/>
        <v>608668.53999999969</v>
      </c>
      <c r="I3" s="337">
        <f t="shared" si="0"/>
        <v>1</v>
      </c>
      <c r="J3" s="337">
        <f t="shared" si="0"/>
        <v>509012.39999999997</v>
      </c>
      <c r="K3" s="337">
        <f t="shared" si="0"/>
        <v>0.83627190588821998</v>
      </c>
      <c r="L3" s="337">
        <f t="shared" si="0"/>
        <v>335783.68999999989</v>
      </c>
      <c r="M3" s="338">
        <f>IF(H3&lt;&gt;0,L3/H3,"")</f>
        <v>0.55166920570594968</v>
      </c>
      <c r="N3" s="339">
        <f t="shared" si="0"/>
        <v>0</v>
      </c>
      <c r="O3" s="337">
        <f t="shared" si="0"/>
        <v>0</v>
      </c>
      <c r="P3" s="337">
        <f t="shared" si="0"/>
        <v>0</v>
      </c>
      <c r="Q3" s="337">
        <f t="shared" si="0"/>
        <v>0</v>
      </c>
      <c r="R3" s="337">
        <f t="shared" si="0"/>
        <v>147406.84000000003</v>
      </c>
      <c r="S3" s="338" t="str">
        <f>IF(N3&lt;&gt;0,R3/N3,"")</f>
        <v/>
      </c>
    </row>
    <row r="4" spans="1:19" ht="14.4" customHeight="1" x14ac:dyDescent="0.3">
      <c r="A4" s="527" t="s">
        <v>122</v>
      </c>
      <c r="B4" s="528" t="s">
        <v>116</v>
      </c>
      <c r="C4" s="529"/>
      <c r="D4" s="529"/>
      <c r="E4" s="529"/>
      <c r="F4" s="529"/>
      <c r="G4" s="530"/>
      <c r="H4" s="528" t="s">
        <v>117</v>
      </c>
      <c r="I4" s="529"/>
      <c r="J4" s="529"/>
      <c r="K4" s="529"/>
      <c r="L4" s="529"/>
      <c r="M4" s="530"/>
      <c r="N4" s="528" t="s">
        <v>118</v>
      </c>
      <c r="O4" s="529"/>
      <c r="P4" s="529"/>
      <c r="Q4" s="529"/>
      <c r="R4" s="529"/>
      <c r="S4" s="530"/>
    </row>
    <row r="5" spans="1:19" ht="14.4" customHeight="1" thickBot="1" x14ac:dyDescent="0.35">
      <c r="A5" s="744"/>
      <c r="B5" s="745">
        <v>2014</v>
      </c>
      <c r="C5" s="746"/>
      <c r="D5" s="746">
        <v>2015</v>
      </c>
      <c r="E5" s="746"/>
      <c r="F5" s="746">
        <v>2016</v>
      </c>
      <c r="G5" s="747" t="s">
        <v>2</v>
      </c>
      <c r="H5" s="745">
        <v>2014</v>
      </c>
      <c r="I5" s="746"/>
      <c r="J5" s="746">
        <v>2015</v>
      </c>
      <c r="K5" s="746"/>
      <c r="L5" s="746">
        <v>2016</v>
      </c>
      <c r="M5" s="747" t="s">
        <v>2</v>
      </c>
      <c r="N5" s="745">
        <v>2014</v>
      </c>
      <c r="O5" s="746"/>
      <c r="P5" s="746">
        <v>2015</v>
      </c>
      <c r="Q5" s="746"/>
      <c r="R5" s="746">
        <v>2016</v>
      </c>
      <c r="S5" s="747" t="s">
        <v>2</v>
      </c>
    </row>
    <row r="6" spans="1:19" ht="14.4" customHeight="1" x14ac:dyDescent="0.3">
      <c r="A6" s="665" t="s">
        <v>1759</v>
      </c>
      <c r="B6" s="748"/>
      <c r="C6" s="633"/>
      <c r="D6" s="748"/>
      <c r="E6" s="633"/>
      <c r="F6" s="748">
        <v>354</v>
      </c>
      <c r="G6" s="655"/>
      <c r="H6" s="748"/>
      <c r="I6" s="633"/>
      <c r="J6" s="748"/>
      <c r="K6" s="633"/>
      <c r="L6" s="748"/>
      <c r="M6" s="655"/>
      <c r="N6" s="748"/>
      <c r="O6" s="633"/>
      <c r="P6" s="748"/>
      <c r="Q6" s="633"/>
      <c r="R6" s="748"/>
      <c r="S6" s="679"/>
    </row>
    <row r="7" spans="1:19" ht="14.4" customHeight="1" x14ac:dyDescent="0.3">
      <c r="A7" s="666" t="s">
        <v>1200</v>
      </c>
      <c r="B7" s="752">
        <v>42499560</v>
      </c>
      <c r="C7" s="639">
        <v>1</v>
      </c>
      <c r="D7" s="752">
        <v>44666172</v>
      </c>
      <c r="E7" s="639">
        <v>1.0509796336715016</v>
      </c>
      <c r="F7" s="752">
        <v>40193254</v>
      </c>
      <c r="G7" s="656">
        <v>0.94573341465182226</v>
      </c>
      <c r="H7" s="752">
        <v>608668.53999999969</v>
      </c>
      <c r="I7" s="639">
        <v>1</v>
      </c>
      <c r="J7" s="752">
        <v>509012.39999999997</v>
      </c>
      <c r="K7" s="639">
        <v>0.83627190588821998</v>
      </c>
      <c r="L7" s="752">
        <v>365265.05999999988</v>
      </c>
      <c r="M7" s="656">
        <v>0.60010504239302409</v>
      </c>
      <c r="N7" s="752"/>
      <c r="O7" s="639"/>
      <c r="P7" s="752"/>
      <c r="Q7" s="639"/>
      <c r="R7" s="752">
        <v>49135.600000000006</v>
      </c>
      <c r="S7" s="680"/>
    </row>
    <row r="8" spans="1:19" ht="14.4" customHeight="1" thickBot="1" x14ac:dyDescent="0.35">
      <c r="A8" s="750" t="s">
        <v>1760</v>
      </c>
      <c r="B8" s="749"/>
      <c r="C8" s="645"/>
      <c r="D8" s="749"/>
      <c r="E8" s="645"/>
      <c r="F8" s="749">
        <v>531</v>
      </c>
      <c r="G8" s="657"/>
      <c r="H8" s="749"/>
      <c r="I8" s="645"/>
      <c r="J8" s="749"/>
      <c r="K8" s="645"/>
      <c r="L8" s="749">
        <v>-29481.37000000001</v>
      </c>
      <c r="M8" s="657"/>
      <c r="N8" s="749"/>
      <c r="O8" s="645"/>
      <c r="P8" s="749"/>
      <c r="Q8" s="645"/>
      <c r="R8" s="749">
        <v>98271.24</v>
      </c>
      <c r="S8" s="68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44" bestFit="1" customWidth="1"/>
    <col min="2" max="2" width="8.6640625" style="244" bestFit="1" customWidth="1"/>
    <col min="3" max="3" width="2.109375" style="244" bestFit="1" customWidth="1"/>
    <col min="4" max="4" width="8" style="244" bestFit="1" customWidth="1"/>
    <col min="5" max="5" width="52.88671875" style="244" bestFit="1" customWidth="1"/>
    <col min="6" max="7" width="11.109375" style="326" customWidth="1"/>
    <col min="8" max="9" width="9.33203125" style="326" hidden="1" customWidth="1"/>
    <col min="10" max="11" width="11.109375" style="326" customWidth="1"/>
    <col min="12" max="13" width="9.33203125" style="326" hidden="1" customWidth="1"/>
    <col min="14" max="15" width="11.109375" style="326" customWidth="1"/>
    <col min="16" max="16" width="11.109375" style="329" customWidth="1"/>
    <col min="17" max="17" width="11.109375" style="326" customWidth="1"/>
    <col min="18" max="16384" width="8.88671875" style="244"/>
  </cols>
  <sheetData>
    <row r="1" spans="1:17" ht="18.600000000000001" customHeight="1" thickBot="1" x14ac:dyDescent="0.4">
      <c r="A1" s="464" t="s">
        <v>1936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ht="14.4" customHeight="1" thickBot="1" x14ac:dyDescent="0.35">
      <c r="A2" s="368" t="s">
        <v>301</v>
      </c>
      <c r="B2" s="245"/>
      <c r="C2" s="245"/>
      <c r="D2" s="245"/>
      <c r="E2" s="245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4"/>
      <c r="Q2" s="343"/>
    </row>
    <row r="3" spans="1:17" ht="14.4" customHeight="1" thickBot="1" x14ac:dyDescent="0.35">
      <c r="E3" s="102" t="s">
        <v>151</v>
      </c>
      <c r="F3" s="201">
        <f t="shared" ref="F3:O3" si="0">SUBTOTAL(9,F6:F1048576)</f>
        <v>18135.120000000003</v>
      </c>
      <c r="G3" s="202">
        <f t="shared" si="0"/>
        <v>43108228.539999999</v>
      </c>
      <c r="H3" s="202"/>
      <c r="I3" s="202"/>
      <c r="J3" s="202">
        <f t="shared" si="0"/>
        <v>19253.320000000003</v>
      </c>
      <c r="K3" s="202">
        <f t="shared" si="0"/>
        <v>45175184.399999999</v>
      </c>
      <c r="L3" s="202"/>
      <c r="M3" s="202"/>
      <c r="N3" s="202">
        <f t="shared" si="0"/>
        <v>19501.54</v>
      </c>
      <c r="O3" s="202">
        <f t="shared" si="0"/>
        <v>40677329.529999994</v>
      </c>
      <c r="P3" s="71">
        <f>IF(G3=0,0,O3/G3)</f>
        <v>0.94360939680589329</v>
      </c>
      <c r="Q3" s="203">
        <f>IF(N3=0,0,O3/N3)</f>
        <v>2085.852170136307</v>
      </c>
    </row>
    <row r="4" spans="1:17" ht="14.4" customHeight="1" x14ac:dyDescent="0.3">
      <c r="A4" s="536" t="s">
        <v>67</v>
      </c>
      <c r="B4" s="535" t="s">
        <v>112</v>
      </c>
      <c r="C4" s="536" t="s">
        <v>113</v>
      </c>
      <c r="D4" s="545" t="s">
        <v>114</v>
      </c>
      <c r="E4" s="537" t="s">
        <v>74</v>
      </c>
      <c r="F4" s="543">
        <v>2014</v>
      </c>
      <c r="G4" s="544"/>
      <c r="H4" s="204"/>
      <c r="I4" s="204"/>
      <c r="J4" s="543">
        <v>2015</v>
      </c>
      <c r="K4" s="544"/>
      <c r="L4" s="204"/>
      <c r="M4" s="204"/>
      <c r="N4" s="543">
        <v>2016</v>
      </c>
      <c r="O4" s="544"/>
      <c r="P4" s="546" t="s">
        <v>2</v>
      </c>
      <c r="Q4" s="534" t="s">
        <v>115</v>
      </c>
    </row>
    <row r="5" spans="1:17" ht="14.4" customHeight="1" thickBot="1" x14ac:dyDescent="0.35">
      <c r="A5" s="757"/>
      <c r="B5" s="755"/>
      <c r="C5" s="757"/>
      <c r="D5" s="765"/>
      <c r="E5" s="759"/>
      <c r="F5" s="766" t="s">
        <v>84</v>
      </c>
      <c r="G5" s="767" t="s">
        <v>14</v>
      </c>
      <c r="H5" s="768"/>
      <c r="I5" s="768"/>
      <c r="J5" s="766" t="s">
        <v>84</v>
      </c>
      <c r="K5" s="767" t="s">
        <v>14</v>
      </c>
      <c r="L5" s="768"/>
      <c r="M5" s="768"/>
      <c r="N5" s="766" t="s">
        <v>84</v>
      </c>
      <c r="O5" s="767" t="s">
        <v>14</v>
      </c>
      <c r="P5" s="769"/>
      <c r="Q5" s="764"/>
    </row>
    <row r="6" spans="1:17" ht="14.4" customHeight="1" x14ac:dyDescent="0.3">
      <c r="A6" s="632" t="s">
        <v>1761</v>
      </c>
      <c r="B6" s="633" t="s">
        <v>1728</v>
      </c>
      <c r="C6" s="633" t="s">
        <v>1723</v>
      </c>
      <c r="D6" s="633" t="s">
        <v>1724</v>
      </c>
      <c r="E6" s="633" t="s">
        <v>1725</v>
      </c>
      <c r="F6" s="636"/>
      <c r="G6" s="636"/>
      <c r="H6" s="636"/>
      <c r="I6" s="636"/>
      <c r="J6" s="636"/>
      <c r="K6" s="636"/>
      <c r="L6" s="636"/>
      <c r="M6" s="636"/>
      <c r="N6" s="636">
        <v>1</v>
      </c>
      <c r="O6" s="636">
        <v>354</v>
      </c>
      <c r="P6" s="655"/>
      <c r="Q6" s="637">
        <v>354</v>
      </c>
    </row>
    <row r="7" spans="1:17" ht="14.4" customHeight="1" x14ac:dyDescent="0.3">
      <c r="A7" s="638" t="s">
        <v>537</v>
      </c>
      <c r="B7" s="639" t="s">
        <v>1728</v>
      </c>
      <c r="C7" s="639" t="s">
        <v>1730</v>
      </c>
      <c r="D7" s="639" t="s">
        <v>1734</v>
      </c>
      <c r="E7" s="639" t="s">
        <v>1123</v>
      </c>
      <c r="F7" s="642"/>
      <c r="G7" s="642"/>
      <c r="H7" s="642"/>
      <c r="I7" s="642"/>
      <c r="J7" s="642"/>
      <c r="K7" s="642"/>
      <c r="L7" s="642"/>
      <c r="M7" s="642"/>
      <c r="N7" s="642">
        <v>1</v>
      </c>
      <c r="O7" s="642">
        <v>19654.25</v>
      </c>
      <c r="P7" s="656"/>
      <c r="Q7" s="643">
        <v>19654.25</v>
      </c>
    </row>
    <row r="8" spans="1:17" ht="14.4" customHeight="1" x14ac:dyDescent="0.3">
      <c r="A8" s="638" t="s">
        <v>537</v>
      </c>
      <c r="B8" s="639" t="s">
        <v>1728</v>
      </c>
      <c r="C8" s="639" t="s">
        <v>1730</v>
      </c>
      <c r="D8" s="639" t="s">
        <v>1735</v>
      </c>
      <c r="E8" s="639" t="s">
        <v>1732</v>
      </c>
      <c r="F8" s="642"/>
      <c r="G8" s="642"/>
      <c r="H8" s="642"/>
      <c r="I8" s="642"/>
      <c r="J8" s="642"/>
      <c r="K8" s="642"/>
      <c r="L8" s="642"/>
      <c r="M8" s="642"/>
      <c r="N8" s="642">
        <v>0</v>
      </c>
      <c r="O8" s="642">
        <v>-1.8189894035458565E-12</v>
      </c>
      <c r="P8" s="656"/>
      <c r="Q8" s="643"/>
    </row>
    <row r="9" spans="1:17" ht="14.4" customHeight="1" x14ac:dyDescent="0.3">
      <c r="A9" s="638" t="s">
        <v>537</v>
      </c>
      <c r="B9" s="639" t="s">
        <v>1728</v>
      </c>
      <c r="C9" s="639" t="s">
        <v>1730</v>
      </c>
      <c r="D9" s="639" t="s">
        <v>1735</v>
      </c>
      <c r="E9" s="639" t="s">
        <v>1123</v>
      </c>
      <c r="F9" s="642"/>
      <c r="G9" s="642"/>
      <c r="H9" s="642"/>
      <c r="I9" s="642"/>
      <c r="J9" s="642"/>
      <c r="K9" s="642"/>
      <c r="L9" s="642"/>
      <c r="M9" s="642"/>
      <c r="N9" s="642">
        <v>6</v>
      </c>
      <c r="O9" s="642">
        <v>58962.720000000001</v>
      </c>
      <c r="P9" s="656"/>
      <c r="Q9" s="643">
        <v>9827.1200000000008</v>
      </c>
    </row>
    <row r="10" spans="1:17" ht="14.4" customHeight="1" x14ac:dyDescent="0.3">
      <c r="A10" s="638" t="s">
        <v>537</v>
      </c>
      <c r="B10" s="639" t="s">
        <v>1728</v>
      </c>
      <c r="C10" s="639" t="s">
        <v>1723</v>
      </c>
      <c r="D10" s="639" t="s">
        <v>1742</v>
      </c>
      <c r="E10" s="639" t="s">
        <v>1743</v>
      </c>
      <c r="F10" s="642"/>
      <c r="G10" s="642"/>
      <c r="H10" s="642"/>
      <c r="I10" s="642"/>
      <c r="J10" s="642"/>
      <c r="K10" s="642"/>
      <c r="L10" s="642"/>
      <c r="M10" s="642"/>
      <c r="N10" s="642">
        <v>9</v>
      </c>
      <c r="O10" s="642">
        <v>333</v>
      </c>
      <c r="P10" s="656"/>
      <c r="Q10" s="643">
        <v>37</v>
      </c>
    </row>
    <row r="11" spans="1:17" ht="14.4" customHeight="1" x14ac:dyDescent="0.3">
      <c r="A11" s="638" t="s">
        <v>537</v>
      </c>
      <c r="B11" s="639" t="s">
        <v>1728</v>
      </c>
      <c r="C11" s="639" t="s">
        <v>1723</v>
      </c>
      <c r="D11" s="639" t="s">
        <v>1744</v>
      </c>
      <c r="E11" s="639" t="s">
        <v>1745</v>
      </c>
      <c r="F11" s="642"/>
      <c r="G11" s="642"/>
      <c r="H11" s="642"/>
      <c r="I11" s="642"/>
      <c r="J11" s="642"/>
      <c r="K11" s="642"/>
      <c r="L11" s="642"/>
      <c r="M11" s="642"/>
      <c r="N11" s="642">
        <v>1</v>
      </c>
      <c r="O11" s="642">
        <v>177</v>
      </c>
      <c r="P11" s="656"/>
      <c r="Q11" s="643">
        <v>177</v>
      </c>
    </row>
    <row r="12" spans="1:17" ht="14.4" customHeight="1" x14ac:dyDescent="0.3">
      <c r="A12" s="638" t="s">
        <v>537</v>
      </c>
      <c r="B12" s="639" t="s">
        <v>1728</v>
      </c>
      <c r="C12" s="639" t="s">
        <v>1723</v>
      </c>
      <c r="D12" s="639" t="s">
        <v>1746</v>
      </c>
      <c r="E12" s="639" t="s">
        <v>1747</v>
      </c>
      <c r="F12" s="642"/>
      <c r="G12" s="642"/>
      <c r="H12" s="642"/>
      <c r="I12" s="642"/>
      <c r="J12" s="642"/>
      <c r="K12" s="642"/>
      <c r="L12" s="642"/>
      <c r="M12" s="642"/>
      <c r="N12" s="642">
        <v>7</v>
      </c>
      <c r="O12" s="642">
        <v>0</v>
      </c>
      <c r="P12" s="656"/>
      <c r="Q12" s="643">
        <v>0</v>
      </c>
    </row>
    <row r="13" spans="1:17" ht="14.4" customHeight="1" x14ac:dyDescent="0.3">
      <c r="A13" s="638" t="s">
        <v>537</v>
      </c>
      <c r="B13" s="639" t="s">
        <v>1728</v>
      </c>
      <c r="C13" s="639" t="s">
        <v>1723</v>
      </c>
      <c r="D13" s="639" t="s">
        <v>1724</v>
      </c>
      <c r="E13" s="639" t="s">
        <v>1725</v>
      </c>
      <c r="F13" s="642"/>
      <c r="G13" s="642"/>
      <c r="H13" s="642"/>
      <c r="I13" s="642"/>
      <c r="J13" s="642"/>
      <c r="K13" s="642"/>
      <c r="L13" s="642"/>
      <c r="M13" s="642"/>
      <c r="N13" s="642">
        <v>6</v>
      </c>
      <c r="O13" s="642">
        <v>2124</v>
      </c>
      <c r="P13" s="656"/>
      <c r="Q13" s="643">
        <v>354</v>
      </c>
    </row>
    <row r="14" spans="1:17" ht="14.4" customHeight="1" x14ac:dyDescent="0.3">
      <c r="A14" s="638" t="s">
        <v>537</v>
      </c>
      <c r="B14" s="639" t="s">
        <v>1762</v>
      </c>
      <c r="C14" s="639" t="s">
        <v>1730</v>
      </c>
      <c r="D14" s="639" t="s">
        <v>1763</v>
      </c>
      <c r="E14" s="639" t="s">
        <v>1764</v>
      </c>
      <c r="F14" s="642"/>
      <c r="G14" s="642"/>
      <c r="H14" s="642"/>
      <c r="I14" s="642"/>
      <c r="J14" s="642">
        <v>8</v>
      </c>
      <c r="K14" s="642">
        <v>3478.96</v>
      </c>
      <c r="L14" s="642"/>
      <c r="M14" s="642">
        <v>434.87</v>
      </c>
      <c r="N14" s="642">
        <v>2</v>
      </c>
      <c r="O14" s="642">
        <v>869.74</v>
      </c>
      <c r="P14" s="656"/>
      <c r="Q14" s="643">
        <v>434.87</v>
      </c>
    </row>
    <row r="15" spans="1:17" ht="14.4" customHeight="1" x14ac:dyDescent="0.3">
      <c r="A15" s="638" t="s">
        <v>537</v>
      </c>
      <c r="B15" s="639" t="s">
        <v>1762</v>
      </c>
      <c r="C15" s="639" t="s">
        <v>1730</v>
      </c>
      <c r="D15" s="639" t="s">
        <v>1765</v>
      </c>
      <c r="E15" s="639" t="s">
        <v>1766</v>
      </c>
      <c r="F15" s="642"/>
      <c r="G15" s="642"/>
      <c r="H15" s="642"/>
      <c r="I15" s="642"/>
      <c r="J15" s="642">
        <v>3</v>
      </c>
      <c r="K15" s="642">
        <v>529.23</v>
      </c>
      <c r="L15" s="642"/>
      <c r="M15" s="642">
        <v>176.41</v>
      </c>
      <c r="N15" s="642"/>
      <c r="O15" s="642"/>
      <c r="P15" s="656"/>
      <c r="Q15" s="643"/>
    </row>
    <row r="16" spans="1:17" ht="14.4" customHeight="1" x14ac:dyDescent="0.3">
      <c r="A16" s="638" t="s">
        <v>537</v>
      </c>
      <c r="B16" s="639" t="s">
        <v>1762</v>
      </c>
      <c r="C16" s="639" t="s">
        <v>1730</v>
      </c>
      <c r="D16" s="639" t="s">
        <v>1767</v>
      </c>
      <c r="E16" s="639" t="s">
        <v>1768</v>
      </c>
      <c r="F16" s="642"/>
      <c r="G16" s="642"/>
      <c r="H16" s="642"/>
      <c r="I16" s="642"/>
      <c r="J16" s="642">
        <v>1</v>
      </c>
      <c r="K16" s="642">
        <v>38.61</v>
      </c>
      <c r="L16" s="642"/>
      <c r="M16" s="642">
        <v>38.61</v>
      </c>
      <c r="N16" s="642"/>
      <c r="O16" s="642"/>
      <c r="P16" s="656"/>
      <c r="Q16" s="643"/>
    </row>
    <row r="17" spans="1:17" ht="14.4" customHeight="1" x14ac:dyDescent="0.3">
      <c r="A17" s="638" t="s">
        <v>537</v>
      </c>
      <c r="B17" s="639" t="s">
        <v>1762</v>
      </c>
      <c r="C17" s="639" t="s">
        <v>1730</v>
      </c>
      <c r="D17" s="639" t="s">
        <v>1769</v>
      </c>
      <c r="E17" s="639" t="s">
        <v>1770</v>
      </c>
      <c r="F17" s="642"/>
      <c r="G17" s="642"/>
      <c r="H17" s="642"/>
      <c r="I17" s="642"/>
      <c r="J17" s="642">
        <v>0.4</v>
      </c>
      <c r="K17" s="642">
        <v>18.16</v>
      </c>
      <c r="L17" s="642"/>
      <c r="M17" s="642">
        <v>45.4</v>
      </c>
      <c r="N17" s="642"/>
      <c r="O17" s="642"/>
      <c r="P17" s="656"/>
      <c r="Q17" s="643"/>
    </row>
    <row r="18" spans="1:17" ht="14.4" customHeight="1" x14ac:dyDescent="0.3">
      <c r="A18" s="638" t="s">
        <v>537</v>
      </c>
      <c r="B18" s="639" t="s">
        <v>1762</v>
      </c>
      <c r="C18" s="639" t="s">
        <v>1730</v>
      </c>
      <c r="D18" s="639" t="s">
        <v>1771</v>
      </c>
      <c r="E18" s="639" t="s">
        <v>1772</v>
      </c>
      <c r="F18" s="642"/>
      <c r="G18" s="642"/>
      <c r="H18" s="642"/>
      <c r="I18" s="642"/>
      <c r="J18" s="642">
        <v>0.1</v>
      </c>
      <c r="K18" s="642">
        <v>27.01</v>
      </c>
      <c r="L18" s="642"/>
      <c r="M18" s="642">
        <v>270.10000000000002</v>
      </c>
      <c r="N18" s="642"/>
      <c r="O18" s="642"/>
      <c r="P18" s="656"/>
      <c r="Q18" s="643"/>
    </row>
    <row r="19" spans="1:17" ht="14.4" customHeight="1" x14ac:dyDescent="0.3">
      <c r="A19" s="638" t="s">
        <v>537</v>
      </c>
      <c r="B19" s="639" t="s">
        <v>1762</v>
      </c>
      <c r="C19" s="639" t="s">
        <v>1730</v>
      </c>
      <c r="D19" s="639" t="s">
        <v>1773</v>
      </c>
      <c r="E19" s="639" t="s">
        <v>692</v>
      </c>
      <c r="F19" s="642">
        <v>3.5</v>
      </c>
      <c r="G19" s="642">
        <v>494.20000000000005</v>
      </c>
      <c r="H19" s="642">
        <v>1</v>
      </c>
      <c r="I19" s="642">
        <v>141.20000000000002</v>
      </c>
      <c r="J19" s="642">
        <v>4.8999999999999995</v>
      </c>
      <c r="K19" s="642">
        <v>661.99</v>
      </c>
      <c r="L19" s="642">
        <v>1.3395184135977336</v>
      </c>
      <c r="M19" s="642">
        <v>135.10000000000002</v>
      </c>
      <c r="N19" s="642">
        <v>3.1</v>
      </c>
      <c r="O19" s="642">
        <v>418.81</v>
      </c>
      <c r="P19" s="656">
        <v>0.84745042492917844</v>
      </c>
      <c r="Q19" s="643">
        <v>135.1</v>
      </c>
    </row>
    <row r="20" spans="1:17" ht="14.4" customHeight="1" x14ac:dyDescent="0.3">
      <c r="A20" s="638" t="s">
        <v>537</v>
      </c>
      <c r="B20" s="639" t="s">
        <v>1762</v>
      </c>
      <c r="C20" s="639" t="s">
        <v>1730</v>
      </c>
      <c r="D20" s="639" t="s">
        <v>1774</v>
      </c>
      <c r="E20" s="639" t="s">
        <v>671</v>
      </c>
      <c r="F20" s="642">
        <v>0.4</v>
      </c>
      <c r="G20" s="642">
        <v>100.6</v>
      </c>
      <c r="H20" s="642">
        <v>1</v>
      </c>
      <c r="I20" s="642">
        <v>251.49999999999997</v>
      </c>
      <c r="J20" s="642">
        <v>0.1</v>
      </c>
      <c r="K20" s="642">
        <v>24.05</v>
      </c>
      <c r="L20" s="642">
        <v>0.23906560636182905</v>
      </c>
      <c r="M20" s="642">
        <v>240.5</v>
      </c>
      <c r="N20" s="642"/>
      <c r="O20" s="642"/>
      <c r="P20" s="656"/>
      <c r="Q20" s="643"/>
    </row>
    <row r="21" spans="1:17" ht="14.4" customHeight="1" x14ac:dyDescent="0.3">
      <c r="A21" s="638" t="s">
        <v>537</v>
      </c>
      <c r="B21" s="639" t="s">
        <v>1762</v>
      </c>
      <c r="C21" s="639" t="s">
        <v>1730</v>
      </c>
      <c r="D21" s="639" t="s">
        <v>1775</v>
      </c>
      <c r="E21" s="639" t="s">
        <v>1776</v>
      </c>
      <c r="F21" s="642">
        <v>2</v>
      </c>
      <c r="G21" s="642">
        <v>71.22</v>
      </c>
      <c r="H21" s="642">
        <v>1</v>
      </c>
      <c r="I21" s="642">
        <v>35.61</v>
      </c>
      <c r="J21" s="642"/>
      <c r="K21" s="642"/>
      <c r="L21" s="642"/>
      <c r="M21" s="642"/>
      <c r="N21" s="642"/>
      <c r="O21" s="642"/>
      <c r="P21" s="656"/>
      <c r="Q21" s="643"/>
    </row>
    <row r="22" spans="1:17" ht="14.4" customHeight="1" x14ac:dyDescent="0.3">
      <c r="A22" s="638" t="s">
        <v>537</v>
      </c>
      <c r="B22" s="639" t="s">
        <v>1762</v>
      </c>
      <c r="C22" s="639" t="s">
        <v>1730</v>
      </c>
      <c r="D22" s="639" t="s">
        <v>1777</v>
      </c>
      <c r="E22" s="639" t="s">
        <v>1778</v>
      </c>
      <c r="F22" s="642">
        <v>0.4</v>
      </c>
      <c r="G22" s="642">
        <v>177.28</v>
      </c>
      <c r="H22" s="642">
        <v>1</v>
      </c>
      <c r="I22" s="642">
        <v>443.2</v>
      </c>
      <c r="J22" s="642"/>
      <c r="K22" s="642"/>
      <c r="L22" s="642"/>
      <c r="M22" s="642"/>
      <c r="N22" s="642">
        <v>0.8</v>
      </c>
      <c r="O22" s="642">
        <v>217.36</v>
      </c>
      <c r="P22" s="656">
        <v>1.2260830324909748</v>
      </c>
      <c r="Q22" s="643">
        <v>271.7</v>
      </c>
    </row>
    <row r="23" spans="1:17" ht="14.4" customHeight="1" x14ac:dyDescent="0.3">
      <c r="A23" s="638" t="s">
        <v>537</v>
      </c>
      <c r="B23" s="639" t="s">
        <v>1762</v>
      </c>
      <c r="C23" s="639" t="s">
        <v>1730</v>
      </c>
      <c r="D23" s="639" t="s">
        <v>1779</v>
      </c>
      <c r="E23" s="639" t="s">
        <v>1780</v>
      </c>
      <c r="F23" s="642"/>
      <c r="G23" s="642"/>
      <c r="H23" s="642"/>
      <c r="I23" s="642"/>
      <c r="J23" s="642">
        <v>3</v>
      </c>
      <c r="K23" s="642">
        <v>328.8</v>
      </c>
      <c r="L23" s="642"/>
      <c r="M23" s="642">
        <v>109.60000000000001</v>
      </c>
      <c r="N23" s="642"/>
      <c r="O23" s="642"/>
      <c r="P23" s="656"/>
      <c r="Q23" s="643"/>
    </row>
    <row r="24" spans="1:17" ht="14.4" customHeight="1" x14ac:dyDescent="0.3">
      <c r="A24" s="638" t="s">
        <v>537</v>
      </c>
      <c r="B24" s="639" t="s">
        <v>1762</v>
      </c>
      <c r="C24" s="639" t="s">
        <v>1730</v>
      </c>
      <c r="D24" s="639" t="s">
        <v>1781</v>
      </c>
      <c r="E24" s="639" t="s">
        <v>787</v>
      </c>
      <c r="F24" s="642"/>
      <c r="G24" s="642"/>
      <c r="H24" s="642"/>
      <c r="I24" s="642"/>
      <c r="J24" s="642">
        <v>5</v>
      </c>
      <c r="K24" s="642">
        <v>328.75</v>
      </c>
      <c r="L24" s="642"/>
      <c r="M24" s="642">
        <v>65.75</v>
      </c>
      <c r="N24" s="642"/>
      <c r="O24" s="642"/>
      <c r="P24" s="656"/>
      <c r="Q24" s="643"/>
    </row>
    <row r="25" spans="1:17" ht="14.4" customHeight="1" x14ac:dyDescent="0.3">
      <c r="A25" s="638" t="s">
        <v>537</v>
      </c>
      <c r="B25" s="639" t="s">
        <v>1762</v>
      </c>
      <c r="C25" s="639" t="s">
        <v>1730</v>
      </c>
      <c r="D25" s="639" t="s">
        <v>1782</v>
      </c>
      <c r="E25" s="639" t="s">
        <v>1164</v>
      </c>
      <c r="F25" s="642">
        <v>5.4</v>
      </c>
      <c r="G25" s="642">
        <v>261.36000000000007</v>
      </c>
      <c r="H25" s="642">
        <v>1</v>
      </c>
      <c r="I25" s="642">
        <v>48.400000000000013</v>
      </c>
      <c r="J25" s="642">
        <v>5.8</v>
      </c>
      <c r="K25" s="642">
        <v>268.53999999999996</v>
      </c>
      <c r="L25" s="642">
        <v>1.0274716865625952</v>
      </c>
      <c r="M25" s="642">
        <v>46.3</v>
      </c>
      <c r="N25" s="642">
        <v>3.8000000000000003</v>
      </c>
      <c r="O25" s="642">
        <v>175.94</v>
      </c>
      <c r="P25" s="656">
        <v>0.67317110498928656</v>
      </c>
      <c r="Q25" s="643">
        <v>46.3</v>
      </c>
    </row>
    <row r="26" spans="1:17" ht="14.4" customHeight="1" x14ac:dyDescent="0.3">
      <c r="A26" s="638" t="s">
        <v>537</v>
      </c>
      <c r="B26" s="639" t="s">
        <v>1762</v>
      </c>
      <c r="C26" s="639" t="s">
        <v>1730</v>
      </c>
      <c r="D26" s="639" t="s">
        <v>1783</v>
      </c>
      <c r="E26" s="639" t="s">
        <v>1784</v>
      </c>
      <c r="F26" s="642"/>
      <c r="G26" s="642"/>
      <c r="H26" s="642"/>
      <c r="I26" s="642"/>
      <c r="J26" s="642">
        <v>0.1</v>
      </c>
      <c r="K26" s="642">
        <v>9.27</v>
      </c>
      <c r="L26" s="642"/>
      <c r="M26" s="642">
        <v>92.699999999999989</v>
      </c>
      <c r="N26" s="642"/>
      <c r="O26" s="642"/>
      <c r="P26" s="656"/>
      <c r="Q26" s="643"/>
    </row>
    <row r="27" spans="1:17" ht="14.4" customHeight="1" x14ac:dyDescent="0.3">
      <c r="A27" s="638" t="s">
        <v>537</v>
      </c>
      <c r="B27" s="639" t="s">
        <v>1762</v>
      </c>
      <c r="C27" s="639" t="s">
        <v>1730</v>
      </c>
      <c r="D27" s="639" t="s">
        <v>1785</v>
      </c>
      <c r="E27" s="639" t="s">
        <v>1077</v>
      </c>
      <c r="F27" s="642"/>
      <c r="G27" s="642"/>
      <c r="H27" s="642"/>
      <c r="I27" s="642"/>
      <c r="J27" s="642">
        <v>2</v>
      </c>
      <c r="K27" s="642">
        <v>184.98</v>
      </c>
      <c r="L27" s="642"/>
      <c r="M27" s="642">
        <v>92.49</v>
      </c>
      <c r="N27" s="642"/>
      <c r="O27" s="642"/>
      <c r="P27" s="656"/>
      <c r="Q27" s="643"/>
    </row>
    <row r="28" spans="1:17" ht="14.4" customHeight="1" x14ac:dyDescent="0.3">
      <c r="A28" s="638" t="s">
        <v>537</v>
      </c>
      <c r="B28" s="639" t="s">
        <v>1762</v>
      </c>
      <c r="C28" s="639" t="s">
        <v>1730</v>
      </c>
      <c r="D28" s="639" t="s">
        <v>1786</v>
      </c>
      <c r="E28" s="639" t="s">
        <v>781</v>
      </c>
      <c r="F28" s="642"/>
      <c r="G28" s="642"/>
      <c r="H28" s="642"/>
      <c r="I28" s="642"/>
      <c r="J28" s="642">
        <v>1</v>
      </c>
      <c r="K28" s="642">
        <v>2064.6999999999998</v>
      </c>
      <c r="L28" s="642"/>
      <c r="M28" s="642">
        <v>2064.6999999999998</v>
      </c>
      <c r="N28" s="642">
        <v>0.4</v>
      </c>
      <c r="O28" s="642">
        <v>652.72</v>
      </c>
      <c r="P28" s="656"/>
      <c r="Q28" s="643">
        <v>1631.8</v>
      </c>
    </row>
    <row r="29" spans="1:17" ht="14.4" customHeight="1" x14ac:dyDescent="0.3">
      <c r="A29" s="638" t="s">
        <v>537</v>
      </c>
      <c r="B29" s="639" t="s">
        <v>1762</v>
      </c>
      <c r="C29" s="639" t="s">
        <v>1730</v>
      </c>
      <c r="D29" s="639" t="s">
        <v>1787</v>
      </c>
      <c r="E29" s="639" t="s">
        <v>921</v>
      </c>
      <c r="F29" s="642"/>
      <c r="G29" s="642"/>
      <c r="H29" s="642"/>
      <c r="I29" s="642"/>
      <c r="J29" s="642"/>
      <c r="K29" s="642"/>
      <c r="L29" s="642"/>
      <c r="M29" s="642"/>
      <c r="N29" s="642">
        <v>0.2</v>
      </c>
      <c r="O29" s="642">
        <v>153.12</v>
      </c>
      <c r="P29" s="656"/>
      <c r="Q29" s="643">
        <v>765.6</v>
      </c>
    </row>
    <row r="30" spans="1:17" ht="14.4" customHeight="1" x14ac:dyDescent="0.3">
      <c r="A30" s="638" t="s">
        <v>537</v>
      </c>
      <c r="B30" s="639" t="s">
        <v>1762</v>
      </c>
      <c r="C30" s="639" t="s">
        <v>1730</v>
      </c>
      <c r="D30" s="639" t="s">
        <v>1788</v>
      </c>
      <c r="E30" s="639" t="s">
        <v>1789</v>
      </c>
      <c r="F30" s="642"/>
      <c r="G30" s="642"/>
      <c r="H30" s="642"/>
      <c r="I30" s="642"/>
      <c r="J30" s="642">
        <v>0.08</v>
      </c>
      <c r="K30" s="642">
        <v>277.62</v>
      </c>
      <c r="L30" s="642"/>
      <c r="M30" s="642">
        <v>3470.25</v>
      </c>
      <c r="N30" s="642"/>
      <c r="O30" s="642"/>
      <c r="P30" s="656"/>
      <c r="Q30" s="643"/>
    </row>
    <row r="31" spans="1:17" ht="14.4" customHeight="1" x14ac:dyDescent="0.3">
      <c r="A31" s="638" t="s">
        <v>537</v>
      </c>
      <c r="B31" s="639" t="s">
        <v>1762</v>
      </c>
      <c r="C31" s="639" t="s">
        <v>1730</v>
      </c>
      <c r="D31" s="639" t="s">
        <v>1790</v>
      </c>
      <c r="E31" s="639" t="s">
        <v>1791</v>
      </c>
      <c r="F31" s="642">
        <v>1</v>
      </c>
      <c r="G31" s="642">
        <v>2211.6999999999998</v>
      </c>
      <c r="H31" s="642">
        <v>1</v>
      </c>
      <c r="I31" s="642">
        <v>2211.6999999999998</v>
      </c>
      <c r="J31" s="642"/>
      <c r="K31" s="642"/>
      <c r="L31" s="642"/>
      <c r="M31" s="642"/>
      <c r="N31" s="642"/>
      <c r="O31" s="642"/>
      <c r="P31" s="656"/>
      <c r="Q31" s="643"/>
    </row>
    <row r="32" spans="1:17" ht="14.4" customHeight="1" x14ac:dyDescent="0.3">
      <c r="A32" s="638" t="s">
        <v>537</v>
      </c>
      <c r="B32" s="639" t="s">
        <v>1762</v>
      </c>
      <c r="C32" s="639" t="s">
        <v>1792</v>
      </c>
      <c r="D32" s="639" t="s">
        <v>1793</v>
      </c>
      <c r="E32" s="639"/>
      <c r="F32" s="642">
        <v>3</v>
      </c>
      <c r="G32" s="642">
        <v>4842.1499999999996</v>
      </c>
      <c r="H32" s="642">
        <v>1</v>
      </c>
      <c r="I32" s="642">
        <v>1614.05</v>
      </c>
      <c r="J32" s="642">
        <v>4</v>
      </c>
      <c r="K32" s="642">
        <v>6456.2</v>
      </c>
      <c r="L32" s="642">
        <v>1.3333333333333335</v>
      </c>
      <c r="M32" s="642">
        <v>1614.05</v>
      </c>
      <c r="N32" s="642">
        <v>1</v>
      </c>
      <c r="O32" s="642">
        <v>1471.63</v>
      </c>
      <c r="P32" s="656">
        <v>0.30392077899280284</v>
      </c>
      <c r="Q32" s="643">
        <v>1471.63</v>
      </c>
    </row>
    <row r="33" spans="1:17" ht="14.4" customHeight="1" x14ac:dyDescent="0.3">
      <c r="A33" s="638" t="s">
        <v>537</v>
      </c>
      <c r="B33" s="639" t="s">
        <v>1762</v>
      </c>
      <c r="C33" s="639" t="s">
        <v>1792</v>
      </c>
      <c r="D33" s="639" t="s">
        <v>1794</v>
      </c>
      <c r="E33" s="639"/>
      <c r="F33" s="642"/>
      <c r="G33" s="642"/>
      <c r="H33" s="642"/>
      <c r="I33" s="642"/>
      <c r="J33" s="642">
        <v>1</v>
      </c>
      <c r="K33" s="642">
        <v>3905.48</v>
      </c>
      <c r="L33" s="642"/>
      <c r="M33" s="642">
        <v>3905.48</v>
      </c>
      <c r="N33" s="642"/>
      <c r="O33" s="642"/>
      <c r="P33" s="656"/>
      <c r="Q33" s="643"/>
    </row>
    <row r="34" spans="1:17" ht="14.4" customHeight="1" x14ac:dyDescent="0.3">
      <c r="A34" s="638" t="s">
        <v>537</v>
      </c>
      <c r="B34" s="639" t="s">
        <v>1762</v>
      </c>
      <c r="C34" s="639" t="s">
        <v>1792</v>
      </c>
      <c r="D34" s="639" t="s">
        <v>1795</v>
      </c>
      <c r="E34" s="639"/>
      <c r="F34" s="642">
        <v>3</v>
      </c>
      <c r="G34" s="642">
        <v>716.04</v>
      </c>
      <c r="H34" s="642">
        <v>1</v>
      </c>
      <c r="I34" s="642">
        <v>238.67999999999998</v>
      </c>
      <c r="J34" s="642">
        <v>5</v>
      </c>
      <c r="K34" s="642">
        <v>1193.4000000000001</v>
      </c>
      <c r="L34" s="642">
        <v>1.666666666666667</v>
      </c>
      <c r="M34" s="642">
        <v>238.68</v>
      </c>
      <c r="N34" s="642">
        <v>1</v>
      </c>
      <c r="O34" s="642">
        <v>241.81</v>
      </c>
      <c r="P34" s="656">
        <v>0.33770459750851911</v>
      </c>
      <c r="Q34" s="643">
        <v>241.81</v>
      </c>
    </row>
    <row r="35" spans="1:17" ht="14.4" customHeight="1" x14ac:dyDescent="0.3">
      <c r="A35" s="638" t="s">
        <v>537</v>
      </c>
      <c r="B35" s="639" t="s">
        <v>1762</v>
      </c>
      <c r="C35" s="639" t="s">
        <v>1723</v>
      </c>
      <c r="D35" s="639" t="s">
        <v>1796</v>
      </c>
      <c r="E35" s="639" t="s">
        <v>1797</v>
      </c>
      <c r="F35" s="642">
        <v>518</v>
      </c>
      <c r="G35" s="642">
        <v>90583</v>
      </c>
      <c r="H35" s="642">
        <v>1</v>
      </c>
      <c r="I35" s="642">
        <v>174.87065637065638</v>
      </c>
      <c r="J35" s="642">
        <v>417</v>
      </c>
      <c r="K35" s="642">
        <v>73809</v>
      </c>
      <c r="L35" s="642">
        <v>0.81482176567347075</v>
      </c>
      <c r="M35" s="642">
        <v>177</v>
      </c>
      <c r="N35" s="642">
        <v>526</v>
      </c>
      <c r="O35" s="642">
        <v>93102</v>
      </c>
      <c r="P35" s="656">
        <v>1.0278087499862005</v>
      </c>
      <c r="Q35" s="643">
        <v>177</v>
      </c>
    </row>
    <row r="36" spans="1:17" ht="14.4" customHeight="1" x14ac:dyDescent="0.3">
      <c r="A36" s="638" t="s">
        <v>537</v>
      </c>
      <c r="B36" s="639" t="s">
        <v>1762</v>
      </c>
      <c r="C36" s="639" t="s">
        <v>1723</v>
      </c>
      <c r="D36" s="639" t="s">
        <v>1798</v>
      </c>
      <c r="E36" s="639" t="s">
        <v>1799</v>
      </c>
      <c r="F36" s="642">
        <v>3</v>
      </c>
      <c r="G36" s="642">
        <v>564</v>
      </c>
      <c r="H36" s="642">
        <v>1</v>
      </c>
      <c r="I36" s="642">
        <v>188</v>
      </c>
      <c r="J36" s="642">
        <v>3</v>
      </c>
      <c r="K36" s="642">
        <v>567</v>
      </c>
      <c r="L36" s="642">
        <v>1.0053191489361701</v>
      </c>
      <c r="M36" s="642">
        <v>189</v>
      </c>
      <c r="N36" s="642">
        <v>1</v>
      </c>
      <c r="O36" s="642">
        <v>195</v>
      </c>
      <c r="P36" s="656">
        <v>0.34574468085106386</v>
      </c>
      <c r="Q36" s="643">
        <v>195</v>
      </c>
    </row>
    <row r="37" spans="1:17" ht="14.4" customHeight="1" x14ac:dyDescent="0.3">
      <c r="A37" s="638" t="s">
        <v>537</v>
      </c>
      <c r="B37" s="639" t="s">
        <v>1762</v>
      </c>
      <c r="C37" s="639" t="s">
        <v>1723</v>
      </c>
      <c r="D37" s="639" t="s">
        <v>1800</v>
      </c>
      <c r="E37" s="639" t="s">
        <v>1801</v>
      </c>
      <c r="F37" s="642"/>
      <c r="G37" s="642"/>
      <c r="H37" s="642"/>
      <c r="I37" s="642"/>
      <c r="J37" s="642">
        <v>3</v>
      </c>
      <c r="K37" s="642">
        <v>2955</v>
      </c>
      <c r="L37" s="642"/>
      <c r="M37" s="642">
        <v>985</v>
      </c>
      <c r="N37" s="642">
        <v>5</v>
      </c>
      <c r="O37" s="642">
        <v>5040</v>
      </c>
      <c r="P37" s="656"/>
      <c r="Q37" s="643">
        <v>1008</v>
      </c>
    </row>
    <row r="38" spans="1:17" ht="14.4" customHeight="1" x14ac:dyDescent="0.3">
      <c r="A38" s="638" t="s">
        <v>537</v>
      </c>
      <c r="B38" s="639" t="s">
        <v>1762</v>
      </c>
      <c r="C38" s="639" t="s">
        <v>1723</v>
      </c>
      <c r="D38" s="639" t="s">
        <v>1802</v>
      </c>
      <c r="E38" s="639" t="s">
        <v>1803</v>
      </c>
      <c r="F38" s="642">
        <v>0</v>
      </c>
      <c r="G38" s="642">
        <v>0</v>
      </c>
      <c r="H38" s="642"/>
      <c r="I38" s="642"/>
      <c r="J38" s="642">
        <v>0</v>
      </c>
      <c r="K38" s="642">
        <v>0</v>
      </c>
      <c r="L38" s="642"/>
      <c r="M38" s="642"/>
      <c r="N38" s="642">
        <v>0</v>
      </c>
      <c r="O38" s="642">
        <v>0</v>
      </c>
      <c r="P38" s="656"/>
      <c r="Q38" s="643"/>
    </row>
    <row r="39" spans="1:17" ht="14.4" customHeight="1" x14ac:dyDescent="0.3">
      <c r="A39" s="638" t="s">
        <v>537</v>
      </c>
      <c r="B39" s="639" t="s">
        <v>1762</v>
      </c>
      <c r="C39" s="639" t="s">
        <v>1723</v>
      </c>
      <c r="D39" s="639" t="s">
        <v>1804</v>
      </c>
      <c r="E39" s="639" t="s">
        <v>1805</v>
      </c>
      <c r="F39" s="642">
        <v>2156</v>
      </c>
      <c r="G39" s="642">
        <v>0</v>
      </c>
      <c r="H39" s="642"/>
      <c r="I39" s="642">
        <v>0</v>
      </c>
      <c r="J39" s="642">
        <v>2523</v>
      </c>
      <c r="K39" s="642">
        <v>0</v>
      </c>
      <c r="L39" s="642"/>
      <c r="M39" s="642">
        <v>0</v>
      </c>
      <c r="N39" s="642">
        <v>2720</v>
      </c>
      <c r="O39" s="642">
        <v>0</v>
      </c>
      <c r="P39" s="656"/>
      <c r="Q39" s="643">
        <v>0</v>
      </c>
    </row>
    <row r="40" spans="1:17" ht="14.4" customHeight="1" x14ac:dyDescent="0.3">
      <c r="A40" s="638" t="s">
        <v>537</v>
      </c>
      <c r="B40" s="639" t="s">
        <v>1762</v>
      </c>
      <c r="C40" s="639" t="s">
        <v>1723</v>
      </c>
      <c r="D40" s="639" t="s">
        <v>1806</v>
      </c>
      <c r="E40" s="639" t="s">
        <v>1807</v>
      </c>
      <c r="F40" s="642">
        <v>55</v>
      </c>
      <c r="G40" s="642">
        <v>0</v>
      </c>
      <c r="H40" s="642"/>
      <c r="I40" s="642">
        <v>0</v>
      </c>
      <c r="J40" s="642">
        <v>68</v>
      </c>
      <c r="K40" s="642">
        <v>0</v>
      </c>
      <c r="L40" s="642"/>
      <c r="M40" s="642">
        <v>0</v>
      </c>
      <c r="N40" s="642">
        <v>87</v>
      </c>
      <c r="O40" s="642">
        <v>0</v>
      </c>
      <c r="P40" s="656"/>
      <c r="Q40" s="643">
        <v>0</v>
      </c>
    </row>
    <row r="41" spans="1:17" ht="14.4" customHeight="1" x14ac:dyDescent="0.3">
      <c r="A41" s="638" t="s">
        <v>537</v>
      </c>
      <c r="B41" s="639" t="s">
        <v>1762</v>
      </c>
      <c r="C41" s="639" t="s">
        <v>1723</v>
      </c>
      <c r="D41" s="639" t="s">
        <v>1808</v>
      </c>
      <c r="E41" s="639" t="s">
        <v>1809</v>
      </c>
      <c r="F41" s="642"/>
      <c r="G41" s="642"/>
      <c r="H41" s="642"/>
      <c r="I41" s="642"/>
      <c r="J41" s="642">
        <v>1</v>
      </c>
      <c r="K41" s="642">
        <v>0</v>
      </c>
      <c r="L41" s="642"/>
      <c r="M41" s="642">
        <v>0</v>
      </c>
      <c r="N41" s="642"/>
      <c r="O41" s="642"/>
      <c r="P41" s="656"/>
      <c r="Q41" s="643"/>
    </row>
    <row r="42" spans="1:17" ht="14.4" customHeight="1" x14ac:dyDescent="0.3">
      <c r="A42" s="638" t="s">
        <v>537</v>
      </c>
      <c r="B42" s="639" t="s">
        <v>1762</v>
      </c>
      <c r="C42" s="639" t="s">
        <v>1723</v>
      </c>
      <c r="D42" s="639" t="s">
        <v>1810</v>
      </c>
      <c r="E42" s="639" t="s">
        <v>1811</v>
      </c>
      <c r="F42" s="642">
        <v>1226</v>
      </c>
      <c r="G42" s="642">
        <v>0</v>
      </c>
      <c r="H42" s="642"/>
      <c r="I42" s="642">
        <v>0</v>
      </c>
      <c r="J42" s="642">
        <v>1130</v>
      </c>
      <c r="K42" s="642">
        <v>0</v>
      </c>
      <c r="L42" s="642"/>
      <c r="M42" s="642">
        <v>0</v>
      </c>
      <c r="N42" s="642">
        <v>1225</v>
      </c>
      <c r="O42" s="642">
        <v>0</v>
      </c>
      <c r="P42" s="656"/>
      <c r="Q42" s="643">
        <v>0</v>
      </c>
    </row>
    <row r="43" spans="1:17" ht="14.4" customHeight="1" x14ac:dyDescent="0.3">
      <c r="A43" s="638" t="s">
        <v>537</v>
      </c>
      <c r="B43" s="639" t="s">
        <v>1762</v>
      </c>
      <c r="C43" s="639" t="s">
        <v>1723</v>
      </c>
      <c r="D43" s="639" t="s">
        <v>1724</v>
      </c>
      <c r="E43" s="639" t="s">
        <v>1725</v>
      </c>
      <c r="F43" s="642">
        <v>1372</v>
      </c>
      <c r="G43" s="642">
        <v>451326</v>
      </c>
      <c r="H43" s="642">
        <v>1</v>
      </c>
      <c r="I43" s="642">
        <v>328.95481049562682</v>
      </c>
      <c r="J43" s="642">
        <v>1315</v>
      </c>
      <c r="K43" s="642">
        <v>435265</v>
      </c>
      <c r="L43" s="642">
        <v>0.96441374970642069</v>
      </c>
      <c r="M43" s="642">
        <v>331</v>
      </c>
      <c r="N43" s="642">
        <v>1399</v>
      </c>
      <c r="O43" s="642">
        <v>495246</v>
      </c>
      <c r="P43" s="656">
        <v>1.0973132502891481</v>
      </c>
      <c r="Q43" s="643">
        <v>354</v>
      </c>
    </row>
    <row r="44" spans="1:17" ht="14.4" customHeight="1" x14ac:dyDescent="0.3">
      <c r="A44" s="638" t="s">
        <v>537</v>
      </c>
      <c r="B44" s="639" t="s">
        <v>1762</v>
      </c>
      <c r="C44" s="639" t="s">
        <v>1723</v>
      </c>
      <c r="D44" s="639" t="s">
        <v>1752</v>
      </c>
      <c r="E44" s="639" t="s">
        <v>1753</v>
      </c>
      <c r="F44" s="642">
        <v>1290</v>
      </c>
      <c r="G44" s="642">
        <v>837114</v>
      </c>
      <c r="H44" s="642">
        <v>1</v>
      </c>
      <c r="I44" s="642">
        <v>648.92558139534879</v>
      </c>
      <c r="J44" s="642">
        <v>1223</v>
      </c>
      <c r="K44" s="642">
        <v>798583</v>
      </c>
      <c r="L44" s="642">
        <v>0.95397162154736392</v>
      </c>
      <c r="M44" s="642">
        <v>652.97056418642683</v>
      </c>
      <c r="N44" s="642">
        <v>1305</v>
      </c>
      <c r="O44" s="642">
        <v>913893</v>
      </c>
      <c r="P44" s="656">
        <v>1.0917186906442851</v>
      </c>
      <c r="Q44" s="643">
        <v>700.30114942528735</v>
      </c>
    </row>
    <row r="45" spans="1:17" ht="14.4" customHeight="1" x14ac:dyDescent="0.3">
      <c r="A45" s="638" t="s">
        <v>537</v>
      </c>
      <c r="B45" s="639" t="s">
        <v>1762</v>
      </c>
      <c r="C45" s="639" t="s">
        <v>1723</v>
      </c>
      <c r="D45" s="639" t="s">
        <v>1812</v>
      </c>
      <c r="E45" s="639" t="s">
        <v>1813</v>
      </c>
      <c r="F45" s="642">
        <v>7</v>
      </c>
      <c r="G45" s="642">
        <v>0</v>
      </c>
      <c r="H45" s="642"/>
      <c r="I45" s="642">
        <v>0</v>
      </c>
      <c r="J45" s="642">
        <v>16</v>
      </c>
      <c r="K45" s="642">
        <v>0</v>
      </c>
      <c r="L45" s="642"/>
      <c r="M45" s="642">
        <v>0</v>
      </c>
      <c r="N45" s="642">
        <v>10</v>
      </c>
      <c r="O45" s="642">
        <v>0</v>
      </c>
      <c r="P45" s="656"/>
      <c r="Q45" s="643">
        <v>0</v>
      </c>
    </row>
    <row r="46" spans="1:17" ht="14.4" customHeight="1" x14ac:dyDescent="0.3">
      <c r="A46" s="638" t="s">
        <v>537</v>
      </c>
      <c r="B46" s="639" t="s">
        <v>1762</v>
      </c>
      <c r="C46" s="639" t="s">
        <v>1723</v>
      </c>
      <c r="D46" s="639" t="s">
        <v>1814</v>
      </c>
      <c r="E46" s="639" t="s">
        <v>1815</v>
      </c>
      <c r="F46" s="642">
        <v>233</v>
      </c>
      <c r="G46" s="642">
        <v>34065</v>
      </c>
      <c r="H46" s="642">
        <v>1</v>
      </c>
      <c r="I46" s="642">
        <v>146.20171673819743</v>
      </c>
      <c r="J46" s="642">
        <v>235</v>
      </c>
      <c r="K46" s="642">
        <v>34778</v>
      </c>
      <c r="L46" s="642">
        <v>1.0209305739028329</v>
      </c>
      <c r="M46" s="642">
        <v>147.99148936170212</v>
      </c>
      <c r="N46" s="642">
        <v>276</v>
      </c>
      <c r="O46" s="642">
        <v>43056</v>
      </c>
      <c r="P46" s="656">
        <v>1.2639365918097754</v>
      </c>
      <c r="Q46" s="643">
        <v>156</v>
      </c>
    </row>
    <row r="47" spans="1:17" ht="14.4" customHeight="1" x14ac:dyDescent="0.3">
      <c r="A47" s="638" t="s">
        <v>537</v>
      </c>
      <c r="B47" s="639" t="s">
        <v>1762</v>
      </c>
      <c r="C47" s="639" t="s">
        <v>1723</v>
      </c>
      <c r="D47" s="639" t="s">
        <v>1816</v>
      </c>
      <c r="E47" s="639" t="s">
        <v>1817</v>
      </c>
      <c r="F47" s="642">
        <v>5730</v>
      </c>
      <c r="G47" s="642">
        <v>5437770</v>
      </c>
      <c r="H47" s="642">
        <v>1</v>
      </c>
      <c r="I47" s="642">
        <v>949</v>
      </c>
      <c r="J47" s="642">
        <v>5874</v>
      </c>
      <c r="K47" s="642">
        <v>5574426</v>
      </c>
      <c r="L47" s="642">
        <v>1.0251308900523559</v>
      </c>
      <c r="M47" s="642">
        <v>949</v>
      </c>
      <c r="N47" s="642">
        <v>5731</v>
      </c>
      <c r="O47" s="642">
        <v>5438719</v>
      </c>
      <c r="P47" s="656">
        <v>1.000174520069808</v>
      </c>
      <c r="Q47" s="643">
        <v>949</v>
      </c>
    </row>
    <row r="48" spans="1:17" ht="14.4" customHeight="1" x14ac:dyDescent="0.3">
      <c r="A48" s="638" t="s">
        <v>537</v>
      </c>
      <c r="B48" s="639" t="s">
        <v>1762</v>
      </c>
      <c r="C48" s="639" t="s">
        <v>1723</v>
      </c>
      <c r="D48" s="639" t="s">
        <v>1818</v>
      </c>
      <c r="E48" s="639" t="s">
        <v>1819</v>
      </c>
      <c r="F48" s="642"/>
      <c r="G48" s="642"/>
      <c r="H48" s="642"/>
      <c r="I48" s="642"/>
      <c r="J48" s="642">
        <v>2</v>
      </c>
      <c r="K48" s="642">
        <v>0</v>
      </c>
      <c r="L48" s="642"/>
      <c r="M48" s="642">
        <v>0</v>
      </c>
      <c r="N48" s="642">
        <v>1</v>
      </c>
      <c r="O48" s="642">
        <v>0</v>
      </c>
      <c r="P48" s="656"/>
      <c r="Q48" s="643">
        <v>0</v>
      </c>
    </row>
    <row r="49" spans="1:17" ht="14.4" customHeight="1" x14ac:dyDescent="0.3">
      <c r="A49" s="638" t="s">
        <v>537</v>
      </c>
      <c r="B49" s="639" t="s">
        <v>1762</v>
      </c>
      <c r="C49" s="639" t="s">
        <v>1723</v>
      </c>
      <c r="D49" s="639" t="s">
        <v>1820</v>
      </c>
      <c r="E49" s="639" t="s">
        <v>1821</v>
      </c>
      <c r="F49" s="642"/>
      <c r="G49" s="642"/>
      <c r="H49" s="642"/>
      <c r="I49" s="642"/>
      <c r="J49" s="642">
        <v>1</v>
      </c>
      <c r="K49" s="642">
        <v>0</v>
      </c>
      <c r="L49" s="642"/>
      <c r="M49" s="642">
        <v>0</v>
      </c>
      <c r="N49" s="642">
        <v>1</v>
      </c>
      <c r="O49" s="642">
        <v>0</v>
      </c>
      <c r="P49" s="656"/>
      <c r="Q49" s="643">
        <v>0</v>
      </c>
    </row>
    <row r="50" spans="1:17" ht="14.4" customHeight="1" x14ac:dyDescent="0.3">
      <c r="A50" s="638" t="s">
        <v>537</v>
      </c>
      <c r="B50" s="639" t="s">
        <v>1822</v>
      </c>
      <c r="C50" s="639" t="s">
        <v>1730</v>
      </c>
      <c r="D50" s="639" t="s">
        <v>1823</v>
      </c>
      <c r="E50" s="639" t="s">
        <v>1824</v>
      </c>
      <c r="F50" s="642">
        <v>12</v>
      </c>
      <c r="G50" s="642">
        <v>1134.95</v>
      </c>
      <c r="H50" s="642">
        <v>1</v>
      </c>
      <c r="I50" s="642">
        <v>94.579166666666666</v>
      </c>
      <c r="J50" s="642"/>
      <c r="K50" s="642"/>
      <c r="L50" s="642"/>
      <c r="M50" s="642"/>
      <c r="N50" s="642"/>
      <c r="O50" s="642"/>
      <c r="P50" s="656"/>
      <c r="Q50" s="643"/>
    </row>
    <row r="51" spans="1:17" ht="14.4" customHeight="1" x14ac:dyDescent="0.3">
      <c r="A51" s="638" t="s">
        <v>537</v>
      </c>
      <c r="B51" s="639" t="s">
        <v>1822</v>
      </c>
      <c r="C51" s="639" t="s">
        <v>1730</v>
      </c>
      <c r="D51" s="639" t="s">
        <v>1763</v>
      </c>
      <c r="E51" s="639" t="s">
        <v>1764</v>
      </c>
      <c r="F51" s="642">
        <v>126</v>
      </c>
      <c r="G51" s="642">
        <v>67052.159999999989</v>
      </c>
      <c r="H51" s="642">
        <v>1</v>
      </c>
      <c r="I51" s="642">
        <v>532.16</v>
      </c>
      <c r="J51" s="642">
        <v>78.099999999999994</v>
      </c>
      <c r="K51" s="642">
        <v>34220.22</v>
      </c>
      <c r="L51" s="642">
        <v>0.5103522392119807</v>
      </c>
      <c r="M51" s="642">
        <v>438.15902688860439</v>
      </c>
      <c r="N51" s="642">
        <v>56.2</v>
      </c>
      <c r="O51" s="642">
        <v>24439.68</v>
      </c>
      <c r="P51" s="656">
        <v>0.3644875869770639</v>
      </c>
      <c r="Q51" s="643">
        <v>434.86975088967972</v>
      </c>
    </row>
    <row r="52" spans="1:17" ht="14.4" customHeight="1" x14ac:dyDescent="0.3">
      <c r="A52" s="638" t="s">
        <v>537</v>
      </c>
      <c r="B52" s="639" t="s">
        <v>1822</v>
      </c>
      <c r="C52" s="639" t="s">
        <v>1730</v>
      </c>
      <c r="D52" s="639" t="s">
        <v>1825</v>
      </c>
      <c r="E52" s="639" t="s">
        <v>1826</v>
      </c>
      <c r="F52" s="642">
        <v>1.2</v>
      </c>
      <c r="G52" s="642">
        <v>755.05</v>
      </c>
      <c r="H52" s="642">
        <v>1</v>
      </c>
      <c r="I52" s="642">
        <v>629.20833333333337</v>
      </c>
      <c r="J52" s="642">
        <v>0.5</v>
      </c>
      <c r="K52" s="642">
        <v>296.39999999999998</v>
      </c>
      <c r="L52" s="642">
        <v>0.39255678431891927</v>
      </c>
      <c r="M52" s="642">
        <v>592.79999999999995</v>
      </c>
      <c r="N52" s="642">
        <v>1.5</v>
      </c>
      <c r="O52" s="642">
        <v>661.8</v>
      </c>
      <c r="P52" s="656">
        <v>0.87649824514932784</v>
      </c>
      <c r="Q52" s="643">
        <v>441.2</v>
      </c>
    </row>
    <row r="53" spans="1:17" ht="14.4" customHeight="1" x14ac:dyDescent="0.3">
      <c r="A53" s="638" t="s">
        <v>537</v>
      </c>
      <c r="B53" s="639" t="s">
        <v>1822</v>
      </c>
      <c r="C53" s="639" t="s">
        <v>1730</v>
      </c>
      <c r="D53" s="639" t="s">
        <v>1827</v>
      </c>
      <c r="E53" s="639"/>
      <c r="F53" s="642">
        <v>23.900000000000002</v>
      </c>
      <c r="G53" s="642">
        <v>25795.27</v>
      </c>
      <c r="H53" s="642">
        <v>1</v>
      </c>
      <c r="I53" s="642">
        <v>1079.3</v>
      </c>
      <c r="J53" s="642"/>
      <c r="K53" s="642"/>
      <c r="L53" s="642"/>
      <c r="M53" s="642"/>
      <c r="N53" s="642"/>
      <c r="O53" s="642"/>
      <c r="P53" s="656"/>
      <c r="Q53" s="643"/>
    </row>
    <row r="54" spans="1:17" ht="14.4" customHeight="1" x14ac:dyDescent="0.3">
      <c r="A54" s="638" t="s">
        <v>537</v>
      </c>
      <c r="B54" s="639" t="s">
        <v>1822</v>
      </c>
      <c r="C54" s="639" t="s">
        <v>1730</v>
      </c>
      <c r="D54" s="639" t="s">
        <v>1765</v>
      </c>
      <c r="E54" s="639" t="s">
        <v>1766</v>
      </c>
      <c r="F54" s="642"/>
      <c r="G54" s="642"/>
      <c r="H54" s="642"/>
      <c r="I54" s="642"/>
      <c r="J54" s="642">
        <v>11</v>
      </c>
      <c r="K54" s="642">
        <v>1940.51</v>
      </c>
      <c r="L54" s="642"/>
      <c r="M54" s="642">
        <v>176.41</v>
      </c>
      <c r="N54" s="642"/>
      <c r="O54" s="642"/>
      <c r="P54" s="656"/>
      <c r="Q54" s="643"/>
    </row>
    <row r="55" spans="1:17" ht="14.4" customHeight="1" x14ac:dyDescent="0.3">
      <c r="A55" s="638" t="s">
        <v>537</v>
      </c>
      <c r="B55" s="639" t="s">
        <v>1822</v>
      </c>
      <c r="C55" s="639" t="s">
        <v>1730</v>
      </c>
      <c r="D55" s="639" t="s">
        <v>1828</v>
      </c>
      <c r="E55" s="639" t="s">
        <v>1829</v>
      </c>
      <c r="F55" s="642"/>
      <c r="G55" s="642"/>
      <c r="H55" s="642"/>
      <c r="I55" s="642"/>
      <c r="J55" s="642"/>
      <c r="K55" s="642"/>
      <c r="L55" s="642"/>
      <c r="M55" s="642"/>
      <c r="N55" s="642">
        <v>1.3</v>
      </c>
      <c r="O55" s="642">
        <v>899.86</v>
      </c>
      <c r="P55" s="656"/>
      <c r="Q55" s="643">
        <v>692.19999999999993</v>
      </c>
    </row>
    <row r="56" spans="1:17" ht="14.4" customHeight="1" x14ac:dyDescent="0.3">
      <c r="A56" s="638" t="s">
        <v>537</v>
      </c>
      <c r="B56" s="639" t="s">
        <v>1822</v>
      </c>
      <c r="C56" s="639" t="s">
        <v>1730</v>
      </c>
      <c r="D56" s="639" t="s">
        <v>1830</v>
      </c>
      <c r="E56" s="639" t="s">
        <v>1831</v>
      </c>
      <c r="F56" s="642">
        <v>9.5</v>
      </c>
      <c r="G56" s="642">
        <v>12293</v>
      </c>
      <c r="H56" s="642">
        <v>1</v>
      </c>
      <c r="I56" s="642">
        <v>1294</v>
      </c>
      <c r="J56" s="642">
        <v>1</v>
      </c>
      <c r="K56" s="642">
        <v>1237.74</v>
      </c>
      <c r="L56" s="642">
        <v>0.10068656959245099</v>
      </c>
      <c r="M56" s="642">
        <v>1237.74</v>
      </c>
      <c r="N56" s="642"/>
      <c r="O56" s="642"/>
      <c r="P56" s="656"/>
      <c r="Q56" s="643"/>
    </row>
    <row r="57" spans="1:17" ht="14.4" customHeight="1" x14ac:dyDescent="0.3">
      <c r="A57" s="638" t="s">
        <v>537</v>
      </c>
      <c r="B57" s="639" t="s">
        <v>1822</v>
      </c>
      <c r="C57" s="639" t="s">
        <v>1730</v>
      </c>
      <c r="D57" s="639" t="s">
        <v>1832</v>
      </c>
      <c r="E57" s="639" t="s">
        <v>1833</v>
      </c>
      <c r="F57" s="642">
        <v>26</v>
      </c>
      <c r="G57" s="642">
        <v>3499.34</v>
      </c>
      <c r="H57" s="642">
        <v>1</v>
      </c>
      <c r="I57" s="642">
        <v>134.59</v>
      </c>
      <c r="J57" s="642">
        <v>27</v>
      </c>
      <c r="K57" s="642">
        <v>3481.83</v>
      </c>
      <c r="L57" s="642">
        <v>0.99499619928329341</v>
      </c>
      <c r="M57" s="642">
        <v>128.95666666666668</v>
      </c>
      <c r="N57" s="642">
        <v>26</v>
      </c>
      <c r="O57" s="642">
        <v>3347.24</v>
      </c>
      <c r="P57" s="656">
        <v>0.95653466082175487</v>
      </c>
      <c r="Q57" s="643">
        <v>128.73999999999998</v>
      </c>
    </row>
    <row r="58" spans="1:17" ht="14.4" customHeight="1" x14ac:dyDescent="0.3">
      <c r="A58" s="638" t="s">
        <v>537</v>
      </c>
      <c r="B58" s="639" t="s">
        <v>1822</v>
      </c>
      <c r="C58" s="639" t="s">
        <v>1730</v>
      </c>
      <c r="D58" s="639" t="s">
        <v>1767</v>
      </c>
      <c r="E58" s="639" t="s">
        <v>1768</v>
      </c>
      <c r="F58" s="642"/>
      <c r="G58" s="642"/>
      <c r="H58" s="642"/>
      <c r="I58" s="642"/>
      <c r="J58" s="642">
        <v>4</v>
      </c>
      <c r="K58" s="642">
        <v>154.44</v>
      </c>
      <c r="L58" s="642"/>
      <c r="M58" s="642">
        <v>38.61</v>
      </c>
      <c r="N58" s="642"/>
      <c r="O58" s="642"/>
      <c r="P58" s="656"/>
      <c r="Q58" s="643"/>
    </row>
    <row r="59" spans="1:17" ht="14.4" customHeight="1" x14ac:dyDescent="0.3">
      <c r="A59" s="638" t="s">
        <v>537</v>
      </c>
      <c r="B59" s="639" t="s">
        <v>1822</v>
      </c>
      <c r="C59" s="639" t="s">
        <v>1730</v>
      </c>
      <c r="D59" s="639" t="s">
        <v>1769</v>
      </c>
      <c r="E59" s="639" t="s">
        <v>1770</v>
      </c>
      <c r="F59" s="642">
        <v>1.3</v>
      </c>
      <c r="G59" s="642">
        <v>61.75</v>
      </c>
      <c r="H59" s="642">
        <v>1</v>
      </c>
      <c r="I59" s="642">
        <v>47.5</v>
      </c>
      <c r="J59" s="642">
        <v>5.3000000000000007</v>
      </c>
      <c r="K59" s="642">
        <v>241.94000000000003</v>
      </c>
      <c r="L59" s="642">
        <v>3.9180566801619436</v>
      </c>
      <c r="M59" s="642">
        <v>45.64905660377358</v>
      </c>
      <c r="N59" s="642">
        <v>5.0999999999999996</v>
      </c>
      <c r="O59" s="642">
        <v>218.28</v>
      </c>
      <c r="P59" s="656">
        <v>3.5348987854251011</v>
      </c>
      <c r="Q59" s="643">
        <v>42.800000000000004</v>
      </c>
    </row>
    <row r="60" spans="1:17" ht="14.4" customHeight="1" x14ac:dyDescent="0.3">
      <c r="A60" s="638" t="s">
        <v>537</v>
      </c>
      <c r="B60" s="639" t="s">
        <v>1822</v>
      </c>
      <c r="C60" s="639" t="s">
        <v>1730</v>
      </c>
      <c r="D60" s="639" t="s">
        <v>1774</v>
      </c>
      <c r="E60" s="639" t="s">
        <v>671</v>
      </c>
      <c r="F60" s="642">
        <v>0.6</v>
      </c>
      <c r="G60" s="642">
        <v>150.9</v>
      </c>
      <c r="H60" s="642">
        <v>1</v>
      </c>
      <c r="I60" s="642">
        <v>251.50000000000003</v>
      </c>
      <c r="J60" s="642">
        <v>1.1000000000000001</v>
      </c>
      <c r="K60" s="642">
        <v>264.63</v>
      </c>
      <c r="L60" s="642">
        <v>1.7536779324055665</v>
      </c>
      <c r="M60" s="642">
        <v>240.57272727272724</v>
      </c>
      <c r="N60" s="642">
        <v>1.6</v>
      </c>
      <c r="O60" s="642">
        <v>217.36</v>
      </c>
      <c r="P60" s="656">
        <v>1.4404241219350564</v>
      </c>
      <c r="Q60" s="643">
        <v>135.85</v>
      </c>
    </row>
    <row r="61" spans="1:17" ht="14.4" customHeight="1" x14ac:dyDescent="0.3">
      <c r="A61" s="638" t="s">
        <v>537</v>
      </c>
      <c r="B61" s="639" t="s">
        <v>1822</v>
      </c>
      <c r="C61" s="639" t="s">
        <v>1730</v>
      </c>
      <c r="D61" s="639" t="s">
        <v>1775</v>
      </c>
      <c r="E61" s="639" t="s">
        <v>1776</v>
      </c>
      <c r="F61" s="642">
        <v>14</v>
      </c>
      <c r="G61" s="642">
        <v>498.53999999999996</v>
      </c>
      <c r="H61" s="642">
        <v>1</v>
      </c>
      <c r="I61" s="642">
        <v>35.61</v>
      </c>
      <c r="J61" s="642"/>
      <c r="K61" s="642"/>
      <c r="L61" s="642"/>
      <c r="M61" s="642"/>
      <c r="N61" s="642"/>
      <c r="O61" s="642"/>
      <c r="P61" s="656"/>
      <c r="Q61" s="643"/>
    </row>
    <row r="62" spans="1:17" ht="14.4" customHeight="1" x14ac:dyDescent="0.3">
      <c r="A62" s="638" t="s">
        <v>537</v>
      </c>
      <c r="B62" s="639" t="s">
        <v>1822</v>
      </c>
      <c r="C62" s="639" t="s">
        <v>1730</v>
      </c>
      <c r="D62" s="639" t="s">
        <v>1834</v>
      </c>
      <c r="E62" s="639" t="s">
        <v>1835</v>
      </c>
      <c r="F62" s="642">
        <v>1.5</v>
      </c>
      <c r="G62" s="642">
        <v>3304.65</v>
      </c>
      <c r="H62" s="642">
        <v>1</v>
      </c>
      <c r="I62" s="642">
        <v>2203.1</v>
      </c>
      <c r="J62" s="642">
        <v>2.52</v>
      </c>
      <c r="K62" s="642">
        <v>5358.29</v>
      </c>
      <c r="L62" s="642">
        <v>1.6214394867837743</v>
      </c>
      <c r="M62" s="642">
        <v>2126.3055555555557</v>
      </c>
      <c r="N62" s="642">
        <v>1.1000000000000001</v>
      </c>
      <c r="O62" s="642">
        <v>1794.98</v>
      </c>
      <c r="P62" s="656">
        <v>0.54316796029836745</v>
      </c>
      <c r="Q62" s="643">
        <v>1631.8</v>
      </c>
    </row>
    <row r="63" spans="1:17" ht="14.4" customHeight="1" x14ac:dyDescent="0.3">
      <c r="A63" s="638" t="s">
        <v>537</v>
      </c>
      <c r="B63" s="639" t="s">
        <v>1822</v>
      </c>
      <c r="C63" s="639" t="s">
        <v>1730</v>
      </c>
      <c r="D63" s="639" t="s">
        <v>1836</v>
      </c>
      <c r="E63" s="639" t="s">
        <v>952</v>
      </c>
      <c r="F63" s="642">
        <v>12.5</v>
      </c>
      <c r="G63" s="642">
        <v>203887.63999999998</v>
      </c>
      <c r="H63" s="642">
        <v>1</v>
      </c>
      <c r="I63" s="642">
        <v>16311.011199999999</v>
      </c>
      <c r="J63" s="642">
        <v>14.5</v>
      </c>
      <c r="K63" s="642">
        <v>226522.33000000002</v>
      </c>
      <c r="L63" s="642">
        <v>1.1110155083456752</v>
      </c>
      <c r="M63" s="642">
        <v>15622.229655172416</v>
      </c>
      <c r="N63" s="642">
        <v>10.7</v>
      </c>
      <c r="O63" s="642">
        <v>166993.54999999999</v>
      </c>
      <c r="P63" s="656">
        <v>0.8190469515464498</v>
      </c>
      <c r="Q63" s="643">
        <v>15606.873831775702</v>
      </c>
    </row>
    <row r="64" spans="1:17" ht="14.4" customHeight="1" x14ac:dyDescent="0.3">
      <c r="A64" s="638" t="s">
        <v>537</v>
      </c>
      <c r="B64" s="639" t="s">
        <v>1822</v>
      </c>
      <c r="C64" s="639" t="s">
        <v>1730</v>
      </c>
      <c r="D64" s="639" t="s">
        <v>1777</v>
      </c>
      <c r="E64" s="639" t="s">
        <v>1778</v>
      </c>
      <c r="F64" s="642">
        <v>1.4</v>
      </c>
      <c r="G64" s="642">
        <v>620.48</v>
      </c>
      <c r="H64" s="642">
        <v>1</v>
      </c>
      <c r="I64" s="642">
        <v>443.20000000000005</v>
      </c>
      <c r="J64" s="642">
        <v>5.6999999999999993</v>
      </c>
      <c r="K64" s="642">
        <v>2424.14</v>
      </c>
      <c r="L64" s="642">
        <v>3.9068785456420834</v>
      </c>
      <c r="M64" s="642">
        <v>425.28771929824563</v>
      </c>
      <c r="N64" s="642">
        <v>1.5</v>
      </c>
      <c r="O64" s="642">
        <v>407.55</v>
      </c>
      <c r="P64" s="656">
        <v>0.65683019597730785</v>
      </c>
      <c r="Q64" s="643">
        <v>271.7</v>
      </c>
    </row>
    <row r="65" spans="1:17" ht="14.4" customHeight="1" x14ac:dyDescent="0.3">
      <c r="A65" s="638" t="s">
        <v>537</v>
      </c>
      <c r="B65" s="639" t="s">
        <v>1822</v>
      </c>
      <c r="C65" s="639" t="s">
        <v>1730</v>
      </c>
      <c r="D65" s="639" t="s">
        <v>1779</v>
      </c>
      <c r="E65" s="639" t="s">
        <v>1780</v>
      </c>
      <c r="F65" s="642">
        <v>9</v>
      </c>
      <c r="G65" s="642">
        <v>1031.22</v>
      </c>
      <c r="H65" s="642">
        <v>1</v>
      </c>
      <c r="I65" s="642">
        <v>114.58</v>
      </c>
      <c r="J65" s="642">
        <v>21</v>
      </c>
      <c r="K65" s="642">
        <v>2321.52</v>
      </c>
      <c r="L65" s="642">
        <v>2.2512363996043518</v>
      </c>
      <c r="M65" s="642">
        <v>110.54857142857142</v>
      </c>
      <c r="N65" s="642">
        <v>13</v>
      </c>
      <c r="O65" s="642">
        <v>1424.8</v>
      </c>
      <c r="P65" s="656">
        <v>1.3816644362987529</v>
      </c>
      <c r="Q65" s="643">
        <v>109.6</v>
      </c>
    </row>
    <row r="66" spans="1:17" ht="14.4" customHeight="1" x14ac:dyDescent="0.3">
      <c r="A66" s="638" t="s">
        <v>537</v>
      </c>
      <c r="B66" s="639" t="s">
        <v>1822</v>
      </c>
      <c r="C66" s="639" t="s">
        <v>1730</v>
      </c>
      <c r="D66" s="639" t="s">
        <v>1781</v>
      </c>
      <c r="E66" s="639" t="s">
        <v>787</v>
      </c>
      <c r="F66" s="642"/>
      <c r="G66" s="642"/>
      <c r="H66" s="642"/>
      <c r="I66" s="642"/>
      <c r="J66" s="642"/>
      <c r="K66" s="642"/>
      <c r="L66" s="642"/>
      <c r="M66" s="642"/>
      <c r="N66" s="642">
        <v>4</v>
      </c>
      <c r="O66" s="642">
        <v>263</v>
      </c>
      <c r="P66" s="656"/>
      <c r="Q66" s="643">
        <v>65.75</v>
      </c>
    </row>
    <row r="67" spans="1:17" ht="14.4" customHeight="1" x14ac:dyDescent="0.3">
      <c r="A67" s="638" t="s">
        <v>537</v>
      </c>
      <c r="B67" s="639" t="s">
        <v>1822</v>
      </c>
      <c r="C67" s="639" t="s">
        <v>1730</v>
      </c>
      <c r="D67" s="639" t="s">
        <v>1782</v>
      </c>
      <c r="E67" s="639" t="s">
        <v>1164</v>
      </c>
      <c r="F67" s="642">
        <v>23.700000000000003</v>
      </c>
      <c r="G67" s="642">
        <v>1147.17</v>
      </c>
      <c r="H67" s="642">
        <v>1</v>
      </c>
      <c r="I67" s="642">
        <v>48.403797468354426</v>
      </c>
      <c r="J67" s="642">
        <v>29.5</v>
      </c>
      <c r="K67" s="642">
        <v>1369.0900000000001</v>
      </c>
      <c r="L67" s="642">
        <v>1.193449968182571</v>
      </c>
      <c r="M67" s="642">
        <v>46.409830508474585</v>
      </c>
      <c r="N67" s="642">
        <v>19.499999999999996</v>
      </c>
      <c r="O67" s="642">
        <v>902.85</v>
      </c>
      <c r="P67" s="656">
        <v>0.78702371923951986</v>
      </c>
      <c r="Q67" s="643">
        <v>46.300000000000011</v>
      </c>
    </row>
    <row r="68" spans="1:17" ht="14.4" customHeight="1" x14ac:dyDescent="0.3">
      <c r="A68" s="638" t="s">
        <v>537</v>
      </c>
      <c r="B68" s="639" t="s">
        <v>1822</v>
      </c>
      <c r="C68" s="639" t="s">
        <v>1730</v>
      </c>
      <c r="D68" s="639" t="s">
        <v>1837</v>
      </c>
      <c r="E68" s="639" t="s">
        <v>1174</v>
      </c>
      <c r="F68" s="642">
        <v>0.7</v>
      </c>
      <c r="G68" s="642">
        <v>423.57</v>
      </c>
      <c r="H68" s="642">
        <v>1</v>
      </c>
      <c r="I68" s="642">
        <v>605.1</v>
      </c>
      <c r="J68" s="642">
        <v>0.7</v>
      </c>
      <c r="K68" s="642">
        <v>419.86</v>
      </c>
      <c r="L68" s="642">
        <v>0.99124111717071561</v>
      </c>
      <c r="M68" s="642">
        <v>599.80000000000007</v>
      </c>
      <c r="N68" s="642">
        <v>0.7</v>
      </c>
      <c r="O68" s="642">
        <v>419.86</v>
      </c>
      <c r="P68" s="656">
        <v>0.99124111717071561</v>
      </c>
      <c r="Q68" s="643">
        <v>599.80000000000007</v>
      </c>
    </row>
    <row r="69" spans="1:17" ht="14.4" customHeight="1" x14ac:dyDescent="0.3">
      <c r="A69" s="638" t="s">
        <v>537</v>
      </c>
      <c r="B69" s="639" t="s">
        <v>1822</v>
      </c>
      <c r="C69" s="639" t="s">
        <v>1730</v>
      </c>
      <c r="D69" s="639" t="s">
        <v>1785</v>
      </c>
      <c r="E69" s="639" t="s">
        <v>1077</v>
      </c>
      <c r="F69" s="642">
        <v>14</v>
      </c>
      <c r="G69" s="642">
        <v>1353.66</v>
      </c>
      <c r="H69" s="642">
        <v>1</v>
      </c>
      <c r="I69" s="642">
        <v>96.690000000000012</v>
      </c>
      <c r="J69" s="642">
        <v>44</v>
      </c>
      <c r="K69" s="642">
        <v>4069.5599999999995</v>
      </c>
      <c r="L69" s="642">
        <v>3.0063383715260841</v>
      </c>
      <c r="M69" s="642">
        <v>92.49</v>
      </c>
      <c r="N69" s="642">
        <v>30</v>
      </c>
      <c r="O69" s="642">
        <v>2774.7</v>
      </c>
      <c r="P69" s="656">
        <v>2.0497761624041484</v>
      </c>
      <c r="Q69" s="643">
        <v>92.49</v>
      </c>
    </row>
    <row r="70" spans="1:17" ht="14.4" customHeight="1" x14ac:dyDescent="0.3">
      <c r="A70" s="638" t="s">
        <v>537</v>
      </c>
      <c r="B70" s="639" t="s">
        <v>1822</v>
      </c>
      <c r="C70" s="639" t="s">
        <v>1730</v>
      </c>
      <c r="D70" s="639" t="s">
        <v>1786</v>
      </c>
      <c r="E70" s="639" t="s">
        <v>781</v>
      </c>
      <c r="F70" s="642">
        <v>1.4</v>
      </c>
      <c r="G70" s="642">
        <v>3022.08</v>
      </c>
      <c r="H70" s="642">
        <v>1</v>
      </c>
      <c r="I70" s="642">
        <v>2158.6285714285714</v>
      </c>
      <c r="J70" s="642">
        <v>8.6999999999999993</v>
      </c>
      <c r="K70" s="642">
        <v>18094.349999999999</v>
      </c>
      <c r="L70" s="642">
        <v>5.9873828621346883</v>
      </c>
      <c r="M70" s="642">
        <v>2079.8103448275861</v>
      </c>
      <c r="N70" s="642">
        <v>7.1000000000000005</v>
      </c>
      <c r="O70" s="642">
        <v>11585.779999999999</v>
      </c>
      <c r="P70" s="656">
        <v>3.8337105569673864</v>
      </c>
      <c r="Q70" s="643">
        <v>1631.7999999999997</v>
      </c>
    </row>
    <row r="71" spans="1:17" ht="14.4" customHeight="1" x14ac:dyDescent="0.3">
      <c r="A71" s="638" t="s">
        <v>537</v>
      </c>
      <c r="B71" s="639" t="s">
        <v>1822</v>
      </c>
      <c r="C71" s="639" t="s">
        <v>1730</v>
      </c>
      <c r="D71" s="639" t="s">
        <v>1787</v>
      </c>
      <c r="E71" s="639" t="s">
        <v>921</v>
      </c>
      <c r="F71" s="642"/>
      <c r="G71" s="642"/>
      <c r="H71" s="642"/>
      <c r="I71" s="642"/>
      <c r="J71" s="642">
        <v>0.7</v>
      </c>
      <c r="K71" s="642">
        <v>693.14</v>
      </c>
      <c r="L71" s="642"/>
      <c r="M71" s="642">
        <v>990.2</v>
      </c>
      <c r="N71" s="642">
        <v>0.3</v>
      </c>
      <c r="O71" s="642">
        <v>229.68</v>
      </c>
      <c r="P71" s="656"/>
      <c r="Q71" s="643">
        <v>765.6</v>
      </c>
    </row>
    <row r="72" spans="1:17" ht="14.4" customHeight="1" x14ac:dyDescent="0.3">
      <c r="A72" s="638" t="s">
        <v>537</v>
      </c>
      <c r="B72" s="639" t="s">
        <v>1822</v>
      </c>
      <c r="C72" s="639" t="s">
        <v>1730</v>
      </c>
      <c r="D72" s="639" t="s">
        <v>1838</v>
      </c>
      <c r="E72" s="639" t="s">
        <v>1080</v>
      </c>
      <c r="F72" s="642"/>
      <c r="G72" s="642"/>
      <c r="H72" s="642"/>
      <c r="I72" s="642"/>
      <c r="J72" s="642"/>
      <c r="K72" s="642"/>
      <c r="L72" s="642"/>
      <c r="M72" s="642"/>
      <c r="N72" s="642">
        <v>0.6</v>
      </c>
      <c r="O72" s="642">
        <v>231.6</v>
      </c>
      <c r="P72" s="656"/>
      <c r="Q72" s="643">
        <v>386</v>
      </c>
    </row>
    <row r="73" spans="1:17" ht="14.4" customHeight="1" x14ac:dyDescent="0.3">
      <c r="A73" s="638" t="s">
        <v>537</v>
      </c>
      <c r="B73" s="639" t="s">
        <v>1822</v>
      </c>
      <c r="C73" s="639" t="s">
        <v>1730</v>
      </c>
      <c r="D73" s="639" t="s">
        <v>1788</v>
      </c>
      <c r="E73" s="639" t="s">
        <v>1789</v>
      </c>
      <c r="F73" s="642">
        <v>0.72</v>
      </c>
      <c r="G73" s="642">
        <v>2612.16</v>
      </c>
      <c r="H73" s="642">
        <v>1</v>
      </c>
      <c r="I73" s="642">
        <v>3628</v>
      </c>
      <c r="J73" s="642">
        <v>1.52</v>
      </c>
      <c r="K73" s="642">
        <v>4932.17</v>
      </c>
      <c r="L73" s="642">
        <v>1.8881576932500308</v>
      </c>
      <c r="M73" s="642">
        <v>3244.8486842105262</v>
      </c>
      <c r="N73" s="642">
        <v>2.04</v>
      </c>
      <c r="O73" s="642">
        <v>6938.15</v>
      </c>
      <c r="P73" s="656">
        <v>2.6560968700232759</v>
      </c>
      <c r="Q73" s="643">
        <v>3401.0539215686272</v>
      </c>
    </row>
    <row r="74" spans="1:17" ht="14.4" customHeight="1" x14ac:dyDescent="0.3">
      <c r="A74" s="638" t="s">
        <v>537</v>
      </c>
      <c r="B74" s="639" t="s">
        <v>1822</v>
      </c>
      <c r="C74" s="639" t="s">
        <v>1730</v>
      </c>
      <c r="D74" s="639" t="s">
        <v>1839</v>
      </c>
      <c r="E74" s="639" t="s">
        <v>1840</v>
      </c>
      <c r="F74" s="642">
        <v>1</v>
      </c>
      <c r="G74" s="642">
        <v>3503.39</v>
      </c>
      <c r="H74" s="642">
        <v>1</v>
      </c>
      <c r="I74" s="642">
        <v>3503.39</v>
      </c>
      <c r="J74" s="642"/>
      <c r="K74" s="642"/>
      <c r="L74" s="642"/>
      <c r="M74" s="642"/>
      <c r="N74" s="642">
        <v>1</v>
      </c>
      <c r="O74" s="642">
        <v>3172.78</v>
      </c>
      <c r="P74" s="656">
        <v>0.90563140272707299</v>
      </c>
      <c r="Q74" s="643">
        <v>3172.78</v>
      </c>
    </row>
    <row r="75" spans="1:17" ht="14.4" customHeight="1" x14ac:dyDescent="0.3">
      <c r="A75" s="638" t="s">
        <v>537</v>
      </c>
      <c r="B75" s="639" t="s">
        <v>1822</v>
      </c>
      <c r="C75" s="639" t="s">
        <v>1730</v>
      </c>
      <c r="D75" s="639" t="s">
        <v>1841</v>
      </c>
      <c r="E75" s="639" t="s">
        <v>1842</v>
      </c>
      <c r="F75" s="642"/>
      <c r="G75" s="642"/>
      <c r="H75" s="642"/>
      <c r="I75" s="642"/>
      <c r="J75" s="642"/>
      <c r="K75" s="642"/>
      <c r="L75" s="642"/>
      <c r="M75" s="642"/>
      <c r="N75" s="642">
        <v>1</v>
      </c>
      <c r="O75" s="642">
        <v>65.75</v>
      </c>
      <c r="P75" s="656"/>
      <c r="Q75" s="643">
        <v>65.75</v>
      </c>
    </row>
    <row r="76" spans="1:17" ht="14.4" customHeight="1" x14ac:dyDescent="0.3">
      <c r="A76" s="638" t="s">
        <v>537</v>
      </c>
      <c r="B76" s="639" t="s">
        <v>1822</v>
      </c>
      <c r="C76" s="639" t="s">
        <v>1730</v>
      </c>
      <c r="D76" s="639" t="s">
        <v>1843</v>
      </c>
      <c r="E76" s="639" t="s">
        <v>1088</v>
      </c>
      <c r="F76" s="642"/>
      <c r="G76" s="642"/>
      <c r="H76" s="642"/>
      <c r="I76" s="642"/>
      <c r="J76" s="642"/>
      <c r="K76" s="642"/>
      <c r="L76" s="642"/>
      <c r="M76" s="642"/>
      <c r="N76" s="642">
        <v>1</v>
      </c>
      <c r="O76" s="642">
        <v>109.6</v>
      </c>
      <c r="P76" s="656"/>
      <c r="Q76" s="643">
        <v>109.6</v>
      </c>
    </row>
    <row r="77" spans="1:17" ht="14.4" customHeight="1" x14ac:dyDescent="0.3">
      <c r="A77" s="638" t="s">
        <v>537</v>
      </c>
      <c r="B77" s="639" t="s">
        <v>1822</v>
      </c>
      <c r="C77" s="639" t="s">
        <v>1730</v>
      </c>
      <c r="D77" s="639" t="s">
        <v>1844</v>
      </c>
      <c r="E77" s="639" t="s">
        <v>1845</v>
      </c>
      <c r="F77" s="642"/>
      <c r="G77" s="642"/>
      <c r="H77" s="642"/>
      <c r="I77" s="642"/>
      <c r="J77" s="642"/>
      <c r="K77" s="642"/>
      <c r="L77" s="642"/>
      <c r="M77" s="642"/>
      <c r="N77" s="642">
        <v>2</v>
      </c>
      <c r="O77" s="642">
        <v>140.30000000000001</v>
      </c>
      <c r="P77" s="656"/>
      <c r="Q77" s="643">
        <v>70.150000000000006</v>
      </c>
    </row>
    <row r="78" spans="1:17" ht="14.4" customHeight="1" x14ac:dyDescent="0.3">
      <c r="A78" s="638" t="s">
        <v>537</v>
      </c>
      <c r="B78" s="639" t="s">
        <v>1822</v>
      </c>
      <c r="C78" s="639" t="s">
        <v>1730</v>
      </c>
      <c r="D78" s="639" t="s">
        <v>1846</v>
      </c>
      <c r="E78" s="639" t="s">
        <v>1847</v>
      </c>
      <c r="F78" s="642"/>
      <c r="G78" s="642"/>
      <c r="H78" s="642"/>
      <c r="I78" s="642"/>
      <c r="J78" s="642">
        <v>14</v>
      </c>
      <c r="K78" s="642">
        <v>431.38</v>
      </c>
      <c r="L78" s="642"/>
      <c r="M78" s="642">
        <v>30.812857142857144</v>
      </c>
      <c r="N78" s="642"/>
      <c r="O78" s="642"/>
      <c r="P78" s="656"/>
      <c r="Q78" s="643"/>
    </row>
    <row r="79" spans="1:17" ht="14.4" customHeight="1" x14ac:dyDescent="0.3">
      <c r="A79" s="638" t="s">
        <v>537</v>
      </c>
      <c r="B79" s="639" t="s">
        <v>1822</v>
      </c>
      <c r="C79" s="639" t="s">
        <v>1792</v>
      </c>
      <c r="D79" s="639" t="s">
        <v>1848</v>
      </c>
      <c r="E79" s="639"/>
      <c r="F79" s="642"/>
      <c r="G79" s="642"/>
      <c r="H79" s="642"/>
      <c r="I79" s="642"/>
      <c r="J79" s="642">
        <v>5</v>
      </c>
      <c r="K79" s="642">
        <v>13643.55</v>
      </c>
      <c r="L79" s="642"/>
      <c r="M79" s="642">
        <v>2728.71</v>
      </c>
      <c r="N79" s="642">
        <v>3</v>
      </c>
      <c r="O79" s="642">
        <v>7396.86</v>
      </c>
      <c r="P79" s="656"/>
      <c r="Q79" s="643">
        <v>2465.62</v>
      </c>
    </row>
    <row r="80" spans="1:17" ht="14.4" customHeight="1" x14ac:dyDescent="0.3">
      <c r="A80" s="638" t="s">
        <v>537</v>
      </c>
      <c r="B80" s="639" t="s">
        <v>1822</v>
      </c>
      <c r="C80" s="639" t="s">
        <v>1792</v>
      </c>
      <c r="D80" s="639" t="s">
        <v>1793</v>
      </c>
      <c r="E80" s="639"/>
      <c r="F80" s="642">
        <v>56</v>
      </c>
      <c r="G80" s="642">
        <v>90386.800000000017</v>
      </c>
      <c r="H80" s="642">
        <v>1</v>
      </c>
      <c r="I80" s="642">
        <v>1614.0500000000004</v>
      </c>
      <c r="J80" s="642">
        <v>74</v>
      </c>
      <c r="K80" s="642">
        <v>118715.54999999999</v>
      </c>
      <c r="L80" s="642">
        <v>1.3134168927321241</v>
      </c>
      <c r="M80" s="642">
        <v>1604.264189189189</v>
      </c>
      <c r="N80" s="642">
        <v>39</v>
      </c>
      <c r="O80" s="642">
        <v>57364.65</v>
      </c>
      <c r="P80" s="656">
        <v>0.63465738360026014</v>
      </c>
      <c r="Q80" s="643">
        <v>1470.8884615384616</v>
      </c>
    </row>
    <row r="81" spans="1:17" ht="14.4" customHeight="1" x14ac:dyDescent="0.3">
      <c r="A81" s="638" t="s">
        <v>537</v>
      </c>
      <c r="B81" s="639" t="s">
        <v>1822</v>
      </c>
      <c r="C81" s="639" t="s">
        <v>1792</v>
      </c>
      <c r="D81" s="639" t="s">
        <v>1794</v>
      </c>
      <c r="E81" s="639"/>
      <c r="F81" s="642">
        <v>16</v>
      </c>
      <c r="G81" s="642">
        <v>62487.680000000008</v>
      </c>
      <c r="H81" s="642">
        <v>1</v>
      </c>
      <c r="I81" s="642">
        <v>3905.4800000000005</v>
      </c>
      <c r="J81" s="642">
        <v>5</v>
      </c>
      <c r="K81" s="642">
        <v>19527.400000000001</v>
      </c>
      <c r="L81" s="642">
        <v>0.3125</v>
      </c>
      <c r="M81" s="642">
        <v>3905.4800000000005</v>
      </c>
      <c r="N81" s="642">
        <v>4</v>
      </c>
      <c r="O81" s="642">
        <v>15962.72</v>
      </c>
      <c r="P81" s="656">
        <v>0.25545387506785333</v>
      </c>
      <c r="Q81" s="643">
        <v>3990.68</v>
      </c>
    </row>
    <row r="82" spans="1:17" ht="14.4" customHeight="1" x14ac:dyDescent="0.3">
      <c r="A82" s="638" t="s">
        <v>537</v>
      </c>
      <c r="B82" s="639" t="s">
        <v>1822</v>
      </c>
      <c r="C82" s="639" t="s">
        <v>1792</v>
      </c>
      <c r="D82" s="639" t="s">
        <v>1849</v>
      </c>
      <c r="E82" s="639"/>
      <c r="F82" s="642">
        <v>22</v>
      </c>
      <c r="G82" s="642">
        <v>20362.54</v>
      </c>
      <c r="H82" s="642">
        <v>1</v>
      </c>
      <c r="I82" s="642">
        <v>925.57</v>
      </c>
      <c r="J82" s="642">
        <v>9</v>
      </c>
      <c r="K82" s="642">
        <v>8330.130000000001</v>
      </c>
      <c r="L82" s="642">
        <v>0.40909090909090912</v>
      </c>
      <c r="M82" s="642">
        <v>925.57000000000016</v>
      </c>
      <c r="N82" s="642">
        <v>12</v>
      </c>
      <c r="O82" s="642">
        <v>12753.57</v>
      </c>
      <c r="P82" s="656">
        <v>0.62632510482484005</v>
      </c>
      <c r="Q82" s="643">
        <v>1062.7974999999999</v>
      </c>
    </row>
    <row r="83" spans="1:17" ht="14.4" customHeight="1" x14ac:dyDescent="0.3">
      <c r="A83" s="638" t="s">
        <v>537</v>
      </c>
      <c r="B83" s="639" t="s">
        <v>1822</v>
      </c>
      <c r="C83" s="639" t="s">
        <v>1792</v>
      </c>
      <c r="D83" s="639" t="s">
        <v>1795</v>
      </c>
      <c r="E83" s="639"/>
      <c r="F83" s="642">
        <v>56</v>
      </c>
      <c r="G83" s="642">
        <v>13366.080000000002</v>
      </c>
      <c r="H83" s="642">
        <v>1</v>
      </c>
      <c r="I83" s="642">
        <v>238.68000000000004</v>
      </c>
      <c r="J83" s="642">
        <v>86</v>
      </c>
      <c r="K83" s="642">
        <v>20526.480000000003</v>
      </c>
      <c r="L83" s="642">
        <v>1.5357142857142858</v>
      </c>
      <c r="M83" s="642">
        <v>238.68000000000004</v>
      </c>
      <c r="N83" s="642">
        <v>45</v>
      </c>
      <c r="O83" s="642">
        <v>10865.610000000002</v>
      </c>
      <c r="P83" s="656">
        <v>0.81292420814479649</v>
      </c>
      <c r="Q83" s="643">
        <v>241.45800000000006</v>
      </c>
    </row>
    <row r="84" spans="1:17" ht="14.4" customHeight="1" x14ac:dyDescent="0.3">
      <c r="A84" s="638" t="s">
        <v>537</v>
      </c>
      <c r="B84" s="639" t="s">
        <v>1822</v>
      </c>
      <c r="C84" s="639" t="s">
        <v>1850</v>
      </c>
      <c r="D84" s="639" t="s">
        <v>1851</v>
      </c>
      <c r="E84" s="639" t="s">
        <v>1852</v>
      </c>
      <c r="F84" s="642">
        <v>1</v>
      </c>
      <c r="G84" s="642">
        <v>5440.91</v>
      </c>
      <c r="H84" s="642">
        <v>1</v>
      </c>
      <c r="I84" s="642">
        <v>5440.91</v>
      </c>
      <c r="J84" s="642"/>
      <c r="K84" s="642"/>
      <c r="L84" s="642"/>
      <c r="M84" s="642"/>
      <c r="N84" s="642"/>
      <c r="O84" s="642"/>
      <c r="P84" s="656"/>
      <c r="Q84" s="643"/>
    </row>
    <row r="85" spans="1:17" ht="14.4" customHeight="1" x14ac:dyDescent="0.3">
      <c r="A85" s="638" t="s">
        <v>537</v>
      </c>
      <c r="B85" s="639" t="s">
        <v>1822</v>
      </c>
      <c r="C85" s="639" t="s">
        <v>1850</v>
      </c>
      <c r="D85" s="639" t="s">
        <v>1853</v>
      </c>
      <c r="E85" s="639" t="s">
        <v>1854</v>
      </c>
      <c r="F85" s="642">
        <v>1</v>
      </c>
      <c r="G85" s="642">
        <v>61920</v>
      </c>
      <c r="H85" s="642">
        <v>1</v>
      </c>
      <c r="I85" s="642">
        <v>61920</v>
      </c>
      <c r="J85" s="642"/>
      <c r="K85" s="642"/>
      <c r="L85" s="642"/>
      <c r="M85" s="642"/>
      <c r="N85" s="642"/>
      <c r="O85" s="642"/>
      <c r="P85" s="656"/>
      <c r="Q85" s="643"/>
    </row>
    <row r="86" spans="1:17" ht="14.4" customHeight="1" x14ac:dyDescent="0.3">
      <c r="A86" s="638" t="s">
        <v>537</v>
      </c>
      <c r="B86" s="639" t="s">
        <v>1822</v>
      </c>
      <c r="C86" s="639" t="s">
        <v>1850</v>
      </c>
      <c r="D86" s="639" t="s">
        <v>1855</v>
      </c>
      <c r="E86" s="639" t="s">
        <v>1856</v>
      </c>
      <c r="F86" s="642">
        <v>1</v>
      </c>
      <c r="G86" s="642">
        <v>8073</v>
      </c>
      <c r="H86" s="642">
        <v>1</v>
      </c>
      <c r="I86" s="642">
        <v>8073</v>
      </c>
      <c r="J86" s="642"/>
      <c r="K86" s="642"/>
      <c r="L86" s="642"/>
      <c r="M86" s="642"/>
      <c r="N86" s="642"/>
      <c r="O86" s="642"/>
      <c r="P86" s="656"/>
      <c r="Q86" s="643"/>
    </row>
    <row r="87" spans="1:17" ht="14.4" customHeight="1" x14ac:dyDescent="0.3">
      <c r="A87" s="638" t="s">
        <v>537</v>
      </c>
      <c r="B87" s="639" t="s">
        <v>1822</v>
      </c>
      <c r="C87" s="639" t="s">
        <v>1850</v>
      </c>
      <c r="D87" s="639" t="s">
        <v>1857</v>
      </c>
      <c r="E87" s="639" t="s">
        <v>1858</v>
      </c>
      <c r="F87" s="642">
        <v>1</v>
      </c>
      <c r="G87" s="642">
        <v>5610</v>
      </c>
      <c r="H87" s="642">
        <v>1</v>
      </c>
      <c r="I87" s="642">
        <v>5610</v>
      </c>
      <c r="J87" s="642"/>
      <c r="K87" s="642"/>
      <c r="L87" s="642"/>
      <c r="M87" s="642"/>
      <c r="N87" s="642"/>
      <c r="O87" s="642"/>
      <c r="P87" s="656"/>
      <c r="Q87" s="643"/>
    </row>
    <row r="88" spans="1:17" ht="14.4" customHeight="1" x14ac:dyDescent="0.3">
      <c r="A88" s="638" t="s">
        <v>537</v>
      </c>
      <c r="B88" s="639" t="s">
        <v>1822</v>
      </c>
      <c r="C88" s="639" t="s">
        <v>1723</v>
      </c>
      <c r="D88" s="639" t="s">
        <v>1859</v>
      </c>
      <c r="E88" s="639" t="s">
        <v>1860</v>
      </c>
      <c r="F88" s="642">
        <v>155</v>
      </c>
      <c r="G88" s="642">
        <v>4489575</v>
      </c>
      <c r="H88" s="642">
        <v>1</v>
      </c>
      <c r="I88" s="642">
        <v>28965</v>
      </c>
      <c r="J88" s="642">
        <v>240</v>
      </c>
      <c r="K88" s="642">
        <v>6951600</v>
      </c>
      <c r="L88" s="642">
        <v>1.5483870967741935</v>
      </c>
      <c r="M88" s="642">
        <v>28965</v>
      </c>
      <c r="N88" s="642">
        <v>158</v>
      </c>
      <c r="O88" s="642">
        <v>4576470</v>
      </c>
      <c r="P88" s="656">
        <v>1.0193548387096774</v>
      </c>
      <c r="Q88" s="643">
        <v>28965</v>
      </c>
    </row>
    <row r="89" spans="1:17" ht="14.4" customHeight="1" x14ac:dyDescent="0.3">
      <c r="A89" s="638" t="s">
        <v>537</v>
      </c>
      <c r="B89" s="639" t="s">
        <v>1822</v>
      </c>
      <c r="C89" s="639" t="s">
        <v>1723</v>
      </c>
      <c r="D89" s="639" t="s">
        <v>1861</v>
      </c>
      <c r="E89" s="639" t="s">
        <v>1862</v>
      </c>
      <c r="F89" s="642">
        <v>388</v>
      </c>
      <c r="G89" s="642">
        <v>5304736</v>
      </c>
      <c r="H89" s="642">
        <v>1</v>
      </c>
      <c r="I89" s="642">
        <v>13672</v>
      </c>
      <c r="J89" s="642">
        <v>313</v>
      </c>
      <c r="K89" s="642">
        <v>4279336</v>
      </c>
      <c r="L89" s="642">
        <v>0.80670103092783507</v>
      </c>
      <c r="M89" s="642">
        <v>13672</v>
      </c>
      <c r="N89" s="642">
        <v>359</v>
      </c>
      <c r="O89" s="642">
        <v>4908248</v>
      </c>
      <c r="P89" s="656">
        <v>0.92525773195876293</v>
      </c>
      <c r="Q89" s="643">
        <v>13672</v>
      </c>
    </row>
    <row r="90" spans="1:17" ht="14.4" customHeight="1" x14ac:dyDescent="0.3">
      <c r="A90" s="638" t="s">
        <v>537</v>
      </c>
      <c r="B90" s="639" t="s">
        <v>1822</v>
      </c>
      <c r="C90" s="639" t="s">
        <v>1723</v>
      </c>
      <c r="D90" s="639" t="s">
        <v>1802</v>
      </c>
      <c r="E90" s="639" t="s">
        <v>1803</v>
      </c>
      <c r="F90" s="642">
        <v>0</v>
      </c>
      <c r="G90" s="642">
        <v>0</v>
      </c>
      <c r="H90" s="642"/>
      <c r="I90" s="642"/>
      <c r="J90" s="642">
        <v>0</v>
      </c>
      <c r="K90" s="642">
        <v>0</v>
      </c>
      <c r="L90" s="642"/>
      <c r="M90" s="642"/>
      <c r="N90" s="642">
        <v>0</v>
      </c>
      <c r="O90" s="642">
        <v>0</v>
      </c>
      <c r="P90" s="656"/>
      <c r="Q90" s="643"/>
    </row>
    <row r="91" spans="1:17" ht="14.4" customHeight="1" x14ac:dyDescent="0.3">
      <c r="A91" s="638" t="s">
        <v>537</v>
      </c>
      <c r="B91" s="639" t="s">
        <v>1822</v>
      </c>
      <c r="C91" s="639" t="s">
        <v>1723</v>
      </c>
      <c r="D91" s="639" t="s">
        <v>1804</v>
      </c>
      <c r="E91" s="639" t="s">
        <v>1805</v>
      </c>
      <c r="F91" s="642">
        <v>1109</v>
      </c>
      <c r="G91" s="642">
        <v>0</v>
      </c>
      <c r="H91" s="642"/>
      <c r="I91" s="642">
        <v>0</v>
      </c>
      <c r="J91" s="642">
        <v>1015</v>
      </c>
      <c r="K91" s="642">
        <v>0</v>
      </c>
      <c r="L91" s="642"/>
      <c r="M91" s="642">
        <v>0</v>
      </c>
      <c r="N91" s="642">
        <v>1185</v>
      </c>
      <c r="O91" s="642">
        <v>0</v>
      </c>
      <c r="P91" s="656"/>
      <c r="Q91" s="643">
        <v>0</v>
      </c>
    </row>
    <row r="92" spans="1:17" ht="14.4" customHeight="1" x14ac:dyDescent="0.3">
      <c r="A92" s="638" t="s">
        <v>537</v>
      </c>
      <c r="B92" s="639" t="s">
        <v>1822</v>
      </c>
      <c r="C92" s="639" t="s">
        <v>1723</v>
      </c>
      <c r="D92" s="639" t="s">
        <v>1863</v>
      </c>
      <c r="E92" s="639" t="s">
        <v>1864</v>
      </c>
      <c r="F92" s="642">
        <v>3</v>
      </c>
      <c r="G92" s="642">
        <v>0</v>
      </c>
      <c r="H92" s="642"/>
      <c r="I92" s="642">
        <v>0</v>
      </c>
      <c r="J92" s="642"/>
      <c r="K92" s="642"/>
      <c r="L92" s="642"/>
      <c r="M92" s="642"/>
      <c r="N92" s="642"/>
      <c r="O92" s="642"/>
      <c r="P92" s="656"/>
      <c r="Q92" s="643"/>
    </row>
    <row r="93" spans="1:17" ht="14.4" customHeight="1" x14ac:dyDescent="0.3">
      <c r="A93" s="638" t="s">
        <v>537</v>
      </c>
      <c r="B93" s="639" t="s">
        <v>1822</v>
      </c>
      <c r="C93" s="639" t="s">
        <v>1723</v>
      </c>
      <c r="D93" s="639" t="s">
        <v>1865</v>
      </c>
      <c r="E93" s="639" t="s">
        <v>1866</v>
      </c>
      <c r="F93" s="642">
        <v>11</v>
      </c>
      <c r="G93" s="642">
        <v>0</v>
      </c>
      <c r="H93" s="642"/>
      <c r="I93" s="642">
        <v>0</v>
      </c>
      <c r="J93" s="642"/>
      <c r="K93" s="642"/>
      <c r="L93" s="642"/>
      <c r="M93" s="642"/>
      <c r="N93" s="642"/>
      <c r="O93" s="642"/>
      <c r="P93" s="656"/>
      <c r="Q93" s="643"/>
    </row>
    <row r="94" spans="1:17" ht="14.4" customHeight="1" x14ac:dyDescent="0.3">
      <c r="A94" s="638" t="s">
        <v>537</v>
      </c>
      <c r="B94" s="639" t="s">
        <v>1822</v>
      </c>
      <c r="C94" s="639" t="s">
        <v>1723</v>
      </c>
      <c r="D94" s="639" t="s">
        <v>1806</v>
      </c>
      <c r="E94" s="639" t="s">
        <v>1807</v>
      </c>
      <c r="F94" s="642">
        <v>30</v>
      </c>
      <c r="G94" s="642">
        <v>0</v>
      </c>
      <c r="H94" s="642"/>
      <c r="I94" s="642">
        <v>0</v>
      </c>
      <c r="J94" s="642">
        <v>29</v>
      </c>
      <c r="K94" s="642">
        <v>0</v>
      </c>
      <c r="L94" s="642"/>
      <c r="M94" s="642">
        <v>0</v>
      </c>
      <c r="N94" s="642">
        <v>23</v>
      </c>
      <c r="O94" s="642">
        <v>0</v>
      </c>
      <c r="P94" s="656"/>
      <c r="Q94" s="643">
        <v>0</v>
      </c>
    </row>
    <row r="95" spans="1:17" ht="14.4" customHeight="1" x14ac:dyDescent="0.3">
      <c r="A95" s="638" t="s">
        <v>537</v>
      </c>
      <c r="B95" s="639" t="s">
        <v>1822</v>
      </c>
      <c r="C95" s="639" t="s">
        <v>1723</v>
      </c>
      <c r="D95" s="639" t="s">
        <v>1808</v>
      </c>
      <c r="E95" s="639" t="s">
        <v>1809</v>
      </c>
      <c r="F95" s="642">
        <v>5</v>
      </c>
      <c r="G95" s="642">
        <v>0</v>
      </c>
      <c r="H95" s="642"/>
      <c r="I95" s="642">
        <v>0</v>
      </c>
      <c r="J95" s="642">
        <v>8</v>
      </c>
      <c r="K95" s="642">
        <v>0</v>
      </c>
      <c r="L95" s="642"/>
      <c r="M95" s="642">
        <v>0</v>
      </c>
      <c r="N95" s="642">
        <v>2</v>
      </c>
      <c r="O95" s="642">
        <v>0</v>
      </c>
      <c r="P95" s="656"/>
      <c r="Q95" s="643">
        <v>0</v>
      </c>
    </row>
    <row r="96" spans="1:17" ht="14.4" customHeight="1" x14ac:dyDescent="0.3">
      <c r="A96" s="638" t="s">
        <v>537</v>
      </c>
      <c r="B96" s="639" t="s">
        <v>1822</v>
      </c>
      <c r="C96" s="639" t="s">
        <v>1723</v>
      </c>
      <c r="D96" s="639" t="s">
        <v>1810</v>
      </c>
      <c r="E96" s="639" t="s">
        <v>1811</v>
      </c>
      <c r="F96" s="642">
        <v>35</v>
      </c>
      <c r="G96" s="642">
        <v>0</v>
      </c>
      <c r="H96" s="642"/>
      <c r="I96" s="642">
        <v>0</v>
      </c>
      <c r="J96" s="642">
        <v>41</v>
      </c>
      <c r="K96" s="642">
        <v>0</v>
      </c>
      <c r="L96" s="642"/>
      <c r="M96" s="642">
        <v>0</v>
      </c>
      <c r="N96" s="642">
        <v>37</v>
      </c>
      <c r="O96" s="642">
        <v>0</v>
      </c>
      <c r="P96" s="656"/>
      <c r="Q96" s="643">
        <v>0</v>
      </c>
    </row>
    <row r="97" spans="1:17" ht="14.4" customHeight="1" x14ac:dyDescent="0.3">
      <c r="A97" s="638" t="s">
        <v>537</v>
      </c>
      <c r="B97" s="639" t="s">
        <v>1822</v>
      </c>
      <c r="C97" s="639" t="s">
        <v>1723</v>
      </c>
      <c r="D97" s="639" t="s">
        <v>1867</v>
      </c>
      <c r="E97" s="639" t="s">
        <v>1866</v>
      </c>
      <c r="F97" s="642">
        <v>2</v>
      </c>
      <c r="G97" s="642">
        <v>0</v>
      </c>
      <c r="H97" s="642"/>
      <c r="I97" s="642">
        <v>0</v>
      </c>
      <c r="J97" s="642"/>
      <c r="K97" s="642"/>
      <c r="L97" s="642"/>
      <c r="M97" s="642"/>
      <c r="N97" s="642"/>
      <c r="O97" s="642"/>
      <c r="P97" s="656"/>
      <c r="Q97" s="643"/>
    </row>
    <row r="98" spans="1:17" ht="14.4" customHeight="1" x14ac:dyDescent="0.3">
      <c r="A98" s="638" t="s">
        <v>537</v>
      </c>
      <c r="B98" s="639" t="s">
        <v>1822</v>
      </c>
      <c r="C98" s="639" t="s">
        <v>1723</v>
      </c>
      <c r="D98" s="639" t="s">
        <v>1868</v>
      </c>
      <c r="E98" s="639" t="s">
        <v>1866</v>
      </c>
      <c r="F98" s="642">
        <v>2</v>
      </c>
      <c r="G98" s="642">
        <v>0</v>
      </c>
      <c r="H98" s="642"/>
      <c r="I98" s="642">
        <v>0</v>
      </c>
      <c r="J98" s="642"/>
      <c r="K98" s="642"/>
      <c r="L98" s="642"/>
      <c r="M98" s="642"/>
      <c r="N98" s="642"/>
      <c r="O98" s="642"/>
      <c r="P98" s="656"/>
      <c r="Q98" s="643"/>
    </row>
    <row r="99" spans="1:17" ht="14.4" customHeight="1" x14ac:dyDescent="0.3">
      <c r="A99" s="638" t="s">
        <v>537</v>
      </c>
      <c r="B99" s="639" t="s">
        <v>1822</v>
      </c>
      <c r="C99" s="639" t="s">
        <v>1723</v>
      </c>
      <c r="D99" s="639" t="s">
        <v>1724</v>
      </c>
      <c r="E99" s="639" t="s">
        <v>1725</v>
      </c>
      <c r="F99" s="642">
        <v>38</v>
      </c>
      <c r="G99" s="642">
        <v>12489</v>
      </c>
      <c r="H99" s="642">
        <v>1</v>
      </c>
      <c r="I99" s="642">
        <v>328.65789473684208</v>
      </c>
      <c r="J99" s="642">
        <v>50</v>
      </c>
      <c r="K99" s="642">
        <v>16549</v>
      </c>
      <c r="L99" s="642">
        <v>1.3250860757466572</v>
      </c>
      <c r="M99" s="642">
        <v>330.98</v>
      </c>
      <c r="N99" s="642">
        <v>29</v>
      </c>
      <c r="O99" s="642">
        <v>10243</v>
      </c>
      <c r="P99" s="656">
        <v>0.82016174233325323</v>
      </c>
      <c r="Q99" s="643">
        <v>353.20689655172413</v>
      </c>
    </row>
    <row r="100" spans="1:17" ht="14.4" customHeight="1" x14ac:dyDescent="0.3">
      <c r="A100" s="638" t="s">
        <v>537</v>
      </c>
      <c r="B100" s="639" t="s">
        <v>1822</v>
      </c>
      <c r="C100" s="639" t="s">
        <v>1723</v>
      </c>
      <c r="D100" s="639" t="s">
        <v>1869</v>
      </c>
      <c r="E100" s="639" t="s">
        <v>1866</v>
      </c>
      <c r="F100" s="642">
        <v>10</v>
      </c>
      <c r="G100" s="642">
        <v>0</v>
      </c>
      <c r="H100" s="642"/>
      <c r="I100" s="642">
        <v>0</v>
      </c>
      <c r="J100" s="642"/>
      <c r="K100" s="642"/>
      <c r="L100" s="642"/>
      <c r="M100" s="642"/>
      <c r="N100" s="642"/>
      <c r="O100" s="642"/>
      <c r="P100" s="656"/>
      <c r="Q100" s="643"/>
    </row>
    <row r="101" spans="1:17" ht="14.4" customHeight="1" x14ac:dyDescent="0.3">
      <c r="A101" s="638" t="s">
        <v>537</v>
      </c>
      <c r="B101" s="639" t="s">
        <v>1822</v>
      </c>
      <c r="C101" s="639" t="s">
        <v>1723</v>
      </c>
      <c r="D101" s="639" t="s">
        <v>1752</v>
      </c>
      <c r="E101" s="639" t="s">
        <v>1753</v>
      </c>
      <c r="F101" s="642">
        <v>123</v>
      </c>
      <c r="G101" s="642">
        <v>79809</v>
      </c>
      <c r="H101" s="642">
        <v>1</v>
      </c>
      <c r="I101" s="642">
        <v>648.85365853658539</v>
      </c>
      <c r="J101" s="642">
        <v>147</v>
      </c>
      <c r="K101" s="642">
        <v>95977</v>
      </c>
      <c r="L101" s="642">
        <v>1.2025836685085642</v>
      </c>
      <c r="M101" s="642">
        <v>652.90476190476193</v>
      </c>
      <c r="N101" s="642">
        <v>119</v>
      </c>
      <c r="O101" s="642">
        <v>83083</v>
      </c>
      <c r="P101" s="656">
        <v>1.0410229422746808</v>
      </c>
      <c r="Q101" s="643">
        <v>698.17647058823525</v>
      </c>
    </row>
    <row r="102" spans="1:17" ht="14.4" customHeight="1" x14ac:dyDescent="0.3">
      <c r="A102" s="638" t="s">
        <v>537</v>
      </c>
      <c r="B102" s="639" t="s">
        <v>1822</v>
      </c>
      <c r="C102" s="639" t="s">
        <v>1723</v>
      </c>
      <c r="D102" s="639" t="s">
        <v>1870</v>
      </c>
      <c r="E102" s="639" t="s">
        <v>1866</v>
      </c>
      <c r="F102" s="642">
        <v>6</v>
      </c>
      <c r="G102" s="642">
        <v>0</v>
      </c>
      <c r="H102" s="642"/>
      <c r="I102" s="642">
        <v>0</v>
      </c>
      <c r="J102" s="642"/>
      <c r="K102" s="642"/>
      <c r="L102" s="642"/>
      <c r="M102" s="642"/>
      <c r="N102" s="642"/>
      <c r="O102" s="642"/>
      <c r="P102" s="656"/>
      <c r="Q102" s="643"/>
    </row>
    <row r="103" spans="1:17" ht="14.4" customHeight="1" x14ac:dyDescent="0.3">
      <c r="A103" s="638" t="s">
        <v>537</v>
      </c>
      <c r="B103" s="639" t="s">
        <v>1822</v>
      </c>
      <c r="C103" s="639" t="s">
        <v>1723</v>
      </c>
      <c r="D103" s="639" t="s">
        <v>1871</v>
      </c>
      <c r="E103" s="639" t="s">
        <v>1872</v>
      </c>
      <c r="F103" s="642">
        <v>1414</v>
      </c>
      <c r="G103" s="642">
        <v>8925168</v>
      </c>
      <c r="H103" s="642">
        <v>1</v>
      </c>
      <c r="I103" s="642">
        <v>6312</v>
      </c>
      <c r="J103" s="642">
        <v>1468</v>
      </c>
      <c r="K103" s="642">
        <v>9266016</v>
      </c>
      <c r="L103" s="642">
        <v>1.0381895332390383</v>
      </c>
      <c r="M103" s="642">
        <v>6312</v>
      </c>
      <c r="N103" s="642">
        <v>1582</v>
      </c>
      <c r="O103" s="642">
        <v>9985584</v>
      </c>
      <c r="P103" s="656">
        <v>1.1188118811881189</v>
      </c>
      <c r="Q103" s="643">
        <v>6312</v>
      </c>
    </row>
    <row r="104" spans="1:17" ht="14.4" customHeight="1" x14ac:dyDescent="0.3">
      <c r="A104" s="638" t="s">
        <v>537</v>
      </c>
      <c r="B104" s="639" t="s">
        <v>1822</v>
      </c>
      <c r="C104" s="639" t="s">
        <v>1723</v>
      </c>
      <c r="D104" s="639" t="s">
        <v>1812</v>
      </c>
      <c r="E104" s="639" t="s">
        <v>1813</v>
      </c>
      <c r="F104" s="642">
        <v>21</v>
      </c>
      <c r="G104" s="642">
        <v>0</v>
      </c>
      <c r="H104" s="642"/>
      <c r="I104" s="642">
        <v>0</v>
      </c>
      <c r="J104" s="642">
        <v>43</v>
      </c>
      <c r="K104" s="642">
        <v>0</v>
      </c>
      <c r="L104" s="642"/>
      <c r="M104" s="642">
        <v>0</v>
      </c>
      <c r="N104" s="642">
        <v>39</v>
      </c>
      <c r="O104" s="642">
        <v>0</v>
      </c>
      <c r="P104" s="656"/>
      <c r="Q104" s="643">
        <v>0</v>
      </c>
    </row>
    <row r="105" spans="1:17" ht="14.4" customHeight="1" x14ac:dyDescent="0.3">
      <c r="A105" s="638" t="s">
        <v>537</v>
      </c>
      <c r="B105" s="639" t="s">
        <v>1822</v>
      </c>
      <c r="C105" s="639" t="s">
        <v>1723</v>
      </c>
      <c r="D105" s="639" t="s">
        <v>1873</v>
      </c>
      <c r="E105" s="639" t="s">
        <v>1874</v>
      </c>
      <c r="F105" s="642">
        <v>670</v>
      </c>
      <c r="G105" s="642">
        <v>16572450</v>
      </c>
      <c r="H105" s="642">
        <v>1</v>
      </c>
      <c r="I105" s="642">
        <v>24735</v>
      </c>
      <c r="J105" s="642">
        <v>682</v>
      </c>
      <c r="K105" s="642">
        <v>16869270</v>
      </c>
      <c r="L105" s="642">
        <v>1.017910447761194</v>
      </c>
      <c r="M105" s="642">
        <v>24735</v>
      </c>
      <c r="N105" s="642">
        <v>539</v>
      </c>
      <c r="O105" s="642">
        <v>13332165</v>
      </c>
      <c r="P105" s="656">
        <v>0.80447761194029854</v>
      </c>
      <c r="Q105" s="643">
        <v>24735</v>
      </c>
    </row>
    <row r="106" spans="1:17" ht="14.4" customHeight="1" x14ac:dyDescent="0.3">
      <c r="A106" s="638" t="s">
        <v>537</v>
      </c>
      <c r="B106" s="639" t="s">
        <v>1822</v>
      </c>
      <c r="C106" s="639" t="s">
        <v>1723</v>
      </c>
      <c r="D106" s="639" t="s">
        <v>1818</v>
      </c>
      <c r="E106" s="639" t="s">
        <v>1819</v>
      </c>
      <c r="F106" s="642">
        <v>25</v>
      </c>
      <c r="G106" s="642">
        <v>0</v>
      </c>
      <c r="H106" s="642"/>
      <c r="I106" s="642">
        <v>0</v>
      </c>
      <c r="J106" s="642">
        <v>27</v>
      </c>
      <c r="K106" s="642">
        <v>0</v>
      </c>
      <c r="L106" s="642"/>
      <c r="M106" s="642">
        <v>0</v>
      </c>
      <c r="N106" s="642">
        <v>22</v>
      </c>
      <c r="O106" s="642">
        <v>0</v>
      </c>
      <c r="P106" s="656"/>
      <c r="Q106" s="643">
        <v>0</v>
      </c>
    </row>
    <row r="107" spans="1:17" ht="14.4" customHeight="1" x14ac:dyDescent="0.3">
      <c r="A107" s="638" t="s">
        <v>537</v>
      </c>
      <c r="B107" s="639" t="s">
        <v>1822</v>
      </c>
      <c r="C107" s="639" t="s">
        <v>1723</v>
      </c>
      <c r="D107" s="639" t="s">
        <v>1875</v>
      </c>
      <c r="E107" s="639" t="s">
        <v>1876</v>
      </c>
      <c r="F107" s="642">
        <v>2</v>
      </c>
      <c r="G107" s="642">
        <v>1048</v>
      </c>
      <c r="H107" s="642">
        <v>1</v>
      </c>
      <c r="I107" s="642">
        <v>524</v>
      </c>
      <c r="J107" s="642"/>
      <c r="K107" s="642"/>
      <c r="L107" s="642"/>
      <c r="M107" s="642"/>
      <c r="N107" s="642"/>
      <c r="O107" s="642"/>
      <c r="P107" s="656"/>
      <c r="Q107" s="643"/>
    </row>
    <row r="108" spans="1:17" ht="14.4" customHeight="1" x14ac:dyDescent="0.3">
      <c r="A108" s="638" t="s">
        <v>537</v>
      </c>
      <c r="B108" s="639" t="s">
        <v>1822</v>
      </c>
      <c r="C108" s="639" t="s">
        <v>1723</v>
      </c>
      <c r="D108" s="639" t="s">
        <v>1877</v>
      </c>
      <c r="E108" s="639" t="s">
        <v>1866</v>
      </c>
      <c r="F108" s="642">
        <v>4</v>
      </c>
      <c r="G108" s="642">
        <v>0</v>
      </c>
      <c r="H108" s="642"/>
      <c r="I108" s="642">
        <v>0</v>
      </c>
      <c r="J108" s="642"/>
      <c r="K108" s="642"/>
      <c r="L108" s="642"/>
      <c r="M108" s="642"/>
      <c r="N108" s="642"/>
      <c r="O108" s="642"/>
      <c r="P108" s="656"/>
      <c r="Q108" s="643"/>
    </row>
    <row r="109" spans="1:17" ht="14.4" customHeight="1" x14ac:dyDescent="0.3">
      <c r="A109" s="638" t="s">
        <v>537</v>
      </c>
      <c r="B109" s="639" t="s">
        <v>1822</v>
      </c>
      <c r="C109" s="639" t="s">
        <v>1723</v>
      </c>
      <c r="D109" s="639" t="s">
        <v>1820</v>
      </c>
      <c r="E109" s="639" t="s">
        <v>1821</v>
      </c>
      <c r="F109" s="642">
        <v>16</v>
      </c>
      <c r="G109" s="642">
        <v>0</v>
      </c>
      <c r="H109" s="642"/>
      <c r="I109" s="642">
        <v>0</v>
      </c>
      <c r="J109" s="642">
        <v>13</v>
      </c>
      <c r="K109" s="642">
        <v>0</v>
      </c>
      <c r="L109" s="642"/>
      <c r="M109" s="642">
        <v>0</v>
      </c>
      <c r="N109" s="642">
        <v>10</v>
      </c>
      <c r="O109" s="642">
        <v>0</v>
      </c>
      <c r="P109" s="656"/>
      <c r="Q109" s="643">
        <v>0</v>
      </c>
    </row>
    <row r="110" spans="1:17" ht="14.4" customHeight="1" x14ac:dyDescent="0.3">
      <c r="A110" s="638" t="s">
        <v>537</v>
      </c>
      <c r="B110" s="639" t="s">
        <v>1822</v>
      </c>
      <c r="C110" s="639" t="s">
        <v>1723</v>
      </c>
      <c r="D110" s="639" t="s">
        <v>1878</v>
      </c>
      <c r="E110" s="639" t="s">
        <v>1879</v>
      </c>
      <c r="F110" s="642">
        <v>2</v>
      </c>
      <c r="G110" s="642">
        <v>0</v>
      </c>
      <c r="H110" s="642"/>
      <c r="I110" s="642">
        <v>0</v>
      </c>
      <c r="J110" s="642">
        <v>912</v>
      </c>
      <c r="K110" s="642">
        <v>0</v>
      </c>
      <c r="L110" s="642"/>
      <c r="M110" s="642">
        <v>0</v>
      </c>
      <c r="N110" s="642">
        <v>685</v>
      </c>
      <c r="O110" s="642">
        <v>0</v>
      </c>
      <c r="P110" s="656"/>
      <c r="Q110" s="643">
        <v>0</v>
      </c>
    </row>
    <row r="111" spans="1:17" ht="14.4" customHeight="1" x14ac:dyDescent="0.3">
      <c r="A111" s="638" t="s">
        <v>537</v>
      </c>
      <c r="B111" s="639" t="s">
        <v>1822</v>
      </c>
      <c r="C111" s="639" t="s">
        <v>1723</v>
      </c>
      <c r="D111" s="639" t="s">
        <v>1880</v>
      </c>
      <c r="E111" s="639" t="s">
        <v>1881</v>
      </c>
      <c r="F111" s="642"/>
      <c r="G111" s="642"/>
      <c r="H111" s="642"/>
      <c r="I111" s="642"/>
      <c r="J111" s="642"/>
      <c r="K111" s="642"/>
      <c r="L111" s="642"/>
      <c r="M111" s="642"/>
      <c r="N111" s="642">
        <v>2</v>
      </c>
      <c r="O111" s="642">
        <v>3162</v>
      </c>
      <c r="P111" s="656"/>
      <c r="Q111" s="643">
        <v>1581</v>
      </c>
    </row>
    <row r="112" spans="1:17" ht="14.4" customHeight="1" x14ac:dyDescent="0.3">
      <c r="A112" s="638" t="s">
        <v>537</v>
      </c>
      <c r="B112" s="639" t="s">
        <v>1882</v>
      </c>
      <c r="C112" s="639" t="s">
        <v>1723</v>
      </c>
      <c r="D112" s="639" t="s">
        <v>1883</v>
      </c>
      <c r="E112" s="639" t="s">
        <v>1884</v>
      </c>
      <c r="F112" s="642"/>
      <c r="G112" s="642"/>
      <c r="H112" s="642"/>
      <c r="I112" s="642"/>
      <c r="J112" s="642"/>
      <c r="K112" s="642"/>
      <c r="L112" s="642"/>
      <c r="M112" s="642"/>
      <c r="N112" s="642">
        <v>1</v>
      </c>
      <c r="O112" s="642">
        <v>2522</v>
      </c>
      <c r="P112" s="656"/>
      <c r="Q112" s="643">
        <v>2522</v>
      </c>
    </row>
    <row r="113" spans="1:17" ht="14.4" customHeight="1" x14ac:dyDescent="0.3">
      <c r="A113" s="638" t="s">
        <v>537</v>
      </c>
      <c r="B113" s="639" t="s">
        <v>1882</v>
      </c>
      <c r="C113" s="639" t="s">
        <v>1723</v>
      </c>
      <c r="D113" s="639" t="s">
        <v>1885</v>
      </c>
      <c r="E113" s="639" t="s">
        <v>1886</v>
      </c>
      <c r="F113" s="642">
        <v>3</v>
      </c>
      <c r="G113" s="642">
        <v>8048</v>
      </c>
      <c r="H113" s="642">
        <v>1</v>
      </c>
      <c r="I113" s="642">
        <v>2682.6666666666665</v>
      </c>
      <c r="J113" s="642">
        <v>4</v>
      </c>
      <c r="K113" s="642">
        <v>10780</v>
      </c>
      <c r="L113" s="642">
        <v>1.3394632206759443</v>
      </c>
      <c r="M113" s="642">
        <v>2695</v>
      </c>
      <c r="N113" s="642">
        <v>2</v>
      </c>
      <c r="O113" s="642">
        <v>5540</v>
      </c>
      <c r="P113" s="656">
        <v>0.68836978131212723</v>
      </c>
      <c r="Q113" s="643">
        <v>2770</v>
      </c>
    </row>
    <row r="114" spans="1:17" ht="14.4" customHeight="1" x14ac:dyDescent="0.3">
      <c r="A114" s="638" t="s">
        <v>537</v>
      </c>
      <c r="B114" s="639" t="s">
        <v>1882</v>
      </c>
      <c r="C114" s="639" t="s">
        <v>1723</v>
      </c>
      <c r="D114" s="639" t="s">
        <v>1887</v>
      </c>
      <c r="E114" s="639" t="s">
        <v>1888</v>
      </c>
      <c r="F114" s="642">
        <v>1</v>
      </c>
      <c r="G114" s="642">
        <v>5940</v>
      </c>
      <c r="H114" s="642">
        <v>1</v>
      </c>
      <c r="I114" s="642">
        <v>5940</v>
      </c>
      <c r="J114" s="642">
        <v>2</v>
      </c>
      <c r="K114" s="642">
        <v>11963</v>
      </c>
      <c r="L114" s="642">
        <v>2.0139730639730642</v>
      </c>
      <c r="M114" s="642">
        <v>5981.5</v>
      </c>
      <c r="N114" s="642"/>
      <c r="O114" s="642"/>
      <c r="P114" s="656"/>
      <c r="Q114" s="643"/>
    </row>
    <row r="115" spans="1:17" ht="14.4" customHeight="1" x14ac:dyDescent="0.3">
      <c r="A115" s="638" t="s">
        <v>537</v>
      </c>
      <c r="B115" s="639" t="s">
        <v>1882</v>
      </c>
      <c r="C115" s="639" t="s">
        <v>1723</v>
      </c>
      <c r="D115" s="639" t="s">
        <v>1889</v>
      </c>
      <c r="E115" s="639" t="s">
        <v>1890</v>
      </c>
      <c r="F115" s="642">
        <v>1</v>
      </c>
      <c r="G115" s="642">
        <v>2384</v>
      </c>
      <c r="H115" s="642">
        <v>1</v>
      </c>
      <c r="I115" s="642">
        <v>2384</v>
      </c>
      <c r="J115" s="642"/>
      <c r="K115" s="642"/>
      <c r="L115" s="642"/>
      <c r="M115" s="642"/>
      <c r="N115" s="642"/>
      <c r="O115" s="642"/>
      <c r="P115" s="656"/>
      <c r="Q115" s="643"/>
    </row>
    <row r="116" spans="1:17" ht="14.4" customHeight="1" x14ac:dyDescent="0.3">
      <c r="A116" s="638" t="s">
        <v>537</v>
      </c>
      <c r="B116" s="639" t="s">
        <v>1882</v>
      </c>
      <c r="C116" s="639" t="s">
        <v>1723</v>
      </c>
      <c r="D116" s="639" t="s">
        <v>1891</v>
      </c>
      <c r="E116" s="639" t="s">
        <v>1892</v>
      </c>
      <c r="F116" s="642">
        <v>1</v>
      </c>
      <c r="G116" s="642">
        <v>9851</v>
      </c>
      <c r="H116" s="642">
        <v>1</v>
      </c>
      <c r="I116" s="642">
        <v>9851</v>
      </c>
      <c r="J116" s="642"/>
      <c r="K116" s="642"/>
      <c r="L116" s="642"/>
      <c r="M116" s="642"/>
      <c r="N116" s="642"/>
      <c r="O116" s="642"/>
      <c r="P116" s="656"/>
      <c r="Q116" s="643"/>
    </row>
    <row r="117" spans="1:17" ht="14.4" customHeight="1" x14ac:dyDescent="0.3">
      <c r="A117" s="638" t="s">
        <v>537</v>
      </c>
      <c r="B117" s="639" t="s">
        <v>1882</v>
      </c>
      <c r="C117" s="639" t="s">
        <v>1723</v>
      </c>
      <c r="D117" s="639" t="s">
        <v>1893</v>
      </c>
      <c r="E117" s="639" t="s">
        <v>1894</v>
      </c>
      <c r="F117" s="642">
        <v>1</v>
      </c>
      <c r="G117" s="642">
        <v>3361</v>
      </c>
      <c r="H117" s="642">
        <v>1</v>
      </c>
      <c r="I117" s="642">
        <v>3361</v>
      </c>
      <c r="J117" s="642"/>
      <c r="K117" s="642"/>
      <c r="L117" s="642"/>
      <c r="M117" s="642"/>
      <c r="N117" s="642"/>
      <c r="O117" s="642"/>
      <c r="P117" s="656"/>
      <c r="Q117" s="643"/>
    </row>
    <row r="118" spans="1:17" ht="14.4" customHeight="1" x14ac:dyDescent="0.3">
      <c r="A118" s="638" t="s">
        <v>537</v>
      </c>
      <c r="B118" s="639" t="s">
        <v>1882</v>
      </c>
      <c r="C118" s="639" t="s">
        <v>1723</v>
      </c>
      <c r="D118" s="639" t="s">
        <v>1895</v>
      </c>
      <c r="E118" s="639" t="s">
        <v>1896</v>
      </c>
      <c r="F118" s="642"/>
      <c r="G118" s="642"/>
      <c r="H118" s="642"/>
      <c r="I118" s="642"/>
      <c r="J118" s="642">
        <v>1</v>
      </c>
      <c r="K118" s="642">
        <v>2073</v>
      </c>
      <c r="L118" s="642"/>
      <c r="M118" s="642">
        <v>2073</v>
      </c>
      <c r="N118" s="642">
        <v>1</v>
      </c>
      <c r="O118" s="642">
        <v>2145</v>
      </c>
      <c r="P118" s="656"/>
      <c r="Q118" s="643">
        <v>2145</v>
      </c>
    </row>
    <row r="119" spans="1:17" ht="14.4" customHeight="1" x14ac:dyDescent="0.3">
      <c r="A119" s="638" t="s">
        <v>537</v>
      </c>
      <c r="B119" s="639" t="s">
        <v>1882</v>
      </c>
      <c r="C119" s="639" t="s">
        <v>1723</v>
      </c>
      <c r="D119" s="639" t="s">
        <v>1897</v>
      </c>
      <c r="E119" s="639" t="s">
        <v>1898</v>
      </c>
      <c r="F119" s="642"/>
      <c r="G119" s="642"/>
      <c r="H119" s="642"/>
      <c r="I119" s="642"/>
      <c r="J119" s="642"/>
      <c r="K119" s="642"/>
      <c r="L119" s="642"/>
      <c r="M119" s="642"/>
      <c r="N119" s="642">
        <v>1</v>
      </c>
      <c r="O119" s="642">
        <v>5148</v>
      </c>
      <c r="P119" s="656"/>
      <c r="Q119" s="643">
        <v>5148</v>
      </c>
    </row>
    <row r="120" spans="1:17" ht="14.4" customHeight="1" x14ac:dyDescent="0.3">
      <c r="A120" s="638" t="s">
        <v>537</v>
      </c>
      <c r="B120" s="639" t="s">
        <v>1882</v>
      </c>
      <c r="C120" s="639" t="s">
        <v>1723</v>
      </c>
      <c r="D120" s="639" t="s">
        <v>1899</v>
      </c>
      <c r="E120" s="639" t="s">
        <v>1900</v>
      </c>
      <c r="F120" s="642"/>
      <c r="G120" s="642"/>
      <c r="H120" s="642"/>
      <c r="I120" s="642"/>
      <c r="J120" s="642">
        <v>2</v>
      </c>
      <c r="K120" s="642">
        <v>11548</v>
      </c>
      <c r="L120" s="642"/>
      <c r="M120" s="642">
        <v>5774</v>
      </c>
      <c r="N120" s="642">
        <v>1</v>
      </c>
      <c r="O120" s="642">
        <v>5956</v>
      </c>
      <c r="P120" s="656"/>
      <c r="Q120" s="643">
        <v>5956</v>
      </c>
    </row>
    <row r="121" spans="1:17" ht="14.4" customHeight="1" x14ac:dyDescent="0.3">
      <c r="A121" s="638" t="s">
        <v>537</v>
      </c>
      <c r="B121" s="639" t="s">
        <v>1882</v>
      </c>
      <c r="C121" s="639" t="s">
        <v>1723</v>
      </c>
      <c r="D121" s="639" t="s">
        <v>1901</v>
      </c>
      <c r="E121" s="639" t="s">
        <v>1902</v>
      </c>
      <c r="F121" s="642"/>
      <c r="G121" s="642"/>
      <c r="H121" s="642"/>
      <c r="I121" s="642"/>
      <c r="J121" s="642">
        <v>1</v>
      </c>
      <c r="K121" s="642">
        <v>1048</v>
      </c>
      <c r="L121" s="642"/>
      <c r="M121" s="642">
        <v>1048</v>
      </c>
      <c r="N121" s="642"/>
      <c r="O121" s="642"/>
      <c r="P121" s="656"/>
      <c r="Q121" s="643"/>
    </row>
    <row r="122" spans="1:17" ht="14.4" customHeight="1" x14ac:dyDescent="0.3">
      <c r="A122" s="638" t="s">
        <v>537</v>
      </c>
      <c r="B122" s="639" t="s">
        <v>1882</v>
      </c>
      <c r="C122" s="639" t="s">
        <v>1723</v>
      </c>
      <c r="D122" s="639" t="s">
        <v>1903</v>
      </c>
      <c r="E122" s="639" t="s">
        <v>1904</v>
      </c>
      <c r="F122" s="642">
        <v>2</v>
      </c>
      <c r="G122" s="642">
        <v>6941</v>
      </c>
      <c r="H122" s="642">
        <v>1</v>
      </c>
      <c r="I122" s="642">
        <v>3470.5</v>
      </c>
      <c r="J122" s="642">
        <v>2</v>
      </c>
      <c r="K122" s="642">
        <v>6984</v>
      </c>
      <c r="L122" s="642">
        <v>1.0061950727560871</v>
      </c>
      <c r="M122" s="642">
        <v>3492</v>
      </c>
      <c r="N122" s="642">
        <v>1</v>
      </c>
      <c r="O122" s="642">
        <v>3612</v>
      </c>
      <c r="P122" s="656">
        <v>0.52038611151130965</v>
      </c>
      <c r="Q122" s="643">
        <v>3612</v>
      </c>
    </row>
    <row r="123" spans="1:17" ht="14.4" customHeight="1" x14ac:dyDescent="0.3">
      <c r="A123" s="638" t="s">
        <v>537</v>
      </c>
      <c r="B123" s="639" t="s">
        <v>1882</v>
      </c>
      <c r="C123" s="639" t="s">
        <v>1723</v>
      </c>
      <c r="D123" s="639" t="s">
        <v>799</v>
      </c>
      <c r="E123" s="639" t="s">
        <v>1905</v>
      </c>
      <c r="F123" s="642">
        <v>2</v>
      </c>
      <c r="G123" s="642">
        <v>3798</v>
      </c>
      <c r="H123" s="642">
        <v>1</v>
      </c>
      <c r="I123" s="642">
        <v>1899</v>
      </c>
      <c r="J123" s="642">
        <v>2</v>
      </c>
      <c r="K123" s="642">
        <v>3824</v>
      </c>
      <c r="L123" s="642">
        <v>1.0068457082675093</v>
      </c>
      <c r="M123" s="642">
        <v>1912</v>
      </c>
      <c r="N123" s="642">
        <v>1</v>
      </c>
      <c r="O123" s="642">
        <v>1984</v>
      </c>
      <c r="P123" s="656">
        <v>0.5223802001053186</v>
      </c>
      <c r="Q123" s="643">
        <v>1984</v>
      </c>
    </row>
    <row r="124" spans="1:17" ht="14.4" customHeight="1" x14ac:dyDescent="0.3">
      <c r="A124" s="638" t="s">
        <v>537</v>
      </c>
      <c r="B124" s="639" t="s">
        <v>1882</v>
      </c>
      <c r="C124" s="639" t="s">
        <v>1723</v>
      </c>
      <c r="D124" s="639" t="s">
        <v>1906</v>
      </c>
      <c r="E124" s="639" t="s">
        <v>1907</v>
      </c>
      <c r="F124" s="642"/>
      <c r="G124" s="642"/>
      <c r="H124" s="642"/>
      <c r="I124" s="642"/>
      <c r="J124" s="642">
        <v>1</v>
      </c>
      <c r="K124" s="642">
        <v>635</v>
      </c>
      <c r="L124" s="642"/>
      <c r="M124" s="642">
        <v>635</v>
      </c>
      <c r="N124" s="642"/>
      <c r="O124" s="642"/>
      <c r="P124" s="656"/>
      <c r="Q124" s="643"/>
    </row>
    <row r="125" spans="1:17" ht="14.4" customHeight="1" x14ac:dyDescent="0.3">
      <c r="A125" s="638" t="s">
        <v>537</v>
      </c>
      <c r="B125" s="639" t="s">
        <v>1882</v>
      </c>
      <c r="C125" s="639" t="s">
        <v>1723</v>
      </c>
      <c r="D125" s="639" t="s">
        <v>1908</v>
      </c>
      <c r="E125" s="639" t="s">
        <v>1909</v>
      </c>
      <c r="F125" s="642"/>
      <c r="G125" s="642"/>
      <c r="H125" s="642"/>
      <c r="I125" s="642"/>
      <c r="J125" s="642">
        <v>1</v>
      </c>
      <c r="K125" s="642">
        <v>3225</v>
      </c>
      <c r="L125" s="642"/>
      <c r="M125" s="642">
        <v>3225</v>
      </c>
      <c r="N125" s="642"/>
      <c r="O125" s="642"/>
      <c r="P125" s="656"/>
      <c r="Q125" s="643"/>
    </row>
    <row r="126" spans="1:17" ht="14.4" customHeight="1" x14ac:dyDescent="0.3">
      <c r="A126" s="638" t="s">
        <v>537</v>
      </c>
      <c r="B126" s="639" t="s">
        <v>1882</v>
      </c>
      <c r="C126" s="639" t="s">
        <v>1723</v>
      </c>
      <c r="D126" s="639" t="s">
        <v>1910</v>
      </c>
      <c r="E126" s="639" t="s">
        <v>1911</v>
      </c>
      <c r="F126" s="642"/>
      <c r="G126" s="642"/>
      <c r="H126" s="642"/>
      <c r="I126" s="642"/>
      <c r="J126" s="642">
        <v>4</v>
      </c>
      <c r="K126" s="642">
        <v>4940</v>
      </c>
      <c r="L126" s="642"/>
      <c r="M126" s="642">
        <v>1235</v>
      </c>
      <c r="N126" s="642"/>
      <c r="O126" s="642"/>
      <c r="P126" s="656"/>
      <c r="Q126" s="643"/>
    </row>
    <row r="127" spans="1:17" ht="14.4" customHeight="1" x14ac:dyDescent="0.3">
      <c r="A127" s="638" t="s">
        <v>537</v>
      </c>
      <c r="B127" s="639" t="s">
        <v>1882</v>
      </c>
      <c r="C127" s="639" t="s">
        <v>1723</v>
      </c>
      <c r="D127" s="639" t="s">
        <v>1912</v>
      </c>
      <c r="E127" s="639" t="s">
        <v>1913</v>
      </c>
      <c r="F127" s="642"/>
      <c r="G127" s="642"/>
      <c r="H127" s="642"/>
      <c r="I127" s="642"/>
      <c r="J127" s="642"/>
      <c r="K127" s="642"/>
      <c r="L127" s="642"/>
      <c r="M127" s="642"/>
      <c r="N127" s="642">
        <v>2</v>
      </c>
      <c r="O127" s="642">
        <v>10564</v>
      </c>
      <c r="P127" s="656"/>
      <c r="Q127" s="643">
        <v>5282</v>
      </c>
    </row>
    <row r="128" spans="1:17" ht="14.4" customHeight="1" x14ac:dyDescent="0.3">
      <c r="A128" s="638" t="s">
        <v>537</v>
      </c>
      <c r="B128" s="639" t="s">
        <v>1882</v>
      </c>
      <c r="C128" s="639" t="s">
        <v>1723</v>
      </c>
      <c r="D128" s="639" t="s">
        <v>1914</v>
      </c>
      <c r="E128" s="639" t="s">
        <v>1915</v>
      </c>
      <c r="F128" s="642">
        <v>3</v>
      </c>
      <c r="G128" s="642">
        <v>16294</v>
      </c>
      <c r="H128" s="642">
        <v>1</v>
      </c>
      <c r="I128" s="642">
        <v>5431.333333333333</v>
      </c>
      <c r="J128" s="642">
        <v>4</v>
      </c>
      <c r="K128" s="642">
        <v>21862</v>
      </c>
      <c r="L128" s="642">
        <v>1.3417208788511108</v>
      </c>
      <c r="M128" s="642">
        <v>5465.5</v>
      </c>
      <c r="N128" s="642">
        <v>1</v>
      </c>
      <c r="O128" s="642">
        <v>5697</v>
      </c>
      <c r="P128" s="656">
        <v>0.34963790352276913</v>
      </c>
      <c r="Q128" s="643">
        <v>5697</v>
      </c>
    </row>
    <row r="129" spans="1:17" ht="14.4" customHeight="1" x14ac:dyDescent="0.3">
      <c r="A129" s="638" t="s">
        <v>537</v>
      </c>
      <c r="B129" s="639" t="s">
        <v>1882</v>
      </c>
      <c r="C129" s="639" t="s">
        <v>1723</v>
      </c>
      <c r="D129" s="639" t="s">
        <v>1916</v>
      </c>
      <c r="E129" s="639" t="s">
        <v>1917</v>
      </c>
      <c r="F129" s="642"/>
      <c r="G129" s="642"/>
      <c r="H129" s="642"/>
      <c r="I129" s="642"/>
      <c r="J129" s="642"/>
      <c r="K129" s="642"/>
      <c r="L129" s="642"/>
      <c r="M129" s="642"/>
      <c r="N129" s="642">
        <v>1</v>
      </c>
      <c r="O129" s="642">
        <v>8444</v>
      </c>
      <c r="P129" s="656"/>
      <c r="Q129" s="643">
        <v>8444</v>
      </c>
    </row>
    <row r="130" spans="1:17" ht="14.4" customHeight="1" x14ac:dyDescent="0.3">
      <c r="A130" s="638" t="s">
        <v>537</v>
      </c>
      <c r="B130" s="639" t="s">
        <v>1882</v>
      </c>
      <c r="C130" s="639" t="s">
        <v>1723</v>
      </c>
      <c r="D130" s="639" t="s">
        <v>1918</v>
      </c>
      <c r="E130" s="639" t="s">
        <v>1919</v>
      </c>
      <c r="F130" s="642"/>
      <c r="G130" s="642"/>
      <c r="H130" s="642"/>
      <c r="I130" s="642"/>
      <c r="J130" s="642"/>
      <c r="K130" s="642"/>
      <c r="L130" s="642"/>
      <c r="M130" s="642"/>
      <c r="N130" s="642">
        <v>1</v>
      </c>
      <c r="O130" s="642">
        <v>6813</v>
      </c>
      <c r="P130" s="656"/>
      <c r="Q130" s="643">
        <v>6813</v>
      </c>
    </row>
    <row r="131" spans="1:17" ht="14.4" customHeight="1" x14ac:dyDescent="0.3">
      <c r="A131" s="638" t="s">
        <v>537</v>
      </c>
      <c r="B131" s="639" t="s">
        <v>1882</v>
      </c>
      <c r="C131" s="639" t="s">
        <v>1723</v>
      </c>
      <c r="D131" s="639" t="s">
        <v>1920</v>
      </c>
      <c r="E131" s="639" t="s">
        <v>1921</v>
      </c>
      <c r="F131" s="642"/>
      <c r="G131" s="642"/>
      <c r="H131" s="642"/>
      <c r="I131" s="642"/>
      <c r="J131" s="642"/>
      <c r="K131" s="642"/>
      <c r="L131" s="642"/>
      <c r="M131" s="642"/>
      <c r="N131" s="642">
        <v>1</v>
      </c>
      <c r="O131" s="642">
        <v>9773</v>
      </c>
      <c r="P131" s="656"/>
      <c r="Q131" s="643">
        <v>9773</v>
      </c>
    </row>
    <row r="132" spans="1:17" ht="14.4" customHeight="1" x14ac:dyDescent="0.3">
      <c r="A132" s="638" t="s">
        <v>537</v>
      </c>
      <c r="B132" s="639" t="s">
        <v>1882</v>
      </c>
      <c r="C132" s="639" t="s">
        <v>1723</v>
      </c>
      <c r="D132" s="639" t="s">
        <v>1922</v>
      </c>
      <c r="E132" s="639" t="s">
        <v>1923</v>
      </c>
      <c r="F132" s="642"/>
      <c r="G132" s="642"/>
      <c r="H132" s="642"/>
      <c r="I132" s="642"/>
      <c r="J132" s="642"/>
      <c r="K132" s="642"/>
      <c r="L132" s="642"/>
      <c r="M132" s="642"/>
      <c r="N132" s="642">
        <v>1</v>
      </c>
      <c r="O132" s="642">
        <v>16800</v>
      </c>
      <c r="P132" s="656"/>
      <c r="Q132" s="643">
        <v>16800</v>
      </c>
    </row>
    <row r="133" spans="1:17" ht="14.4" customHeight="1" x14ac:dyDescent="0.3">
      <c r="A133" s="638" t="s">
        <v>537</v>
      </c>
      <c r="B133" s="639" t="s">
        <v>1924</v>
      </c>
      <c r="C133" s="639" t="s">
        <v>1723</v>
      </c>
      <c r="D133" s="639" t="s">
        <v>1925</v>
      </c>
      <c r="E133" s="639" t="s">
        <v>1926</v>
      </c>
      <c r="F133" s="642">
        <v>2</v>
      </c>
      <c r="G133" s="642">
        <v>4416</v>
      </c>
      <c r="H133" s="642">
        <v>1</v>
      </c>
      <c r="I133" s="642">
        <v>2208</v>
      </c>
      <c r="J133" s="642"/>
      <c r="K133" s="642"/>
      <c r="L133" s="642"/>
      <c r="M133" s="642"/>
      <c r="N133" s="642"/>
      <c r="O133" s="642"/>
      <c r="P133" s="656"/>
      <c r="Q133" s="643"/>
    </row>
    <row r="134" spans="1:17" ht="14.4" customHeight="1" x14ac:dyDescent="0.3">
      <c r="A134" s="638" t="s">
        <v>537</v>
      </c>
      <c r="B134" s="639" t="s">
        <v>1924</v>
      </c>
      <c r="C134" s="639" t="s">
        <v>1723</v>
      </c>
      <c r="D134" s="639" t="s">
        <v>1927</v>
      </c>
      <c r="E134" s="639" t="s">
        <v>1928</v>
      </c>
      <c r="F134" s="642">
        <v>1</v>
      </c>
      <c r="G134" s="642">
        <v>4421</v>
      </c>
      <c r="H134" s="642">
        <v>1</v>
      </c>
      <c r="I134" s="642">
        <v>4421</v>
      </c>
      <c r="J134" s="642"/>
      <c r="K134" s="642"/>
      <c r="L134" s="642"/>
      <c r="M134" s="642"/>
      <c r="N134" s="642"/>
      <c r="O134" s="642"/>
      <c r="P134" s="656"/>
      <c r="Q134" s="643"/>
    </row>
    <row r="135" spans="1:17" ht="14.4" customHeight="1" x14ac:dyDescent="0.3">
      <c r="A135" s="638" t="s">
        <v>537</v>
      </c>
      <c r="B135" s="639" t="s">
        <v>1929</v>
      </c>
      <c r="C135" s="639" t="s">
        <v>1723</v>
      </c>
      <c r="D135" s="639" t="s">
        <v>1930</v>
      </c>
      <c r="E135" s="639" t="s">
        <v>1931</v>
      </c>
      <c r="F135" s="642">
        <v>1004</v>
      </c>
      <c r="G135" s="642">
        <v>197409</v>
      </c>
      <c r="H135" s="642">
        <v>1</v>
      </c>
      <c r="I135" s="642">
        <v>196.62250996015936</v>
      </c>
      <c r="J135" s="642">
        <v>935</v>
      </c>
      <c r="K135" s="642">
        <v>185127</v>
      </c>
      <c r="L135" s="642">
        <v>0.93778399161132475</v>
      </c>
      <c r="M135" s="642">
        <v>197.99679144385027</v>
      </c>
      <c r="N135" s="642">
        <v>1066</v>
      </c>
      <c r="O135" s="642">
        <v>217416</v>
      </c>
      <c r="P135" s="656">
        <v>1.1013479628588363</v>
      </c>
      <c r="Q135" s="643">
        <v>203.95497185741087</v>
      </c>
    </row>
    <row r="136" spans="1:17" ht="14.4" customHeight="1" x14ac:dyDescent="0.3">
      <c r="A136" s="638" t="s">
        <v>537</v>
      </c>
      <c r="B136" s="639" t="s">
        <v>1932</v>
      </c>
      <c r="C136" s="639" t="s">
        <v>1723</v>
      </c>
      <c r="D136" s="639" t="s">
        <v>1933</v>
      </c>
      <c r="E136" s="639" t="s">
        <v>1934</v>
      </c>
      <c r="F136" s="642"/>
      <c r="G136" s="642"/>
      <c r="H136" s="642"/>
      <c r="I136" s="642"/>
      <c r="J136" s="642">
        <v>1</v>
      </c>
      <c r="K136" s="642">
        <v>3032</v>
      </c>
      <c r="L136" s="642"/>
      <c r="M136" s="642">
        <v>3032</v>
      </c>
      <c r="N136" s="642"/>
      <c r="O136" s="642"/>
      <c r="P136" s="656"/>
      <c r="Q136" s="643"/>
    </row>
    <row r="137" spans="1:17" ht="14.4" customHeight="1" x14ac:dyDescent="0.3">
      <c r="A137" s="638" t="s">
        <v>1935</v>
      </c>
      <c r="B137" s="639" t="s">
        <v>1728</v>
      </c>
      <c r="C137" s="639" t="s">
        <v>1730</v>
      </c>
      <c r="D137" s="639" t="s">
        <v>1734</v>
      </c>
      <c r="E137" s="639" t="s">
        <v>1732</v>
      </c>
      <c r="F137" s="642"/>
      <c r="G137" s="642"/>
      <c r="H137" s="642"/>
      <c r="I137" s="642"/>
      <c r="J137" s="642"/>
      <c r="K137" s="642"/>
      <c r="L137" s="642"/>
      <c r="M137" s="642"/>
      <c r="N137" s="642">
        <v>0</v>
      </c>
      <c r="O137" s="642">
        <v>0</v>
      </c>
      <c r="P137" s="656"/>
      <c r="Q137" s="643"/>
    </row>
    <row r="138" spans="1:17" ht="14.4" customHeight="1" x14ac:dyDescent="0.3">
      <c r="A138" s="638" t="s">
        <v>1935</v>
      </c>
      <c r="B138" s="639" t="s">
        <v>1728</v>
      </c>
      <c r="C138" s="639" t="s">
        <v>1730</v>
      </c>
      <c r="D138" s="639" t="s">
        <v>1734</v>
      </c>
      <c r="E138" s="639" t="s">
        <v>1123</v>
      </c>
      <c r="F138" s="642"/>
      <c r="G138" s="642"/>
      <c r="H138" s="642"/>
      <c r="I138" s="642"/>
      <c r="J138" s="642"/>
      <c r="K138" s="642"/>
      <c r="L138" s="642"/>
      <c r="M138" s="642"/>
      <c r="N138" s="642">
        <v>3</v>
      </c>
      <c r="O138" s="642">
        <v>58962.75</v>
      </c>
      <c r="P138" s="656"/>
      <c r="Q138" s="643">
        <v>19654.25</v>
      </c>
    </row>
    <row r="139" spans="1:17" ht="14.4" customHeight="1" x14ac:dyDescent="0.3">
      <c r="A139" s="638" t="s">
        <v>1935</v>
      </c>
      <c r="B139" s="639" t="s">
        <v>1728</v>
      </c>
      <c r="C139" s="639" t="s">
        <v>1730</v>
      </c>
      <c r="D139" s="639" t="s">
        <v>1735</v>
      </c>
      <c r="E139" s="639" t="s">
        <v>1732</v>
      </c>
      <c r="F139" s="642"/>
      <c r="G139" s="642"/>
      <c r="H139" s="642"/>
      <c r="I139" s="642"/>
      <c r="J139" s="642"/>
      <c r="K139" s="642"/>
      <c r="L139" s="642"/>
      <c r="M139" s="642"/>
      <c r="N139" s="642">
        <v>0</v>
      </c>
      <c r="O139" s="642">
        <v>0</v>
      </c>
      <c r="P139" s="656"/>
      <c r="Q139" s="643"/>
    </row>
    <row r="140" spans="1:17" ht="14.4" customHeight="1" x14ac:dyDescent="0.3">
      <c r="A140" s="638" t="s">
        <v>1935</v>
      </c>
      <c r="B140" s="639" t="s">
        <v>1728</v>
      </c>
      <c r="C140" s="639" t="s">
        <v>1730</v>
      </c>
      <c r="D140" s="639" t="s">
        <v>1735</v>
      </c>
      <c r="E140" s="639" t="s">
        <v>1123</v>
      </c>
      <c r="F140" s="642"/>
      <c r="G140" s="642"/>
      <c r="H140" s="642"/>
      <c r="I140" s="642"/>
      <c r="J140" s="642"/>
      <c r="K140" s="642"/>
      <c r="L140" s="642"/>
      <c r="M140" s="642"/>
      <c r="N140" s="642">
        <v>1</v>
      </c>
      <c r="O140" s="642">
        <v>9827.1200000000008</v>
      </c>
      <c r="P140" s="656"/>
      <c r="Q140" s="643">
        <v>9827.1200000000008</v>
      </c>
    </row>
    <row r="141" spans="1:17" ht="14.4" customHeight="1" x14ac:dyDescent="0.3">
      <c r="A141" s="638" t="s">
        <v>1935</v>
      </c>
      <c r="B141" s="639" t="s">
        <v>1728</v>
      </c>
      <c r="C141" s="639" t="s">
        <v>1723</v>
      </c>
      <c r="D141" s="639" t="s">
        <v>1744</v>
      </c>
      <c r="E141" s="639" t="s">
        <v>1745</v>
      </c>
      <c r="F141" s="642"/>
      <c r="G141" s="642"/>
      <c r="H141" s="642"/>
      <c r="I141" s="642"/>
      <c r="J141" s="642"/>
      <c r="K141" s="642"/>
      <c r="L141" s="642"/>
      <c r="M141" s="642"/>
      <c r="N141" s="642">
        <v>1</v>
      </c>
      <c r="O141" s="642">
        <v>177</v>
      </c>
      <c r="P141" s="656"/>
      <c r="Q141" s="643">
        <v>177</v>
      </c>
    </row>
    <row r="142" spans="1:17" ht="14.4" customHeight="1" x14ac:dyDescent="0.3">
      <c r="A142" s="638" t="s">
        <v>1935</v>
      </c>
      <c r="B142" s="639" t="s">
        <v>1728</v>
      </c>
      <c r="C142" s="639" t="s">
        <v>1723</v>
      </c>
      <c r="D142" s="639" t="s">
        <v>1746</v>
      </c>
      <c r="E142" s="639" t="s">
        <v>1747</v>
      </c>
      <c r="F142" s="642"/>
      <c r="G142" s="642"/>
      <c r="H142" s="642"/>
      <c r="I142" s="642"/>
      <c r="J142" s="642"/>
      <c r="K142" s="642"/>
      <c r="L142" s="642"/>
      <c r="M142" s="642"/>
      <c r="N142" s="642">
        <v>3</v>
      </c>
      <c r="O142" s="642">
        <v>0</v>
      </c>
      <c r="P142" s="656"/>
      <c r="Q142" s="643">
        <v>0</v>
      </c>
    </row>
    <row r="143" spans="1:17" ht="14.4" customHeight="1" thickBot="1" x14ac:dyDescent="0.35">
      <c r="A143" s="644" t="s">
        <v>1935</v>
      </c>
      <c r="B143" s="645" t="s">
        <v>1728</v>
      </c>
      <c r="C143" s="645" t="s">
        <v>1723</v>
      </c>
      <c r="D143" s="645" t="s">
        <v>1724</v>
      </c>
      <c r="E143" s="645" t="s">
        <v>1725</v>
      </c>
      <c r="F143" s="648"/>
      <c r="G143" s="648"/>
      <c r="H143" s="648"/>
      <c r="I143" s="648"/>
      <c r="J143" s="648"/>
      <c r="K143" s="648"/>
      <c r="L143" s="648"/>
      <c r="M143" s="648"/>
      <c r="N143" s="648">
        <v>1</v>
      </c>
      <c r="O143" s="648">
        <v>354</v>
      </c>
      <c r="P143" s="657"/>
      <c r="Q143" s="649">
        <v>354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46" customWidth="1"/>
    <col min="2" max="4" width="7.88671875" style="346" customWidth="1"/>
    <col min="5" max="5" width="7.88671875" style="355" customWidth="1"/>
    <col min="6" max="8" width="7.88671875" style="346" customWidth="1"/>
    <col min="9" max="9" width="7.88671875" style="356" customWidth="1"/>
    <col min="10" max="13" width="7.88671875" style="346" customWidth="1"/>
    <col min="14" max="16384" width="9.33203125" style="346"/>
  </cols>
  <sheetData>
    <row r="1" spans="1:13" ht="18.600000000000001" customHeight="1" thickBot="1" x14ac:dyDescent="0.4">
      <c r="A1" s="565" t="s">
        <v>128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ht="14.4" customHeight="1" thickBot="1" x14ac:dyDescent="0.35">
      <c r="A2" s="368" t="s">
        <v>301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</row>
    <row r="3" spans="1:13" ht="14.4" customHeight="1" thickBot="1" x14ac:dyDescent="0.35">
      <c r="A3" s="566" t="s">
        <v>63</v>
      </c>
      <c r="B3" s="528" t="s">
        <v>64</v>
      </c>
      <c r="C3" s="529"/>
      <c r="D3" s="529"/>
      <c r="E3" s="530"/>
      <c r="F3" s="528" t="s">
        <v>248</v>
      </c>
      <c r="G3" s="529"/>
      <c r="H3" s="529"/>
      <c r="I3" s="530"/>
      <c r="J3" s="113"/>
      <c r="K3" s="114"/>
      <c r="L3" s="113"/>
      <c r="M3" s="115"/>
    </row>
    <row r="4" spans="1:13" ht="14.4" customHeight="1" thickBot="1" x14ac:dyDescent="0.35">
      <c r="A4" s="567"/>
      <c r="B4" s="116">
        <v>2014</v>
      </c>
      <c r="C4" s="117">
        <v>2015</v>
      </c>
      <c r="D4" s="117">
        <v>2016</v>
      </c>
      <c r="E4" s="118" t="s">
        <v>2</v>
      </c>
      <c r="F4" s="116">
        <v>2014</v>
      </c>
      <c r="G4" s="117">
        <v>2015</v>
      </c>
      <c r="H4" s="117">
        <v>2016</v>
      </c>
      <c r="I4" s="118" t="s">
        <v>2</v>
      </c>
      <c r="J4" s="113"/>
      <c r="K4" s="113"/>
      <c r="L4" s="119" t="s">
        <v>65</v>
      </c>
      <c r="M4" s="120" t="s">
        <v>66</v>
      </c>
    </row>
    <row r="5" spans="1:13" ht="14.4" hidden="1" customHeight="1" outlineLevel="1" x14ac:dyDescent="0.3">
      <c r="A5" s="108" t="s">
        <v>160</v>
      </c>
      <c r="B5" s="111">
        <v>530.38300000000004</v>
      </c>
      <c r="C5" s="104">
        <v>468.80700000000002</v>
      </c>
      <c r="D5" s="104">
        <v>499.69200000000001</v>
      </c>
      <c r="E5" s="121">
        <v>0.94213426900937614</v>
      </c>
      <c r="F5" s="122">
        <v>331</v>
      </c>
      <c r="G5" s="104">
        <v>356</v>
      </c>
      <c r="H5" s="104">
        <v>404</v>
      </c>
      <c r="I5" s="123">
        <v>1.2205438066465257</v>
      </c>
      <c r="J5" s="113"/>
      <c r="K5" s="113"/>
      <c r="L5" s="7">
        <f>D5-B5</f>
        <v>-30.691000000000031</v>
      </c>
      <c r="M5" s="8">
        <f>H5-F5</f>
        <v>73</v>
      </c>
    </row>
    <row r="6" spans="1:13" ht="14.4" hidden="1" customHeight="1" outlineLevel="1" x14ac:dyDescent="0.3">
      <c r="A6" s="109" t="s">
        <v>161</v>
      </c>
      <c r="B6" s="112">
        <v>188.934</v>
      </c>
      <c r="C6" s="103">
        <v>264.84899999999999</v>
      </c>
      <c r="D6" s="103">
        <v>155.024</v>
      </c>
      <c r="E6" s="124">
        <v>0.82051933479416095</v>
      </c>
      <c r="F6" s="125">
        <v>158</v>
      </c>
      <c r="G6" s="103">
        <v>177</v>
      </c>
      <c r="H6" s="103">
        <v>154</v>
      </c>
      <c r="I6" s="126">
        <v>0.97468354430379744</v>
      </c>
      <c r="J6" s="113"/>
      <c r="K6" s="113"/>
      <c r="L6" s="5">
        <f t="shared" ref="L6:L11" si="0">D6-B6</f>
        <v>-33.909999999999997</v>
      </c>
      <c r="M6" s="6">
        <f t="shared" ref="M6:M13" si="1">H6-F6</f>
        <v>-4</v>
      </c>
    </row>
    <row r="7" spans="1:13" ht="14.4" hidden="1" customHeight="1" outlineLevel="1" x14ac:dyDescent="0.3">
      <c r="A7" s="109" t="s">
        <v>162</v>
      </c>
      <c r="B7" s="112">
        <v>560.06799999999998</v>
      </c>
      <c r="C7" s="103">
        <v>912.48800000000006</v>
      </c>
      <c r="D7" s="103">
        <v>667.71199999999999</v>
      </c>
      <c r="E7" s="124">
        <v>1.1921980902319005</v>
      </c>
      <c r="F7" s="125">
        <v>671</v>
      </c>
      <c r="G7" s="103">
        <v>589</v>
      </c>
      <c r="H7" s="103">
        <v>611</v>
      </c>
      <c r="I7" s="126">
        <v>0.91058122205663194</v>
      </c>
      <c r="J7" s="113"/>
      <c r="K7" s="113"/>
      <c r="L7" s="5">
        <f t="shared" si="0"/>
        <v>107.64400000000001</v>
      </c>
      <c r="M7" s="6">
        <f t="shared" si="1"/>
        <v>-60</v>
      </c>
    </row>
    <row r="8" spans="1:13" ht="14.4" hidden="1" customHeight="1" outlineLevel="1" x14ac:dyDescent="0.3">
      <c r="A8" s="109" t="s">
        <v>163</v>
      </c>
      <c r="B8" s="112">
        <v>60.33</v>
      </c>
      <c r="C8" s="103">
        <v>89.787999999999997</v>
      </c>
      <c r="D8" s="103">
        <v>57.280999999999999</v>
      </c>
      <c r="E8" s="124">
        <v>0.94946129620421016</v>
      </c>
      <c r="F8" s="125">
        <v>53</v>
      </c>
      <c r="G8" s="103">
        <v>56</v>
      </c>
      <c r="H8" s="103">
        <v>41</v>
      </c>
      <c r="I8" s="126">
        <v>0.77358490566037741</v>
      </c>
      <c r="J8" s="113"/>
      <c r="K8" s="113"/>
      <c r="L8" s="5">
        <f t="shared" si="0"/>
        <v>-3.0489999999999995</v>
      </c>
      <c r="M8" s="6">
        <f t="shared" si="1"/>
        <v>-12</v>
      </c>
    </row>
    <row r="9" spans="1:13" ht="14.4" hidden="1" customHeight="1" outlineLevel="1" x14ac:dyDescent="0.3">
      <c r="A9" s="109" t="s">
        <v>164</v>
      </c>
      <c r="B9" s="112">
        <v>0</v>
      </c>
      <c r="C9" s="103">
        <v>0</v>
      </c>
      <c r="D9" s="103">
        <v>0</v>
      </c>
      <c r="E9" s="124" t="s">
        <v>539</v>
      </c>
      <c r="F9" s="125">
        <v>0</v>
      </c>
      <c r="G9" s="103">
        <v>0</v>
      </c>
      <c r="H9" s="103">
        <v>0</v>
      </c>
      <c r="I9" s="126" t="s">
        <v>539</v>
      </c>
      <c r="J9" s="113"/>
      <c r="K9" s="11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9" t="s">
        <v>165</v>
      </c>
      <c r="B10" s="112">
        <v>212.26</v>
      </c>
      <c r="C10" s="103">
        <v>206.874</v>
      </c>
      <c r="D10" s="103">
        <v>162.61600000000001</v>
      </c>
      <c r="E10" s="124">
        <v>0.76611702628851419</v>
      </c>
      <c r="F10" s="125">
        <v>208</v>
      </c>
      <c r="G10" s="103">
        <v>194</v>
      </c>
      <c r="H10" s="103">
        <v>193</v>
      </c>
      <c r="I10" s="126">
        <v>0.92788461538461542</v>
      </c>
      <c r="J10" s="113"/>
      <c r="K10" s="113"/>
      <c r="L10" s="5">
        <f t="shared" si="0"/>
        <v>-49.643999999999977</v>
      </c>
      <c r="M10" s="6">
        <f t="shared" si="1"/>
        <v>-15</v>
      </c>
    </row>
    <row r="11" spans="1:13" ht="14.4" hidden="1" customHeight="1" outlineLevel="1" x14ac:dyDescent="0.3">
      <c r="A11" s="109" t="s">
        <v>166</v>
      </c>
      <c r="B11" s="112">
        <v>110.878</v>
      </c>
      <c r="C11" s="103">
        <v>123.985</v>
      </c>
      <c r="D11" s="103">
        <v>32.262</v>
      </c>
      <c r="E11" s="124">
        <v>0.2909684518119014</v>
      </c>
      <c r="F11" s="125">
        <v>23</v>
      </c>
      <c r="G11" s="103">
        <v>41</v>
      </c>
      <c r="H11" s="103">
        <v>35</v>
      </c>
      <c r="I11" s="126">
        <v>1.5217391304347827</v>
      </c>
      <c r="J11" s="113"/>
      <c r="K11" s="113"/>
      <c r="L11" s="5">
        <f t="shared" si="0"/>
        <v>-78.616</v>
      </c>
      <c r="M11" s="6">
        <f t="shared" si="1"/>
        <v>12</v>
      </c>
    </row>
    <row r="12" spans="1:13" ht="14.4" hidden="1" customHeight="1" outlineLevel="1" thickBot="1" x14ac:dyDescent="0.35">
      <c r="A12" s="234" t="s">
        <v>202</v>
      </c>
      <c r="B12" s="235">
        <v>22.202999999999999</v>
      </c>
      <c r="C12" s="236">
        <v>1.841</v>
      </c>
      <c r="D12" s="236">
        <v>0</v>
      </c>
      <c r="E12" s="237"/>
      <c r="F12" s="238">
        <v>8</v>
      </c>
      <c r="G12" s="236">
        <v>5</v>
      </c>
      <c r="H12" s="236">
        <v>0</v>
      </c>
      <c r="I12" s="239"/>
      <c r="J12" s="113"/>
      <c r="K12" s="113"/>
      <c r="L12" s="240">
        <f>D12-B12</f>
        <v>-22.202999999999999</v>
      </c>
      <c r="M12" s="241">
        <f>H12-F12</f>
        <v>-8</v>
      </c>
    </row>
    <row r="13" spans="1:13" ht="14.4" customHeight="1" collapsed="1" thickBot="1" x14ac:dyDescent="0.35">
      <c r="A13" s="110" t="s">
        <v>3</v>
      </c>
      <c r="B13" s="105">
        <f>SUM(B5:B12)</f>
        <v>1685.0559999999998</v>
      </c>
      <c r="C13" s="106">
        <f>SUM(C5:C12)</f>
        <v>2068.6320000000001</v>
      </c>
      <c r="D13" s="106">
        <f>SUM(D5:D12)</f>
        <v>1574.5869999999998</v>
      </c>
      <c r="E13" s="127">
        <f>IF(OR(D13=0,B13=0),0,D13/B13)</f>
        <v>0.93444194139541947</v>
      </c>
      <c r="F13" s="128">
        <f>SUM(F5:F12)</f>
        <v>1452</v>
      </c>
      <c r="G13" s="106">
        <f>SUM(G5:G12)</f>
        <v>1418</v>
      </c>
      <c r="H13" s="106">
        <f>SUM(H5:H12)</f>
        <v>1438</v>
      </c>
      <c r="I13" s="129">
        <f>IF(OR(H13=0,F13=0),0,H13/F13)</f>
        <v>0.99035812672176304</v>
      </c>
      <c r="J13" s="113"/>
      <c r="K13" s="113"/>
      <c r="L13" s="119">
        <f>D13-B13</f>
        <v>-110.46900000000005</v>
      </c>
      <c r="M13" s="130">
        <f t="shared" si="1"/>
        <v>-14</v>
      </c>
    </row>
    <row r="14" spans="1:13" ht="14.4" customHeight="1" x14ac:dyDescent="0.3">
      <c r="A14" s="131"/>
      <c r="B14" s="559"/>
      <c r="C14" s="559"/>
      <c r="D14" s="559"/>
      <c r="E14" s="559"/>
      <c r="F14" s="559"/>
      <c r="G14" s="559"/>
      <c r="H14" s="559"/>
      <c r="I14" s="559"/>
      <c r="J14" s="113"/>
      <c r="K14" s="113"/>
      <c r="L14" s="113"/>
      <c r="M14" s="115"/>
    </row>
    <row r="15" spans="1:13" ht="14.4" customHeight="1" thickBot="1" x14ac:dyDescent="0.35">
      <c r="A15" s="131"/>
      <c r="B15" s="348"/>
      <c r="C15" s="349"/>
      <c r="D15" s="349"/>
      <c r="E15" s="349"/>
      <c r="F15" s="348"/>
      <c r="G15" s="349"/>
      <c r="H15" s="349"/>
      <c r="I15" s="349"/>
      <c r="J15" s="113"/>
      <c r="K15" s="113"/>
      <c r="L15" s="113"/>
      <c r="M15" s="115"/>
    </row>
    <row r="16" spans="1:13" ht="14.4" customHeight="1" thickBot="1" x14ac:dyDescent="0.35">
      <c r="A16" s="554" t="s">
        <v>198</v>
      </c>
      <c r="B16" s="556" t="s">
        <v>64</v>
      </c>
      <c r="C16" s="557"/>
      <c r="D16" s="557"/>
      <c r="E16" s="558"/>
      <c r="F16" s="556" t="s">
        <v>248</v>
      </c>
      <c r="G16" s="557"/>
      <c r="H16" s="557"/>
      <c r="I16" s="558"/>
      <c r="J16" s="561" t="s">
        <v>171</v>
      </c>
      <c r="K16" s="562"/>
      <c r="L16" s="148"/>
      <c r="M16" s="148"/>
    </row>
    <row r="17" spans="1:13" ht="14.4" customHeight="1" thickBot="1" x14ac:dyDescent="0.35">
      <c r="A17" s="555"/>
      <c r="B17" s="132">
        <v>2014</v>
      </c>
      <c r="C17" s="133">
        <v>2015</v>
      </c>
      <c r="D17" s="133">
        <v>2016</v>
      </c>
      <c r="E17" s="134" t="s">
        <v>2</v>
      </c>
      <c r="F17" s="132">
        <v>2014</v>
      </c>
      <c r="G17" s="133">
        <v>2015</v>
      </c>
      <c r="H17" s="133">
        <v>2016</v>
      </c>
      <c r="I17" s="134" t="s">
        <v>2</v>
      </c>
      <c r="J17" s="563" t="s">
        <v>172</v>
      </c>
      <c r="K17" s="564"/>
      <c r="L17" s="135" t="s">
        <v>65</v>
      </c>
      <c r="M17" s="136" t="s">
        <v>66</v>
      </c>
    </row>
    <row r="18" spans="1:13" ht="14.4" hidden="1" customHeight="1" outlineLevel="1" x14ac:dyDescent="0.3">
      <c r="A18" s="108" t="s">
        <v>160</v>
      </c>
      <c r="B18" s="111">
        <v>1.288</v>
      </c>
      <c r="C18" s="104">
        <v>3.5350000000000001</v>
      </c>
      <c r="D18" s="104">
        <v>2.98</v>
      </c>
      <c r="E18" s="121">
        <v>2.3136645962732918</v>
      </c>
      <c r="F18" s="111">
        <v>4</v>
      </c>
      <c r="G18" s="104">
        <v>11</v>
      </c>
      <c r="H18" s="104">
        <v>5</v>
      </c>
      <c r="I18" s="123">
        <v>1.25</v>
      </c>
      <c r="J18" s="547">
        <v>0.91871999999999998</v>
      </c>
      <c r="K18" s="548"/>
      <c r="L18" s="137">
        <f>D18-B18</f>
        <v>1.6919999999999999</v>
      </c>
      <c r="M18" s="138">
        <f>H18-F18</f>
        <v>1</v>
      </c>
    </row>
    <row r="19" spans="1:13" ht="14.4" hidden="1" customHeight="1" outlineLevel="1" x14ac:dyDescent="0.3">
      <c r="A19" s="109" t="s">
        <v>161</v>
      </c>
      <c r="B19" s="112">
        <v>0</v>
      </c>
      <c r="C19" s="103">
        <v>0.72</v>
      </c>
      <c r="D19" s="103">
        <v>0</v>
      </c>
      <c r="E19" s="124" t="s">
        <v>539</v>
      </c>
      <c r="F19" s="112">
        <v>0</v>
      </c>
      <c r="G19" s="103">
        <v>3</v>
      </c>
      <c r="H19" s="103">
        <v>0</v>
      </c>
      <c r="I19" s="126" t="s">
        <v>539</v>
      </c>
      <c r="J19" s="547">
        <v>0.99456</v>
      </c>
      <c r="K19" s="548"/>
      <c r="L19" s="139">
        <f t="shared" ref="L19:L26" si="2">D19-B19</f>
        <v>0</v>
      </c>
      <c r="M19" s="140">
        <f t="shared" ref="M19:M26" si="3">H19-F19</f>
        <v>0</v>
      </c>
    </row>
    <row r="20" spans="1:13" ht="14.4" hidden="1" customHeight="1" outlineLevel="1" x14ac:dyDescent="0.3">
      <c r="A20" s="109" t="s">
        <v>162</v>
      </c>
      <c r="B20" s="112">
        <v>1.5840000000000001</v>
      </c>
      <c r="C20" s="103">
        <v>7.7789999999999999</v>
      </c>
      <c r="D20" s="103">
        <v>3.4060000000000001</v>
      </c>
      <c r="E20" s="124">
        <v>2.1502525252525251</v>
      </c>
      <c r="F20" s="112">
        <v>5</v>
      </c>
      <c r="G20" s="103">
        <v>10</v>
      </c>
      <c r="H20" s="103">
        <v>9</v>
      </c>
      <c r="I20" s="126">
        <v>1.8</v>
      </c>
      <c r="J20" s="547">
        <v>0.96671999999999991</v>
      </c>
      <c r="K20" s="548"/>
      <c r="L20" s="139">
        <f t="shared" si="2"/>
        <v>1.8220000000000001</v>
      </c>
      <c r="M20" s="140">
        <f t="shared" si="3"/>
        <v>4</v>
      </c>
    </row>
    <row r="21" spans="1:13" ht="14.4" hidden="1" customHeight="1" outlineLevel="1" x14ac:dyDescent="0.3">
      <c r="A21" s="109" t="s">
        <v>163</v>
      </c>
      <c r="B21" s="112">
        <v>0.25700000000000001</v>
      </c>
      <c r="C21" s="103">
        <v>0.17699999999999999</v>
      </c>
      <c r="D21" s="103">
        <v>0</v>
      </c>
      <c r="E21" s="124" t="s">
        <v>539</v>
      </c>
      <c r="F21" s="112">
        <v>1</v>
      </c>
      <c r="G21" s="103">
        <v>1</v>
      </c>
      <c r="H21" s="103">
        <v>0</v>
      </c>
      <c r="I21" s="126" t="s">
        <v>539</v>
      </c>
      <c r="J21" s="547">
        <v>1.11744</v>
      </c>
      <c r="K21" s="548"/>
      <c r="L21" s="139">
        <f t="shared" si="2"/>
        <v>-0.25700000000000001</v>
      </c>
      <c r="M21" s="140">
        <f t="shared" si="3"/>
        <v>-1</v>
      </c>
    </row>
    <row r="22" spans="1:13" ht="14.4" hidden="1" customHeight="1" outlineLevel="1" x14ac:dyDescent="0.3">
      <c r="A22" s="109" t="s">
        <v>164</v>
      </c>
      <c r="B22" s="112">
        <v>0</v>
      </c>
      <c r="C22" s="103">
        <v>0</v>
      </c>
      <c r="D22" s="103">
        <v>0</v>
      </c>
      <c r="E22" s="124" t="s">
        <v>539</v>
      </c>
      <c r="F22" s="112">
        <v>0</v>
      </c>
      <c r="G22" s="103">
        <v>0</v>
      </c>
      <c r="H22" s="103">
        <v>0</v>
      </c>
      <c r="I22" s="126" t="s">
        <v>539</v>
      </c>
      <c r="J22" s="547">
        <v>0.96</v>
      </c>
      <c r="K22" s="548"/>
      <c r="L22" s="139">
        <f t="shared" si="2"/>
        <v>0</v>
      </c>
      <c r="M22" s="140">
        <f t="shared" si="3"/>
        <v>0</v>
      </c>
    </row>
    <row r="23" spans="1:13" ht="14.4" hidden="1" customHeight="1" outlineLevel="1" x14ac:dyDescent="0.3">
      <c r="A23" s="109" t="s">
        <v>165</v>
      </c>
      <c r="B23" s="112">
        <v>1.946</v>
      </c>
      <c r="C23" s="103">
        <v>1.107</v>
      </c>
      <c r="D23" s="103">
        <v>0.94799999999999995</v>
      </c>
      <c r="E23" s="124">
        <v>0.48715313463514903</v>
      </c>
      <c r="F23" s="112">
        <v>3</v>
      </c>
      <c r="G23" s="103">
        <v>2</v>
      </c>
      <c r="H23" s="103">
        <v>4</v>
      </c>
      <c r="I23" s="126">
        <v>1.3333333333333333</v>
      </c>
      <c r="J23" s="547">
        <v>0.98495999999999995</v>
      </c>
      <c r="K23" s="548"/>
      <c r="L23" s="139">
        <f t="shared" si="2"/>
        <v>-0.998</v>
      </c>
      <c r="M23" s="140">
        <f t="shared" si="3"/>
        <v>1</v>
      </c>
    </row>
    <row r="24" spans="1:13" ht="14.4" hidden="1" customHeight="1" outlineLevel="1" x14ac:dyDescent="0.3">
      <c r="A24" s="109" t="s">
        <v>166</v>
      </c>
      <c r="B24" s="112">
        <v>0</v>
      </c>
      <c r="C24" s="103">
        <v>0</v>
      </c>
      <c r="D24" s="103">
        <v>0</v>
      </c>
      <c r="E24" s="124" t="s">
        <v>539</v>
      </c>
      <c r="F24" s="112">
        <v>0</v>
      </c>
      <c r="G24" s="103">
        <v>0</v>
      </c>
      <c r="H24" s="103">
        <v>0</v>
      </c>
      <c r="I24" s="126" t="s">
        <v>539</v>
      </c>
      <c r="J24" s="547">
        <v>1.0147199999999998</v>
      </c>
      <c r="K24" s="548"/>
      <c r="L24" s="139">
        <f t="shared" si="2"/>
        <v>0</v>
      </c>
      <c r="M24" s="140">
        <f t="shared" si="3"/>
        <v>0</v>
      </c>
    </row>
    <row r="25" spans="1:13" ht="14.4" hidden="1" customHeight="1" outlineLevel="1" thickBot="1" x14ac:dyDescent="0.35">
      <c r="A25" s="234" t="s">
        <v>202</v>
      </c>
      <c r="B25" s="235">
        <v>0.24</v>
      </c>
      <c r="C25" s="236">
        <v>0</v>
      </c>
      <c r="D25" s="236">
        <v>0</v>
      </c>
      <c r="E25" s="237"/>
      <c r="F25" s="235">
        <v>2</v>
      </c>
      <c r="G25" s="236">
        <v>0</v>
      </c>
      <c r="H25" s="236">
        <v>0</v>
      </c>
      <c r="I25" s="239"/>
      <c r="J25" s="350"/>
      <c r="K25" s="351"/>
      <c r="L25" s="242">
        <f>D25-B25</f>
        <v>-0.24</v>
      </c>
      <c r="M25" s="243">
        <f>H25-F25</f>
        <v>-2</v>
      </c>
    </row>
    <row r="26" spans="1:13" ht="14.4" customHeight="1" collapsed="1" thickBot="1" x14ac:dyDescent="0.35">
      <c r="A26" s="141" t="s">
        <v>3</v>
      </c>
      <c r="B26" s="142">
        <f>SUM(B18:B25)</f>
        <v>5.3150000000000004</v>
      </c>
      <c r="C26" s="143">
        <f>SUM(C18:C25)</f>
        <v>13.317999999999998</v>
      </c>
      <c r="D26" s="143">
        <f>SUM(D18:D25)</f>
        <v>7.3339999999999996</v>
      </c>
      <c r="E26" s="144">
        <f>IF(OR(D26=0,B26=0),0,D26/B26)</f>
        <v>1.3798682972718719</v>
      </c>
      <c r="F26" s="142">
        <f>SUM(F18:F25)</f>
        <v>15</v>
      </c>
      <c r="G26" s="143">
        <f>SUM(G18:G25)</f>
        <v>27</v>
      </c>
      <c r="H26" s="143">
        <f>SUM(H18:H25)</f>
        <v>18</v>
      </c>
      <c r="I26" s="145">
        <f>IF(OR(H26=0,F26=0),0,H26/F26)</f>
        <v>1.2</v>
      </c>
      <c r="J26" s="113"/>
      <c r="K26" s="113"/>
      <c r="L26" s="135">
        <f t="shared" si="2"/>
        <v>2.0189999999999992</v>
      </c>
      <c r="M26" s="146">
        <f t="shared" si="3"/>
        <v>3</v>
      </c>
    </row>
    <row r="27" spans="1:13" ht="14.4" customHeight="1" x14ac:dyDescent="0.3">
      <c r="A27" s="147"/>
      <c r="B27" s="559" t="s">
        <v>200</v>
      </c>
      <c r="C27" s="560"/>
      <c r="D27" s="560"/>
      <c r="E27" s="560"/>
      <c r="F27" s="559" t="s">
        <v>201</v>
      </c>
      <c r="G27" s="560"/>
      <c r="H27" s="560"/>
      <c r="I27" s="560"/>
      <c r="J27" s="148"/>
      <c r="K27" s="148"/>
      <c r="L27" s="148"/>
      <c r="M27" s="149"/>
    </row>
    <row r="28" spans="1:13" ht="14.4" customHeight="1" thickBot="1" x14ac:dyDescent="0.35">
      <c r="A28" s="147"/>
      <c r="B28" s="348"/>
      <c r="C28" s="349"/>
      <c r="D28" s="349"/>
      <c r="E28" s="349"/>
      <c r="F28" s="348"/>
      <c r="G28" s="349"/>
      <c r="H28" s="349"/>
      <c r="I28" s="349"/>
      <c r="J28" s="148"/>
      <c r="K28" s="148"/>
      <c r="L28" s="148"/>
      <c r="M28" s="149"/>
    </row>
    <row r="29" spans="1:13" ht="14.4" customHeight="1" thickBot="1" x14ac:dyDescent="0.35">
      <c r="A29" s="549" t="s">
        <v>199</v>
      </c>
      <c r="B29" s="551" t="s">
        <v>64</v>
      </c>
      <c r="C29" s="552"/>
      <c r="D29" s="552"/>
      <c r="E29" s="553"/>
      <c r="F29" s="552" t="s">
        <v>248</v>
      </c>
      <c r="G29" s="552"/>
      <c r="H29" s="552"/>
      <c r="I29" s="553"/>
      <c r="J29" s="148"/>
      <c r="K29" s="148"/>
      <c r="L29" s="148"/>
      <c r="M29" s="149"/>
    </row>
    <row r="30" spans="1:13" ht="14.4" customHeight="1" thickBot="1" x14ac:dyDescent="0.35">
      <c r="A30" s="550"/>
      <c r="B30" s="150">
        <v>2014</v>
      </c>
      <c r="C30" s="151">
        <v>2015</v>
      </c>
      <c r="D30" s="151">
        <v>2016</v>
      </c>
      <c r="E30" s="152" t="s">
        <v>2</v>
      </c>
      <c r="F30" s="151">
        <v>2014</v>
      </c>
      <c r="G30" s="151">
        <v>2015</v>
      </c>
      <c r="H30" s="151">
        <v>2016</v>
      </c>
      <c r="I30" s="152" t="s">
        <v>2</v>
      </c>
      <c r="J30" s="148"/>
      <c r="K30" s="148"/>
      <c r="L30" s="153" t="s">
        <v>65</v>
      </c>
      <c r="M30" s="154" t="s">
        <v>66</v>
      </c>
    </row>
    <row r="31" spans="1:13" ht="14.4" hidden="1" customHeight="1" outlineLevel="1" x14ac:dyDescent="0.3">
      <c r="A31" s="108" t="s">
        <v>160</v>
      </c>
      <c r="B31" s="111">
        <v>0</v>
      </c>
      <c r="C31" s="104">
        <v>0</v>
      </c>
      <c r="D31" s="104">
        <v>0</v>
      </c>
      <c r="E31" s="121" t="s">
        <v>539</v>
      </c>
      <c r="F31" s="122">
        <v>0</v>
      </c>
      <c r="G31" s="104">
        <v>0</v>
      </c>
      <c r="H31" s="104">
        <v>0</v>
      </c>
      <c r="I31" s="123" t="s">
        <v>539</v>
      </c>
      <c r="J31" s="148"/>
      <c r="K31" s="148"/>
      <c r="L31" s="137">
        <f t="shared" ref="L31:L39" si="4">D31-B31</f>
        <v>0</v>
      </c>
      <c r="M31" s="138">
        <f t="shared" ref="M31:M39" si="5">H31-F31</f>
        <v>0</v>
      </c>
    </row>
    <row r="32" spans="1:13" ht="14.4" hidden="1" customHeight="1" outlineLevel="1" x14ac:dyDescent="0.3">
      <c r="A32" s="109" t="s">
        <v>161</v>
      </c>
      <c r="B32" s="112">
        <v>0</v>
      </c>
      <c r="C32" s="103">
        <v>0</v>
      </c>
      <c r="D32" s="103">
        <v>0</v>
      </c>
      <c r="E32" s="124" t="s">
        <v>539</v>
      </c>
      <c r="F32" s="125">
        <v>0</v>
      </c>
      <c r="G32" s="103">
        <v>0</v>
      </c>
      <c r="H32" s="103">
        <v>0</v>
      </c>
      <c r="I32" s="126" t="s">
        <v>539</v>
      </c>
      <c r="J32" s="148"/>
      <c r="K32" s="148"/>
      <c r="L32" s="139">
        <f t="shared" si="4"/>
        <v>0</v>
      </c>
      <c r="M32" s="140">
        <f t="shared" si="5"/>
        <v>0</v>
      </c>
    </row>
    <row r="33" spans="1:13" ht="14.4" hidden="1" customHeight="1" outlineLevel="1" x14ac:dyDescent="0.3">
      <c r="A33" s="109" t="s">
        <v>162</v>
      </c>
      <c r="B33" s="112">
        <v>0</v>
      </c>
      <c r="C33" s="103">
        <v>0</v>
      </c>
      <c r="D33" s="103">
        <v>0</v>
      </c>
      <c r="E33" s="124" t="s">
        <v>539</v>
      </c>
      <c r="F33" s="125">
        <v>0</v>
      </c>
      <c r="G33" s="103">
        <v>0</v>
      </c>
      <c r="H33" s="103">
        <v>0</v>
      </c>
      <c r="I33" s="126" t="s">
        <v>539</v>
      </c>
      <c r="J33" s="148"/>
      <c r="K33" s="148"/>
      <c r="L33" s="139">
        <f t="shared" si="4"/>
        <v>0</v>
      </c>
      <c r="M33" s="140">
        <f t="shared" si="5"/>
        <v>0</v>
      </c>
    </row>
    <row r="34" spans="1:13" ht="14.4" hidden="1" customHeight="1" outlineLevel="1" x14ac:dyDescent="0.3">
      <c r="A34" s="109" t="s">
        <v>163</v>
      </c>
      <c r="B34" s="112">
        <v>0</v>
      </c>
      <c r="C34" s="103">
        <v>0</v>
      </c>
      <c r="D34" s="103">
        <v>0</v>
      </c>
      <c r="E34" s="124" t="s">
        <v>539</v>
      </c>
      <c r="F34" s="125">
        <v>0</v>
      </c>
      <c r="G34" s="103">
        <v>0</v>
      </c>
      <c r="H34" s="103">
        <v>0</v>
      </c>
      <c r="I34" s="126" t="s">
        <v>539</v>
      </c>
      <c r="J34" s="148"/>
      <c r="K34" s="148"/>
      <c r="L34" s="139">
        <f t="shared" si="4"/>
        <v>0</v>
      </c>
      <c r="M34" s="140">
        <f t="shared" si="5"/>
        <v>0</v>
      </c>
    </row>
    <row r="35" spans="1:13" ht="14.4" hidden="1" customHeight="1" outlineLevel="1" x14ac:dyDescent="0.3">
      <c r="A35" s="109" t="s">
        <v>164</v>
      </c>
      <c r="B35" s="112">
        <v>0</v>
      </c>
      <c r="C35" s="103">
        <v>0</v>
      </c>
      <c r="D35" s="103">
        <v>0</v>
      </c>
      <c r="E35" s="124" t="s">
        <v>539</v>
      </c>
      <c r="F35" s="125">
        <v>0</v>
      </c>
      <c r="G35" s="103">
        <v>0</v>
      </c>
      <c r="H35" s="103">
        <v>0</v>
      </c>
      <c r="I35" s="126" t="s">
        <v>539</v>
      </c>
      <c r="J35" s="148"/>
      <c r="K35" s="148"/>
      <c r="L35" s="139">
        <f t="shared" si="4"/>
        <v>0</v>
      </c>
      <c r="M35" s="140">
        <f t="shared" si="5"/>
        <v>0</v>
      </c>
    </row>
    <row r="36" spans="1:13" ht="14.4" hidden="1" customHeight="1" outlineLevel="1" x14ac:dyDescent="0.3">
      <c r="A36" s="109" t="s">
        <v>165</v>
      </c>
      <c r="B36" s="112">
        <v>0</v>
      </c>
      <c r="C36" s="103">
        <v>0</v>
      </c>
      <c r="D36" s="103">
        <v>0</v>
      </c>
      <c r="E36" s="124" t="s">
        <v>539</v>
      </c>
      <c r="F36" s="125">
        <v>0</v>
      </c>
      <c r="G36" s="103">
        <v>0</v>
      </c>
      <c r="H36" s="103">
        <v>0</v>
      </c>
      <c r="I36" s="126" t="s">
        <v>539</v>
      </c>
      <c r="J36" s="148"/>
      <c r="K36" s="148"/>
      <c r="L36" s="139">
        <f t="shared" si="4"/>
        <v>0</v>
      </c>
      <c r="M36" s="140">
        <f t="shared" si="5"/>
        <v>0</v>
      </c>
    </row>
    <row r="37" spans="1:13" ht="14.4" hidden="1" customHeight="1" outlineLevel="1" x14ac:dyDescent="0.3">
      <c r="A37" s="109" t="s">
        <v>166</v>
      </c>
      <c r="B37" s="112">
        <v>0</v>
      </c>
      <c r="C37" s="103">
        <v>0</v>
      </c>
      <c r="D37" s="103">
        <v>0</v>
      </c>
      <c r="E37" s="124" t="s">
        <v>539</v>
      </c>
      <c r="F37" s="125">
        <v>0</v>
      </c>
      <c r="G37" s="103">
        <v>0</v>
      </c>
      <c r="H37" s="103">
        <v>0</v>
      </c>
      <c r="I37" s="126" t="s">
        <v>539</v>
      </c>
      <c r="J37" s="148"/>
      <c r="K37" s="148"/>
      <c r="L37" s="139">
        <f t="shared" si="4"/>
        <v>0</v>
      </c>
      <c r="M37" s="140">
        <f t="shared" si="5"/>
        <v>0</v>
      </c>
    </row>
    <row r="38" spans="1:13" ht="14.4" hidden="1" customHeight="1" outlineLevel="1" thickBot="1" x14ac:dyDescent="0.35">
      <c r="A38" s="234" t="s">
        <v>202</v>
      </c>
      <c r="B38" s="235">
        <v>0</v>
      </c>
      <c r="C38" s="236">
        <v>0</v>
      </c>
      <c r="D38" s="236">
        <v>0</v>
      </c>
      <c r="E38" s="237" t="s">
        <v>539</v>
      </c>
      <c r="F38" s="238">
        <v>0</v>
      </c>
      <c r="G38" s="236">
        <v>0</v>
      </c>
      <c r="H38" s="236">
        <v>0</v>
      </c>
      <c r="I38" s="239" t="s">
        <v>539</v>
      </c>
      <c r="J38" s="148"/>
      <c r="K38" s="148"/>
      <c r="L38" s="242">
        <f>D38-B38</f>
        <v>0</v>
      </c>
      <c r="M38" s="243">
        <f>H38-F38</f>
        <v>0</v>
      </c>
    </row>
    <row r="39" spans="1:13" ht="14.4" customHeight="1" collapsed="1" thickBot="1" x14ac:dyDescent="0.35">
      <c r="A39" s="155" t="s">
        <v>3</v>
      </c>
      <c r="B39" s="107">
        <f>SUM(B31:B38)</f>
        <v>0</v>
      </c>
      <c r="C39" s="156">
        <f>SUM(C31:C38)</f>
        <v>0</v>
      </c>
      <c r="D39" s="156">
        <f>SUM(D31:D38)</f>
        <v>0</v>
      </c>
      <c r="E39" s="157">
        <f>IF(OR(D39=0,B39=0),0,D39/B39)</f>
        <v>0</v>
      </c>
      <c r="F39" s="158">
        <f>SUM(F31:F38)</f>
        <v>0</v>
      </c>
      <c r="G39" s="156">
        <f>SUM(G31:G38)</f>
        <v>0</v>
      </c>
      <c r="H39" s="156">
        <f>SUM(H31:H38)</f>
        <v>0</v>
      </c>
      <c r="I39" s="159">
        <f>IF(OR(H39=0,F39=0),0,H39/F39)</f>
        <v>0</v>
      </c>
      <c r="J39" s="148"/>
      <c r="K39" s="148"/>
      <c r="L39" s="153">
        <f t="shared" si="4"/>
        <v>0</v>
      </c>
      <c r="M39" s="160">
        <f t="shared" si="5"/>
        <v>0</v>
      </c>
    </row>
    <row r="40" spans="1:13" ht="14.4" customHeight="1" x14ac:dyDescent="0.25">
      <c r="A40" s="352"/>
      <c r="B40" s="352"/>
      <c r="C40" s="352"/>
      <c r="D40" s="352"/>
      <c r="E40" s="353"/>
      <c r="F40" s="352"/>
      <c r="G40" s="352"/>
      <c r="H40" s="352"/>
      <c r="I40" s="354"/>
      <c r="J40" s="352"/>
      <c r="K40" s="352"/>
      <c r="L40" s="352"/>
      <c r="M40" s="352"/>
    </row>
    <row r="41" spans="1:13" ht="14.4" customHeight="1" x14ac:dyDescent="0.3">
      <c r="A41" s="252" t="s">
        <v>249</v>
      </c>
      <c r="B41" s="352"/>
      <c r="C41" s="352"/>
      <c r="D41" s="352"/>
      <c r="E41" s="353"/>
      <c r="F41" s="352"/>
      <c r="G41" s="352"/>
      <c r="H41" s="352"/>
      <c r="I41" s="354"/>
      <c r="J41" s="352"/>
      <c r="K41" s="352"/>
      <c r="L41" s="352"/>
      <c r="M41" s="352"/>
    </row>
    <row r="42" spans="1:13" ht="14.4" customHeight="1" x14ac:dyDescent="0.25">
      <c r="A42" s="434" t="s">
        <v>296</v>
      </c>
    </row>
    <row r="43" spans="1:13" ht="14.4" customHeight="1" x14ac:dyDescent="0.25">
      <c r="A43" s="435" t="s">
        <v>297</v>
      </c>
    </row>
    <row r="44" spans="1:13" ht="14.4" customHeight="1" x14ac:dyDescent="0.25">
      <c r="A44" s="434" t="s">
        <v>298</v>
      </c>
    </row>
    <row r="45" spans="1:13" ht="14.4" customHeight="1" x14ac:dyDescent="0.25">
      <c r="A45" s="435" t="s">
        <v>299</v>
      </c>
    </row>
    <row r="46" spans="1:13" ht="14.4" customHeight="1" x14ac:dyDescent="0.3">
      <c r="A46" s="233" t="s">
        <v>266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3" bestFit="1" customWidth="1"/>
    <col min="2" max="3" width="7.77734375" style="196" customWidth="1"/>
    <col min="4" max="5" width="7.77734375" style="73" customWidth="1"/>
    <col min="6" max="6" width="14.88671875" style="73" bestFit="1" customWidth="1"/>
    <col min="7" max="7" width="2" style="73" bestFit="1" customWidth="1"/>
    <col min="8" max="8" width="5.33203125" style="73" bestFit="1" customWidth="1"/>
    <col min="9" max="9" width="7.6640625" style="73" bestFit="1" customWidth="1"/>
    <col min="10" max="10" width="6.88671875" style="73" bestFit="1" customWidth="1"/>
    <col min="11" max="11" width="17.33203125" style="73" bestFit="1" customWidth="1"/>
    <col min="12" max="13" width="19.6640625" style="73" bestFit="1" customWidth="1"/>
    <col min="14" max="16384" width="8.88671875" style="73"/>
  </cols>
  <sheetData>
    <row r="1" spans="1:13" ht="18.600000000000001" customHeight="1" thickBot="1" x14ac:dyDescent="0.4">
      <c r="A1" s="494" t="s">
        <v>108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ht="14.4" customHeight="1" x14ac:dyDescent="0.3">
      <c r="A2" s="368" t="s">
        <v>301</v>
      </c>
      <c r="B2" s="192"/>
      <c r="C2" s="192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" customHeight="1" x14ac:dyDescent="0.3">
      <c r="A3" s="72"/>
      <c r="B3" s="357"/>
      <c r="C3" s="357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" customHeight="1" x14ac:dyDescent="0.3">
      <c r="A4" s="72"/>
      <c r="B4" s="357"/>
      <c r="C4" s="357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" customHeight="1" x14ac:dyDescent="0.3">
      <c r="A5" s="72"/>
      <c r="B5" s="357"/>
      <c r="C5" s="357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" customHeight="1" x14ac:dyDescent="0.3">
      <c r="A6" s="72"/>
      <c r="B6" s="357"/>
      <c r="C6" s="357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" customHeight="1" x14ac:dyDescent="0.3">
      <c r="A7" s="72"/>
      <c r="B7" s="357"/>
      <c r="C7" s="357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" customHeight="1" x14ac:dyDescent="0.3">
      <c r="A8" s="72"/>
      <c r="B8" s="357"/>
      <c r="C8" s="357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" customHeight="1" x14ac:dyDescent="0.3">
      <c r="A9" s="72"/>
      <c r="B9" s="357"/>
      <c r="C9" s="357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" customHeight="1" x14ac:dyDescent="0.3">
      <c r="A10" s="72"/>
      <c r="B10" s="357"/>
      <c r="C10" s="357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" customHeight="1" x14ac:dyDescent="0.3">
      <c r="A11" s="72"/>
      <c r="B11" s="357"/>
      <c r="C11" s="357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" customHeight="1" x14ac:dyDescent="0.3">
      <c r="A12" s="72"/>
      <c r="B12" s="357"/>
      <c r="C12" s="357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" customHeight="1" x14ac:dyDescent="0.3">
      <c r="A13" s="72"/>
      <c r="B13" s="357"/>
      <c r="C13" s="357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" customHeight="1" x14ac:dyDescent="0.3">
      <c r="A14" s="72"/>
      <c r="B14" s="357"/>
      <c r="C14" s="357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" customHeight="1" x14ac:dyDescent="0.3">
      <c r="A15" s="72"/>
      <c r="B15" s="357"/>
      <c r="C15" s="357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" customHeight="1" x14ac:dyDescent="0.3">
      <c r="A16" s="72"/>
      <c r="B16" s="357"/>
      <c r="C16" s="357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" customHeight="1" x14ac:dyDescent="0.3">
      <c r="A17" s="72"/>
      <c r="B17" s="357"/>
      <c r="C17" s="357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" customHeight="1" x14ac:dyDescent="0.3">
      <c r="A18" s="72"/>
      <c r="B18" s="357"/>
      <c r="C18" s="357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" customHeight="1" x14ac:dyDescent="0.3">
      <c r="A19" s="72"/>
      <c r="B19" s="357"/>
      <c r="C19" s="357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" customHeight="1" x14ac:dyDescent="0.3">
      <c r="A20" s="72"/>
      <c r="B20" s="357"/>
      <c r="C20" s="357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" customHeight="1" x14ac:dyDescent="0.3">
      <c r="A21" s="72"/>
      <c r="B21" s="357"/>
      <c r="C21" s="357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" customHeight="1" x14ac:dyDescent="0.3">
      <c r="A22" s="72"/>
      <c r="B22" s="357"/>
      <c r="C22" s="357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" customHeight="1" x14ac:dyDescent="0.3">
      <c r="A23" s="72"/>
      <c r="B23" s="357"/>
      <c r="C23" s="357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" customHeight="1" x14ac:dyDescent="0.3">
      <c r="A24" s="72"/>
      <c r="B24" s="357"/>
      <c r="C24" s="357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" customHeight="1" x14ac:dyDescent="0.3">
      <c r="A25" s="72"/>
      <c r="B25" s="357"/>
      <c r="C25" s="357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" customHeight="1" x14ac:dyDescent="0.3">
      <c r="A26" s="72"/>
      <c r="B26" s="357"/>
      <c r="C26" s="357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" customHeight="1" x14ac:dyDescent="0.3">
      <c r="A27" s="72"/>
      <c r="B27" s="357"/>
      <c r="C27" s="357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" customHeight="1" x14ac:dyDescent="0.3">
      <c r="A28" s="72"/>
      <c r="B28" s="357"/>
      <c r="C28" s="357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" customHeight="1" x14ac:dyDescent="0.3">
      <c r="A29" s="72"/>
      <c r="B29" s="357"/>
      <c r="C29" s="357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" customHeight="1" thickBot="1" x14ac:dyDescent="0.35">
      <c r="A30" s="72"/>
      <c r="B30" s="357"/>
      <c r="C30" s="357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" customHeight="1" x14ac:dyDescent="0.3">
      <c r="A31" s="169"/>
      <c r="B31" s="568" t="s">
        <v>76</v>
      </c>
      <c r="C31" s="569"/>
      <c r="D31" s="569"/>
      <c r="E31" s="570"/>
      <c r="F31" s="161" t="s">
        <v>76</v>
      </c>
      <c r="G31" s="75"/>
      <c r="H31" s="75"/>
      <c r="I31" s="72"/>
      <c r="J31" s="72"/>
      <c r="K31" s="72"/>
      <c r="L31" s="72"/>
      <c r="M31" s="72"/>
    </row>
    <row r="32" spans="1:13" ht="14.4" customHeight="1" thickBot="1" x14ac:dyDescent="0.35">
      <c r="A32" s="170" t="s">
        <v>60</v>
      </c>
      <c r="B32" s="162" t="s">
        <v>79</v>
      </c>
      <c r="C32" s="163" t="s">
        <v>80</v>
      </c>
      <c r="D32" s="163" t="s">
        <v>81</v>
      </c>
      <c r="E32" s="164" t="s">
        <v>2</v>
      </c>
      <c r="F32" s="165" t="s">
        <v>82</v>
      </c>
      <c r="G32" s="358"/>
      <c r="H32" s="358" t="s">
        <v>109</v>
      </c>
      <c r="I32" s="72"/>
      <c r="J32" s="72"/>
      <c r="K32" s="72"/>
      <c r="L32" s="72"/>
      <c r="M32" s="72"/>
    </row>
    <row r="33" spans="1:13" ht="14.4" customHeight="1" x14ac:dyDescent="0.3">
      <c r="A33" s="166" t="s">
        <v>96</v>
      </c>
      <c r="B33" s="193">
        <v>1235</v>
      </c>
      <c r="C33" s="193">
        <v>1161</v>
      </c>
      <c r="D33" s="76">
        <f>IF(C33="","",C33-B33)</f>
        <v>-74</v>
      </c>
      <c r="E33" s="77">
        <f>IF(C33="","",C33/B33)</f>
        <v>0.940080971659919</v>
      </c>
      <c r="F33" s="78">
        <v>87</v>
      </c>
      <c r="G33" s="358">
        <v>0</v>
      </c>
      <c r="H33" s="359">
        <v>1</v>
      </c>
      <c r="I33" s="72"/>
      <c r="J33" s="72"/>
      <c r="K33" s="72"/>
      <c r="L33" s="72"/>
      <c r="M33" s="72"/>
    </row>
    <row r="34" spans="1:13" ht="14.4" customHeight="1" x14ac:dyDescent="0.3">
      <c r="A34" s="167" t="s">
        <v>97</v>
      </c>
      <c r="B34" s="194">
        <v>2432</v>
      </c>
      <c r="C34" s="194">
        <v>2311</v>
      </c>
      <c r="D34" s="79">
        <f t="shared" ref="D34:D45" si="0">IF(C34="","",C34-B34)</f>
        <v>-121</v>
      </c>
      <c r="E34" s="80">
        <f t="shared" ref="E34:E45" si="1">IF(C34="","",C34/B34)</f>
        <v>0.95024671052631582</v>
      </c>
      <c r="F34" s="81">
        <v>221</v>
      </c>
      <c r="G34" s="358">
        <v>1</v>
      </c>
      <c r="H34" s="359">
        <v>1</v>
      </c>
      <c r="I34" s="72"/>
      <c r="J34" s="72"/>
      <c r="K34" s="72"/>
      <c r="L34" s="72"/>
      <c r="M34" s="72"/>
    </row>
    <row r="35" spans="1:13" ht="14.4" customHeight="1" x14ac:dyDescent="0.3">
      <c r="A35" s="167" t="s">
        <v>98</v>
      </c>
      <c r="B35" s="194">
        <v>4264</v>
      </c>
      <c r="C35" s="194">
        <v>4170</v>
      </c>
      <c r="D35" s="79">
        <f t="shared" si="0"/>
        <v>-94</v>
      </c>
      <c r="E35" s="80">
        <f t="shared" si="1"/>
        <v>0.97795497185741087</v>
      </c>
      <c r="F35" s="81">
        <v>506</v>
      </c>
      <c r="G35" s="360"/>
      <c r="H35" s="360"/>
      <c r="I35" s="72"/>
      <c r="J35" s="72"/>
      <c r="K35" s="72"/>
      <c r="L35" s="72"/>
      <c r="M35" s="72"/>
    </row>
    <row r="36" spans="1:13" ht="14.4" customHeight="1" x14ac:dyDescent="0.3">
      <c r="A36" s="167" t="s">
        <v>99</v>
      </c>
      <c r="B36" s="194">
        <v>5595</v>
      </c>
      <c r="C36" s="194">
        <v>5446</v>
      </c>
      <c r="D36" s="79">
        <f t="shared" si="0"/>
        <v>-149</v>
      </c>
      <c r="E36" s="80">
        <f t="shared" si="1"/>
        <v>0.97336907953529939</v>
      </c>
      <c r="F36" s="81">
        <v>652</v>
      </c>
      <c r="G36" s="360"/>
      <c r="H36" s="360"/>
      <c r="I36" s="72"/>
      <c r="J36" s="72"/>
      <c r="K36" s="72"/>
      <c r="L36" s="72"/>
      <c r="M36" s="72"/>
    </row>
    <row r="37" spans="1:13" ht="14.4" customHeight="1" x14ac:dyDescent="0.3">
      <c r="A37" s="167" t="s">
        <v>100</v>
      </c>
      <c r="B37" s="194">
        <v>7298</v>
      </c>
      <c r="C37" s="194">
        <v>7060</v>
      </c>
      <c r="D37" s="79">
        <f t="shared" si="0"/>
        <v>-238</v>
      </c>
      <c r="E37" s="80">
        <f t="shared" si="1"/>
        <v>0.96738832556864895</v>
      </c>
      <c r="F37" s="81">
        <v>809</v>
      </c>
      <c r="G37" s="360"/>
      <c r="H37" s="360"/>
      <c r="I37" s="72"/>
      <c r="J37" s="72"/>
      <c r="K37" s="72"/>
      <c r="L37" s="72"/>
      <c r="M37" s="72"/>
    </row>
    <row r="38" spans="1:13" ht="14.4" customHeight="1" x14ac:dyDescent="0.3">
      <c r="A38" s="167" t="s">
        <v>101</v>
      </c>
      <c r="B38" s="194">
        <v>8776</v>
      </c>
      <c r="C38" s="194">
        <v>8391</v>
      </c>
      <c r="D38" s="79">
        <f t="shared" si="0"/>
        <v>-385</v>
      </c>
      <c r="E38" s="80">
        <f t="shared" si="1"/>
        <v>0.956130355515041</v>
      </c>
      <c r="F38" s="81">
        <v>925</v>
      </c>
      <c r="G38" s="360"/>
      <c r="H38" s="360"/>
      <c r="I38" s="72"/>
      <c r="J38" s="72"/>
      <c r="K38" s="72"/>
      <c r="L38" s="72"/>
      <c r="M38" s="72"/>
    </row>
    <row r="39" spans="1:13" ht="14.4" customHeight="1" x14ac:dyDescent="0.3">
      <c r="A39" s="167" t="s">
        <v>102</v>
      </c>
      <c r="B39" s="194">
        <v>10405</v>
      </c>
      <c r="C39" s="194">
        <v>9904</v>
      </c>
      <c r="D39" s="79">
        <f t="shared" si="0"/>
        <v>-501</v>
      </c>
      <c r="E39" s="80">
        <f t="shared" si="1"/>
        <v>0.95185007208073047</v>
      </c>
      <c r="F39" s="81">
        <v>1062</v>
      </c>
      <c r="G39" s="360"/>
      <c r="H39" s="360"/>
      <c r="I39" s="72"/>
      <c r="J39" s="72"/>
      <c r="K39" s="72"/>
      <c r="L39" s="72"/>
      <c r="M39" s="72"/>
    </row>
    <row r="40" spans="1:13" ht="14.4" customHeight="1" x14ac:dyDescent="0.3">
      <c r="A40" s="167" t="s">
        <v>103</v>
      </c>
      <c r="B40" s="194"/>
      <c r="C40" s="194"/>
      <c r="D40" s="79" t="str">
        <f t="shared" si="0"/>
        <v/>
      </c>
      <c r="E40" s="80" t="str">
        <f t="shared" si="1"/>
        <v/>
      </c>
      <c r="F40" s="81"/>
      <c r="G40" s="360"/>
      <c r="H40" s="360"/>
      <c r="I40" s="72"/>
      <c r="J40" s="72"/>
      <c r="K40" s="72"/>
      <c r="L40" s="72"/>
      <c r="M40" s="72"/>
    </row>
    <row r="41" spans="1:13" ht="14.4" customHeight="1" x14ac:dyDescent="0.3">
      <c r="A41" s="167" t="s">
        <v>104</v>
      </c>
      <c r="B41" s="194"/>
      <c r="C41" s="194"/>
      <c r="D41" s="79" t="str">
        <f t="shared" si="0"/>
        <v/>
      </c>
      <c r="E41" s="80" t="str">
        <f t="shared" si="1"/>
        <v/>
      </c>
      <c r="F41" s="81"/>
      <c r="G41" s="360"/>
      <c r="H41" s="360"/>
      <c r="I41" s="72"/>
      <c r="J41" s="72"/>
      <c r="K41" s="72"/>
      <c r="L41" s="72"/>
      <c r="M41" s="72"/>
    </row>
    <row r="42" spans="1:13" ht="14.4" customHeight="1" x14ac:dyDescent="0.3">
      <c r="A42" s="167" t="s">
        <v>105</v>
      </c>
      <c r="B42" s="194"/>
      <c r="C42" s="194"/>
      <c r="D42" s="79" t="str">
        <f t="shared" si="0"/>
        <v/>
      </c>
      <c r="E42" s="80" t="str">
        <f t="shared" si="1"/>
        <v/>
      </c>
      <c r="F42" s="81"/>
      <c r="G42" s="360"/>
      <c r="H42" s="360"/>
      <c r="I42" s="72"/>
      <c r="J42" s="72"/>
      <c r="K42" s="72"/>
      <c r="L42" s="72"/>
      <c r="M42" s="72"/>
    </row>
    <row r="43" spans="1:13" ht="14.4" customHeight="1" x14ac:dyDescent="0.3">
      <c r="A43" s="167" t="s">
        <v>106</v>
      </c>
      <c r="B43" s="194"/>
      <c r="C43" s="194"/>
      <c r="D43" s="79" t="str">
        <f t="shared" si="0"/>
        <v/>
      </c>
      <c r="E43" s="80" t="str">
        <f t="shared" si="1"/>
        <v/>
      </c>
      <c r="F43" s="81"/>
      <c r="G43" s="360"/>
      <c r="H43" s="360"/>
      <c r="I43" s="72"/>
      <c r="J43" s="72"/>
      <c r="K43" s="72"/>
      <c r="L43" s="72"/>
      <c r="M43" s="72"/>
    </row>
    <row r="44" spans="1:13" ht="14.4" customHeight="1" x14ac:dyDescent="0.3">
      <c r="A44" s="167" t="s">
        <v>107</v>
      </c>
      <c r="B44" s="194"/>
      <c r="C44" s="194"/>
      <c r="D44" s="79" t="str">
        <f t="shared" si="0"/>
        <v/>
      </c>
      <c r="E44" s="80" t="str">
        <f t="shared" si="1"/>
        <v/>
      </c>
      <c r="F44" s="81"/>
      <c r="G44" s="360"/>
      <c r="H44" s="360"/>
      <c r="I44" s="72"/>
      <c r="J44" s="72"/>
      <c r="K44" s="72"/>
      <c r="L44" s="72"/>
      <c r="M44" s="72"/>
    </row>
    <row r="45" spans="1:13" ht="14.4" customHeight="1" thickBot="1" x14ac:dyDescent="0.35">
      <c r="A45" s="168" t="s">
        <v>110</v>
      </c>
      <c r="B45" s="195"/>
      <c r="C45" s="195"/>
      <c r="D45" s="82" t="str">
        <f t="shared" si="0"/>
        <v/>
      </c>
      <c r="E45" s="83" t="str">
        <f t="shared" si="1"/>
        <v/>
      </c>
      <c r="F45" s="84"/>
      <c r="G45" s="360"/>
      <c r="H45" s="360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8" customWidth="1"/>
    <col min="2" max="2" width="6.5546875" style="207" customWidth="1"/>
    <col min="3" max="3" width="5.88671875" style="207" customWidth="1"/>
    <col min="4" max="4" width="7.6640625" style="207" customWidth="1"/>
    <col min="5" max="5" width="6.5546875" style="91" customWidth="1"/>
    <col min="6" max="6" width="5.88671875" style="91" customWidth="1"/>
    <col min="7" max="7" width="7.6640625" style="91" customWidth="1"/>
    <col min="8" max="8" width="6.6640625" style="91" bestFit="1" customWidth="1"/>
    <col min="9" max="9" width="6" style="91" bestFit="1" customWidth="1"/>
    <col min="10" max="10" width="7.77734375" style="91" bestFit="1" customWidth="1"/>
    <col min="11" max="11" width="9.109375" style="91" bestFit="1" customWidth="1"/>
    <col min="12" max="12" width="3.88671875" style="91" bestFit="1" customWidth="1"/>
    <col min="13" max="13" width="4.33203125" style="91" bestFit="1" customWidth="1"/>
    <col min="14" max="14" width="5.44140625" style="91" bestFit="1" customWidth="1"/>
    <col min="15" max="15" width="4" style="91" bestFit="1" customWidth="1"/>
    <col min="16" max="16" width="55.44140625" style="85" customWidth="1"/>
    <col min="17" max="17" width="7.88671875" style="89" bestFit="1" customWidth="1"/>
    <col min="18" max="18" width="6" style="89" bestFit="1" customWidth="1"/>
    <col min="19" max="19" width="9.5546875" style="207" customWidth="1"/>
    <col min="20" max="20" width="9.6640625" style="207" customWidth="1"/>
    <col min="21" max="21" width="7.6640625" style="207" bestFit="1" customWidth="1"/>
    <col min="22" max="22" width="6.109375" style="92" bestFit="1" customWidth="1"/>
    <col min="23" max="23" width="17.21875" style="90" bestFit="1" customWidth="1"/>
    <col min="24" max="16384" width="8.88671875" style="85"/>
  </cols>
  <sheetData>
    <row r="1" spans="1:23" s="310" customFormat="1" ht="18.600000000000001" customHeight="1" thickBot="1" x14ac:dyDescent="0.4">
      <c r="A1" s="524" t="s">
        <v>2002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ht="14.4" customHeight="1" thickBot="1" x14ac:dyDescent="0.35">
      <c r="A2" s="368" t="s">
        <v>301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1"/>
      <c r="Q2" s="361"/>
      <c r="R2" s="361"/>
      <c r="S2" s="362"/>
      <c r="T2" s="362"/>
      <c r="U2" s="362"/>
      <c r="V2" s="361"/>
      <c r="W2" s="363"/>
    </row>
    <row r="3" spans="1:23" s="86" customFormat="1" ht="14.4" customHeight="1" x14ac:dyDescent="0.3">
      <c r="A3" s="577" t="s">
        <v>68</v>
      </c>
      <c r="B3" s="578">
        <v>2014</v>
      </c>
      <c r="C3" s="579"/>
      <c r="D3" s="580"/>
      <c r="E3" s="578">
        <v>2015</v>
      </c>
      <c r="F3" s="579"/>
      <c r="G3" s="580"/>
      <c r="H3" s="578">
        <v>2016</v>
      </c>
      <c r="I3" s="579"/>
      <c r="J3" s="580"/>
      <c r="K3" s="581" t="s">
        <v>69</v>
      </c>
      <c r="L3" s="573" t="s">
        <v>70</v>
      </c>
      <c r="M3" s="573" t="s">
        <v>71</v>
      </c>
      <c r="N3" s="573" t="s">
        <v>72</v>
      </c>
      <c r="O3" s="260" t="s">
        <v>73</v>
      </c>
      <c r="P3" s="574" t="s">
        <v>74</v>
      </c>
      <c r="Q3" s="575" t="s">
        <v>75</v>
      </c>
      <c r="R3" s="576"/>
      <c r="S3" s="571" t="s">
        <v>76</v>
      </c>
      <c r="T3" s="572"/>
      <c r="U3" s="572"/>
      <c r="V3" s="572"/>
      <c r="W3" s="208" t="s">
        <v>76</v>
      </c>
    </row>
    <row r="4" spans="1:23" s="87" customFormat="1" ht="14.4" customHeight="1" thickBot="1" x14ac:dyDescent="0.35">
      <c r="A4" s="796"/>
      <c r="B4" s="797" t="s">
        <v>77</v>
      </c>
      <c r="C4" s="798" t="s">
        <v>65</v>
      </c>
      <c r="D4" s="799" t="s">
        <v>78</v>
      </c>
      <c r="E4" s="797" t="s">
        <v>77</v>
      </c>
      <c r="F4" s="798" t="s">
        <v>65</v>
      </c>
      <c r="G4" s="799" t="s">
        <v>78</v>
      </c>
      <c r="H4" s="797" t="s">
        <v>77</v>
      </c>
      <c r="I4" s="798" t="s">
        <v>65</v>
      </c>
      <c r="J4" s="799" t="s">
        <v>78</v>
      </c>
      <c r="K4" s="800"/>
      <c r="L4" s="801"/>
      <c r="M4" s="801"/>
      <c r="N4" s="801"/>
      <c r="O4" s="802"/>
      <c r="P4" s="803"/>
      <c r="Q4" s="804" t="s">
        <v>66</v>
      </c>
      <c r="R4" s="805" t="s">
        <v>65</v>
      </c>
      <c r="S4" s="806" t="s">
        <v>79</v>
      </c>
      <c r="T4" s="807" t="s">
        <v>80</v>
      </c>
      <c r="U4" s="807" t="s">
        <v>81</v>
      </c>
      <c r="V4" s="808" t="s">
        <v>2</v>
      </c>
      <c r="W4" s="809" t="s">
        <v>82</v>
      </c>
    </row>
    <row r="5" spans="1:23" ht="14.4" customHeight="1" x14ac:dyDescent="0.3">
      <c r="A5" s="839" t="s">
        <v>1937</v>
      </c>
      <c r="B5" s="386"/>
      <c r="C5" s="810"/>
      <c r="D5" s="811"/>
      <c r="E5" s="812"/>
      <c r="F5" s="813"/>
      <c r="G5" s="814"/>
      <c r="H5" s="815">
        <v>1</v>
      </c>
      <c r="I5" s="816">
        <v>0.56000000000000005</v>
      </c>
      <c r="J5" s="817">
        <v>3</v>
      </c>
      <c r="K5" s="818">
        <v>0.56000000000000005</v>
      </c>
      <c r="L5" s="819">
        <v>2</v>
      </c>
      <c r="M5" s="819">
        <v>18</v>
      </c>
      <c r="N5" s="820">
        <v>6</v>
      </c>
      <c r="O5" s="819" t="s">
        <v>1938</v>
      </c>
      <c r="P5" s="821" t="s">
        <v>1939</v>
      </c>
      <c r="Q5" s="822">
        <f>H5-B5</f>
        <v>1</v>
      </c>
      <c r="R5" s="822">
        <f>I5-C5</f>
        <v>0.56000000000000005</v>
      </c>
      <c r="S5" s="386">
        <f>IF(H5=0,"",H5*N5)</f>
        <v>6</v>
      </c>
      <c r="T5" s="386">
        <f>IF(H5=0,"",H5*J5)</f>
        <v>3</v>
      </c>
      <c r="U5" s="386">
        <f>IF(H5=0,"",T5-S5)</f>
        <v>-3</v>
      </c>
      <c r="V5" s="823">
        <f>IF(H5=0,"",T5/S5)</f>
        <v>0.5</v>
      </c>
      <c r="W5" s="824"/>
    </row>
    <row r="6" spans="1:23" ht="14.4" customHeight="1" x14ac:dyDescent="0.3">
      <c r="A6" s="840" t="s">
        <v>1940</v>
      </c>
      <c r="B6" s="789"/>
      <c r="C6" s="790"/>
      <c r="D6" s="791"/>
      <c r="E6" s="792"/>
      <c r="F6" s="770"/>
      <c r="G6" s="771"/>
      <c r="H6" s="772">
        <v>1</v>
      </c>
      <c r="I6" s="773">
        <v>0.86</v>
      </c>
      <c r="J6" s="780">
        <v>23</v>
      </c>
      <c r="K6" s="775">
        <v>0.86</v>
      </c>
      <c r="L6" s="776">
        <v>3</v>
      </c>
      <c r="M6" s="776">
        <v>27</v>
      </c>
      <c r="N6" s="777">
        <v>9</v>
      </c>
      <c r="O6" s="776" t="s">
        <v>1938</v>
      </c>
      <c r="P6" s="793" t="s">
        <v>1941</v>
      </c>
      <c r="Q6" s="778">
        <f t="shared" ref="Q6:R43" si="0">H6-B6</f>
        <v>1</v>
      </c>
      <c r="R6" s="778">
        <f t="shared" si="0"/>
        <v>0.86</v>
      </c>
      <c r="S6" s="789">
        <f t="shared" ref="S6:S43" si="1">IF(H6=0,"",H6*N6)</f>
        <v>9</v>
      </c>
      <c r="T6" s="789">
        <f t="shared" ref="T6:T43" si="2">IF(H6=0,"",H6*J6)</f>
        <v>23</v>
      </c>
      <c r="U6" s="789">
        <f t="shared" ref="U6:U43" si="3">IF(H6=0,"",T6-S6)</f>
        <v>14</v>
      </c>
      <c r="V6" s="794">
        <f t="shared" ref="V6:V43" si="4">IF(H6=0,"",T6/S6)</f>
        <v>2.5555555555555554</v>
      </c>
      <c r="W6" s="779">
        <v>14</v>
      </c>
    </row>
    <row r="7" spans="1:23" ht="14.4" customHeight="1" x14ac:dyDescent="0.3">
      <c r="A7" s="840" t="s">
        <v>1942</v>
      </c>
      <c r="B7" s="781">
        <v>1</v>
      </c>
      <c r="C7" s="782">
        <v>0.53</v>
      </c>
      <c r="D7" s="783">
        <v>3</v>
      </c>
      <c r="E7" s="792"/>
      <c r="F7" s="770"/>
      <c r="G7" s="771"/>
      <c r="H7" s="776"/>
      <c r="I7" s="770"/>
      <c r="J7" s="771"/>
      <c r="K7" s="775">
        <v>0.53</v>
      </c>
      <c r="L7" s="776">
        <v>3</v>
      </c>
      <c r="M7" s="776">
        <v>24</v>
      </c>
      <c r="N7" s="777">
        <v>8</v>
      </c>
      <c r="O7" s="776" t="s">
        <v>1938</v>
      </c>
      <c r="P7" s="793" t="s">
        <v>1943</v>
      </c>
      <c r="Q7" s="778">
        <f t="shared" si="0"/>
        <v>-1</v>
      </c>
      <c r="R7" s="778">
        <f t="shared" si="0"/>
        <v>-0.53</v>
      </c>
      <c r="S7" s="789" t="str">
        <f t="shared" si="1"/>
        <v/>
      </c>
      <c r="T7" s="789" t="str">
        <f t="shared" si="2"/>
        <v/>
      </c>
      <c r="U7" s="789" t="str">
        <f t="shared" si="3"/>
        <v/>
      </c>
      <c r="V7" s="794" t="str">
        <f t="shared" si="4"/>
        <v/>
      </c>
      <c r="W7" s="779"/>
    </row>
    <row r="8" spans="1:23" ht="14.4" customHeight="1" x14ac:dyDescent="0.3">
      <c r="A8" s="840" t="s">
        <v>1944</v>
      </c>
      <c r="B8" s="789"/>
      <c r="C8" s="790"/>
      <c r="D8" s="791"/>
      <c r="E8" s="772">
        <v>8</v>
      </c>
      <c r="F8" s="773">
        <v>1.41</v>
      </c>
      <c r="G8" s="774">
        <v>2.4</v>
      </c>
      <c r="H8" s="776">
        <v>1</v>
      </c>
      <c r="I8" s="770">
        <v>0.18</v>
      </c>
      <c r="J8" s="780">
        <v>4</v>
      </c>
      <c r="K8" s="775">
        <v>0.18</v>
      </c>
      <c r="L8" s="776">
        <v>1</v>
      </c>
      <c r="M8" s="776">
        <v>5</v>
      </c>
      <c r="N8" s="777">
        <v>2</v>
      </c>
      <c r="O8" s="776" t="s">
        <v>1938</v>
      </c>
      <c r="P8" s="793" t="s">
        <v>1945</v>
      </c>
      <c r="Q8" s="778">
        <f t="shared" si="0"/>
        <v>1</v>
      </c>
      <c r="R8" s="778">
        <f t="shared" si="0"/>
        <v>0.18</v>
      </c>
      <c r="S8" s="789">
        <f t="shared" si="1"/>
        <v>2</v>
      </c>
      <c r="T8" s="789">
        <f t="shared" si="2"/>
        <v>4</v>
      </c>
      <c r="U8" s="789">
        <f t="shared" si="3"/>
        <v>2</v>
      </c>
      <c r="V8" s="794">
        <f t="shared" si="4"/>
        <v>2</v>
      </c>
      <c r="W8" s="779">
        <v>2</v>
      </c>
    </row>
    <row r="9" spans="1:23" ht="14.4" customHeight="1" x14ac:dyDescent="0.3">
      <c r="A9" s="841" t="s">
        <v>1946</v>
      </c>
      <c r="B9" s="825">
        <v>2</v>
      </c>
      <c r="C9" s="826">
        <v>0.56999999999999995</v>
      </c>
      <c r="D9" s="795">
        <v>2</v>
      </c>
      <c r="E9" s="827">
        <v>5</v>
      </c>
      <c r="F9" s="828">
        <v>1.8</v>
      </c>
      <c r="G9" s="784">
        <v>3.4</v>
      </c>
      <c r="H9" s="829">
        <v>1</v>
      </c>
      <c r="I9" s="830">
        <v>0.28999999999999998</v>
      </c>
      <c r="J9" s="785">
        <v>2</v>
      </c>
      <c r="K9" s="831">
        <v>0.28999999999999998</v>
      </c>
      <c r="L9" s="829">
        <v>1</v>
      </c>
      <c r="M9" s="829">
        <v>5</v>
      </c>
      <c r="N9" s="832">
        <v>2</v>
      </c>
      <c r="O9" s="829" t="s">
        <v>1938</v>
      </c>
      <c r="P9" s="833" t="s">
        <v>1947</v>
      </c>
      <c r="Q9" s="834">
        <f t="shared" si="0"/>
        <v>-1</v>
      </c>
      <c r="R9" s="834">
        <f t="shared" si="0"/>
        <v>-0.27999999999999997</v>
      </c>
      <c r="S9" s="825">
        <f t="shared" si="1"/>
        <v>2</v>
      </c>
      <c r="T9" s="825">
        <f t="shared" si="2"/>
        <v>2</v>
      </c>
      <c r="U9" s="825">
        <f t="shared" si="3"/>
        <v>0</v>
      </c>
      <c r="V9" s="835">
        <f t="shared" si="4"/>
        <v>1</v>
      </c>
      <c r="W9" s="786"/>
    </row>
    <row r="10" spans="1:23" ht="14.4" customHeight="1" x14ac:dyDescent="0.3">
      <c r="A10" s="841" t="s">
        <v>1948</v>
      </c>
      <c r="B10" s="825">
        <v>2</v>
      </c>
      <c r="C10" s="826">
        <v>1.33</v>
      </c>
      <c r="D10" s="795">
        <v>2.5</v>
      </c>
      <c r="E10" s="827">
        <v>4</v>
      </c>
      <c r="F10" s="828">
        <v>2.0699999999999998</v>
      </c>
      <c r="G10" s="784">
        <v>1.8</v>
      </c>
      <c r="H10" s="829">
        <v>4</v>
      </c>
      <c r="I10" s="830">
        <v>2.79</v>
      </c>
      <c r="J10" s="787">
        <v>2.5</v>
      </c>
      <c r="K10" s="831">
        <v>0.49</v>
      </c>
      <c r="L10" s="829">
        <v>1</v>
      </c>
      <c r="M10" s="829">
        <v>5</v>
      </c>
      <c r="N10" s="832">
        <v>2</v>
      </c>
      <c r="O10" s="829" t="s">
        <v>1938</v>
      </c>
      <c r="P10" s="833" t="s">
        <v>1949</v>
      </c>
      <c r="Q10" s="834">
        <f t="shared" si="0"/>
        <v>2</v>
      </c>
      <c r="R10" s="834">
        <f t="shared" si="0"/>
        <v>1.46</v>
      </c>
      <c r="S10" s="825">
        <f t="shared" si="1"/>
        <v>8</v>
      </c>
      <c r="T10" s="825">
        <f t="shared" si="2"/>
        <v>10</v>
      </c>
      <c r="U10" s="825">
        <f t="shared" si="3"/>
        <v>2</v>
      </c>
      <c r="V10" s="835">
        <f t="shared" si="4"/>
        <v>1.25</v>
      </c>
      <c r="W10" s="786">
        <v>2</v>
      </c>
    </row>
    <row r="11" spans="1:23" ht="14.4" customHeight="1" x14ac:dyDescent="0.3">
      <c r="A11" s="840" t="s">
        <v>1950</v>
      </c>
      <c r="B11" s="789">
        <v>2</v>
      </c>
      <c r="C11" s="790">
        <v>100.16</v>
      </c>
      <c r="D11" s="791">
        <v>65.5</v>
      </c>
      <c r="E11" s="792">
        <v>1</v>
      </c>
      <c r="F11" s="770">
        <v>32.78</v>
      </c>
      <c r="G11" s="771">
        <v>18</v>
      </c>
      <c r="H11" s="772">
        <v>2</v>
      </c>
      <c r="I11" s="773">
        <v>70.75</v>
      </c>
      <c r="J11" s="774">
        <v>54.5</v>
      </c>
      <c r="K11" s="775">
        <v>50.08</v>
      </c>
      <c r="L11" s="776">
        <v>28</v>
      </c>
      <c r="M11" s="776">
        <v>252</v>
      </c>
      <c r="N11" s="777">
        <v>84</v>
      </c>
      <c r="O11" s="776" t="s">
        <v>1951</v>
      </c>
      <c r="P11" s="793" t="s">
        <v>1952</v>
      </c>
      <c r="Q11" s="778">
        <f t="shared" si="0"/>
        <v>0</v>
      </c>
      <c r="R11" s="778">
        <f t="shared" si="0"/>
        <v>-29.409999999999997</v>
      </c>
      <c r="S11" s="789">
        <f t="shared" si="1"/>
        <v>168</v>
      </c>
      <c r="T11" s="789">
        <f t="shared" si="2"/>
        <v>109</v>
      </c>
      <c r="U11" s="789">
        <f t="shared" si="3"/>
        <v>-59</v>
      </c>
      <c r="V11" s="794">
        <f t="shared" si="4"/>
        <v>0.64880952380952384</v>
      </c>
      <c r="W11" s="779">
        <v>14</v>
      </c>
    </row>
    <row r="12" spans="1:23" ht="14.4" customHeight="1" x14ac:dyDescent="0.3">
      <c r="A12" s="840" t="s">
        <v>1953</v>
      </c>
      <c r="B12" s="789">
        <v>14</v>
      </c>
      <c r="C12" s="790">
        <v>401.87</v>
      </c>
      <c r="D12" s="791">
        <v>55.4</v>
      </c>
      <c r="E12" s="772">
        <v>17</v>
      </c>
      <c r="F12" s="773">
        <v>495.47</v>
      </c>
      <c r="G12" s="774">
        <v>65.7</v>
      </c>
      <c r="H12" s="776">
        <v>6</v>
      </c>
      <c r="I12" s="770">
        <v>180.26</v>
      </c>
      <c r="J12" s="780">
        <v>77.3</v>
      </c>
      <c r="K12" s="775">
        <v>30.04</v>
      </c>
      <c r="L12" s="776">
        <v>22</v>
      </c>
      <c r="M12" s="776">
        <v>198</v>
      </c>
      <c r="N12" s="777">
        <v>66</v>
      </c>
      <c r="O12" s="776" t="s">
        <v>1951</v>
      </c>
      <c r="P12" s="793" t="s">
        <v>1954</v>
      </c>
      <c r="Q12" s="778">
        <f t="shared" si="0"/>
        <v>-8</v>
      </c>
      <c r="R12" s="778">
        <f t="shared" si="0"/>
        <v>-221.61</v>
      </c>
      <c r="S12" s="789">
        <f t="shared" si="1"/>
        <v>396</v>
      </c>
      <c r="T12" s="789">
        <f t="shared" si="2"/>
        <v>463.79999999999995</v>
      </c>
      <c r="U12" s="789">
        <f t="shared" si="3"/>
        <v>67.799999999999955</v>
      </c>
      <c r="V12" s="794">
        <f t="shared" si="4"/>
        <v>1.1712121212121211</v>
      </c>
      <c r="W12" s="779">
        <v>78</v>
      </c>
    </row>
    <row r="13" spans="1:23" ht="14.4" customHeight="1" x14ac:dyDescent="0.3">
      <c r="A13" s="840" t="s">
        <v>1955</v>
      </c>
      <c r="B13" s="789">
        <v>1</v>
      </c>
      <c r="C13" s="790">
        <v>29.25</v>
      </c>
      <c r="D13" s="791">
        <v>17</v>
      </c>
      <c r="E13" s="792">
        <v>1</v>
      </c>
      <c r="F13" s="770">
        <v>29.25</v>
      </c>
      <c r="G13" s="771">
        <v>69</v>
      </c>
      <c r="H13" s="772"/>
      <c r="I13" s="773"/>
      <c r="J13" s="774"/>
      <c r="K13" s="775">
        <v>29.25</v>
      </c>
      <c r="L13" s="776">
        <v>10</v>
      </c>
      <c r="M13" s="776">
        <v>93</v>
      </c>
      <c r="N13" s="777">
        <v>31</v>
      </c>
      <c r="O13" s="776" t="s">
        <v>1951</v>
      </c>
      <c r="P13" s="793" t="s">
        <v>1956</v>
      </c>
      <c r="Q13" s="778">
        <f t="shared" si="0"/>
        <v>-1</v>
      </c>
      <c r="R13" s="778">
        <f t="shared" si="0"/>
        <v>-29.25</v>
      </c>
      <c r="S13" s="789" t="str">
        <f t="shared" si="1"/>
        <v/>
      </c>
      <c r="T13" s="789" t="str">
        <f t="shared" si="2"/>
        <v/>
      </c>
      <c r="U13" s="789" t="str">
        <f t="shared" si="3"/>
        <v/>
      </c>
      <c r="V13" s="794" t="str">
        <f t="shared" si="4"/>
        <v/>
      </c>
      <c r="W13" s="779"/>
    </row>
    <row r="14" spans="1:23" ht="14.4" customHeight="1" x14ac:dyDescent="0.3">
      <c r="A14" s="841" t="s">
        <v>1957</v>
      </c>
      <c r="B14" s="825"/>
      <c r="C14" s="826"/>
      <c r="D14" s="795"/>
      <c r="E14" s="836"/>
      <c r="F14" s="830"/>
      <c r="G14" s="785"/>
      <c r="H14" s="827">
        <v>1</v>
      </c>
      <c r="I14" s="828">
        <v>33.799999999999997</v>
      </c>
      <c r="J14" s="784">
        <v>54</v>
      </c>
      <c r="K14" s="831">
        <v>33.799999999999997</v>
      </c>
      <c r="L14" s="829">
        <v>23</v>
      </c>
      <c r="M14" s="829">
        <v>207</v>
      </c>
      <c r="N14" s="832">
        <v>69</v>
      </c>
      <c r="O14" s="829" t="s">
        <v>1951</v>
      </c>
      <c r="P14" s="833" t="s">
        <v>1956</v>
      </c>
      <c r="Q14" s="834">
        <f t="shared" si="0"/>
        <v>1</v>
      </c>
      <c r="R14" s="834">
        <f t="shared" si="0"/>
        <v>33.799999999999997</v>
      </c>
      <c r="S14" s="825">
        <f t="shared" si="1"/>
        <v>69</v>
      </c>
      <c r="T14" s="825">
        <f t="shared" si="2"/>
        <v>54</v>
      </c>
      <c r="U14" s="825">
        <f t="shared" si="3"/>
        <v>-15</v>
      </c>
      <c r="V14" s="835">
        <f t="shared" si="4"/>
        <v>0.78260869565217395</v>
      </c>
      <c r="W14" s="786"/>
    </row>
    <row r="15" spans="1:23" ht="14.4" customHeight="1" x14ac:dyDescent="0.3">
      <c r="A15" s="840" t="s">
        <v>1958</v>
      </c>
      <c r="B15" s="789"/>
      <c r="C15" s="790"/>
      <c r="D15" s="791"/>
      <c r="E15" s="772"/>
      <c r="F15" s="773"/>
      <c r="G15" s="774"/>
      <c r="H15" s="776">
        <v>1</v>
      </c>
      <c r="I15" s="770">
        <v>7.19</v>
      </c>
      <c r="J15" s="771">
        <v>21</v>
      </c>
      <c r="K15" s="775">
        <v>7.19</v>
      </c>
      <c r="L15" s="776">
        <v>9</v>
      </c>
      <c r="M15" s="776">
        <v>81</v>
      </c>
      <c r="N15" s="777">
        <v>27</v>
      </c>
      <c r="O15" s="776" t="s">
        <v>1951</v>
      </c>
      <c r="P15" s="793" t="s">
        <v>1959</v>
      </c>
      <c r="Q15" s="778">
        <f t="shared" si="0"/>
        <v>1</v>
      </c>
      <c r="R15" s="778">
        <f t="shared" si="0"/>
        <v>7.19</v>
      </c>
      <c r="S15" s="789">
        <f t="shared" si="1"/>
        <v>27</v>
      </c>
      <c r="T15" s="789">
        <f t="shared" si="2"/>
        <v>21</v>
      </c>
      <c r="U15" s="789">
        <f t="shared" si="3"/>
        <v>-6</v>
      </c>
      <c r="V15" s="794">
        <f t="shared" si="4"/>
        <v>0.77777777777777779</v>
      </c>
      <c r="W15" s="779"/>
    </row>
    <row r="16" spans="1:23" ht="14.4" customHeight="1" x14ac:dyDescent="0.3">
      <c r="A16" s="841" t="s">
        <v>1960</v>
      </c>
      <c r="B16" s="825">
        <v>5</v>
      </c>
      <c r="C16" s="826">
        <v>42.17</v>
      </c>
      <c r="D16" s="795">
        <v>33.799999999999997</v>
      </c>
      <c r="E16" s="827">
        <v>2</v>
      </c>
      <c r="F16" s="828">
        <v>16.87</v>
      </c>
      <c r="G16" s="784">
        <v>27.5</v>
      </c>
      <c r="H16" s="829">
        <v>4</v>
      </c>
      <c r="I16" s="830">
        <v>30</v>
      </c>
      <c r="J16" s="787">
        <v>28</v>
      </c>
      <c r="K16" s="831">
        <v>8.43</v>
      </c>
      <c r="L16" s="829">
        <v>9</v>
      </c>
      <c r="M16" s="829">
        <v>81</v>
      </c>
      <c r="N16" s="832">
        <v>27</v>
      </c>
      <c r="O16" s="829" t="s">
        <v>1951</v>
      </c>
      <c r="P16" s="833" t="s">
        <v>1959</v>
      </c>
      <c r="Q16" s="834">
        <f t="shared" si="0"/>
        <v>-1</v>
      </c>
      <c r="R16" s="834">
        <f t="shared" si="0"/>
        <v>-12.170000000000002</v>
      </c>
      <c r="S16" s="825">
        <f t="shared" si="1"/>
        <v>108</v>
      </c>
      <c r="T16" s="825">
        <f t="shared" si="2"/>
        <v>112</v>
      </c>
      <c r="U16" s="825">
        <f t="shared" si="3"/>
        <v>4</v>
      </c>
      <c r="V16" s="835">
        <f t="shared" si="4"/>
        <v>1.037037037037037</v>
      </c>
      <c r="W16" s="786">
        <v>26</v>
      </c>
    </row>
    <row r="17" spans="1:23" ht="14.4" customHeight="1" x14ac:dyDescent="0.3">
      <c r="A17" s="841" t="s">
        <v>1961</v>
      </c>
      <c r="B17" s="825">
        <v>19</v>
      </c>
      <c r="C17" s="826">
        <v>286.81</v>
      </c>
      <c r="D17" s="795">
        <v>43.8</v>
      </c>
      <c r="E17" s="827">
        <v>28</v>
      </c>
      <c r="F17" s="828">
        <v>405.44</v>
      </c>
      <c r="G17" s="784">
        <v>34.299999999999997</v>
      </c>
      <c r="H17" s="829">
        <v>16</v>
      </c>
      <c r="I17" s="830">
        <v>240.67</v>
      </c>
      <c r="J17" s="785">
        <v>38.700000000000003</v>
      </c>
      <c r="K17" s="831">
        <v>15.04</v>
      </c>
      <c r="L17" s="829">
        <v>14</v>
      </c>
      <c r="M17" s="829">
        <v>123</v>
      </c>
      <c r="N17" s="832">
        <v>41</v>
      </c>
      <c r="O17" s="829" t="s">
        <v>1951</v>
      </c>
      <c r="P17" s="833" t="s">
        <v>1959</v>
      </c>
      <c r="Q17" s="834">
        <f t="shared" si="0"/>
        <v>-3</v>
      </c>
      <c r="R17" s="834">
        <f t="shared" si="0"/>
        <v>-46.140000000000015</v>
      </c>
      <c r="S17" s="825">
        <f t="shared" si="1"/>
        <v>656</v>
      </c>
      <c r="T17" s="825">
        <f t="shared" si="2"/>
        <v>619.20000000000005</v>
      </c>
      <c r="U17" s="825">
        <f t="shared" si="3"/>
        <v>-36.799999999999955</v>
      </c>
      <c r="V17" s="835">
        <f t="shared" si="4"/>
        <v>0.94390243902439031</v>
      </c>
      <c r="W17" s="786">
        <v>38</v>
      </c>
    </row>
    <row r="18" spans="1:23" ht="14.4" customHeight="1" x14ac:dyDescent="0.3">
      <c r="A18" s="840" t="s">
        <v>1962</v>
      </c>
      <c r="B18" s="789"/>
      <c r="C18" s="790"/>
      <c r="D18" s="791"/>
      <c r="E18" s="772">
        <v>2</v>
      </c>
      <c r="F18" s="773">
        <v>33.33</v>
      </c>
      <c r="G18" s="774">
        <v>39</v>
      </c>
      <c r="H18" s="776"/>
      <c r="I18" s="770"/>
      <c r="J18" s="771"/>
      <c r="K18" s="775">
        <v>16.670000000000002</v>
      </c>
      <c r="L18" s="776">
        <v>14</v>
      </c>
      <c r="M18" s="776">
        <v>126</v>
      </c>
      <c r="N18" s="777">
        <v>42</v>
      </c>
      <c r="O18" s="776" t="s">
        <v>1951</v>
      </c>
      <c r="P18" s="793" t="s">
        <v>1963</v>
      </c>
      <c r="Q18" s="778">
        <f t="shared" si="0"/>
        <v>0</v>
      </c>
      <c r="R18" s="778">
        <f t="shared" si="0"/>
        <v>0</v>
      </c>
      <c r="S18" s="789" t="str">
        <f t="shared" si="1"/>
        <v/>
      </c>
      <c r="T18" s="789" t="str">
        <f t="shared" si="2"/>
        <v/>
      </c>
      <c r="U18" s="789" t="str">
        <f t="shared" si="3"/>
        <v/>
      </c>
      <c r="V18" s="794" t="str">
        <f t="shared" si="4"/>
        <v/>
      </c>
      <c r="W18" s="779"/>
    </row>
    <row r="19" spans="1:23" ht="14.4" customHeight="1" x14ac:dyDescent="0.3">
      <c r="A19" s="841" t="s">
        <v>1964</v>
      </c>
      <c r="B19" s="825">
        <v>1</v>
      </c>
      <c r="C19" s="826">
        <v>16.670000000000002</v>
      </c>
      <c r="D19" s="795">
        <v>49</v>
      </c>
      <c r="E19" s="827"/>
      <c r="F19" s="828"/>
      <c r="G19" s="784"/>
      <c r="H19" s="829"/>
      <c r="I19" s="830"/>
      <c r="J19" s="785"/>
      <c r="K19" s="831">
        <v>16.670000000000002</v>
      </c>
      <c r="L19" s="829">
        <v>14</v>
      </c>
      <c r="M19" s="829">
        <v>126</v>
      </c>
      <c r="N19" s="832">
        <v>42</v>
      </c>
      <c r="O19" s="829" t="s">
        <v>1951</v>
      </c>
      <c r="P19" s="833" t="s">
        <v>1963</v>
      </c>
      <c r="Q19" s="834">
        <f t="shared" si="0"/>
        <v>-1</v>
      </c>
      <c r="R19" s="834">
        <f t="shared" si="0"/>
        <v>-16.670000000000002</v>
      </c>
      <c r="S19" s="825" t="str">
        <f t="shared" si="1"/>
        <v/>
      </c>
      <c r="T19" s="825" t="str">
        <f t="shared" si="2"/>
        <v/>
      </c>
      <c r="U19" s="825" t="str">
        <f t="shared" si="3"/>
        <v/>
      </c>
      <c r="V19" s="835" t="str">
        <f t="shared" si="4"/>
        <v/>
      </c>
      <c r="W19" s="786"/>
    </row>
    <row r="20" spans="1:23" ht="14.4" customHeight="1" x14ac:dyDescent="0.3">
      <c r="A20" s="840" t="s">
        <v>1965</v>
      </c>
      <c r="B20" s="789">
        <v>1</v>
      </c>
      <c r="C20" s="790">
        <v>3.06</v>
      </c>
      <c r="D20" s="791">
        <v>11</v>
      </c>
      <c r="E20" s="772">
        <v>4</v>
      </c>
      <c r="F20" s="773">
        <v>11.64</v>
      </c>
      <c r="G20" s="774">
        <v>11</v>
      </c>
      <c r="H20" s="776">
        <v>2</v>
      </c>
      <c r="I20" s="770">
        <v>6.13</v>
      </c>
      <c r="J20" s="771">
        <v>12</v>
      </c>
      <c r="K20" s="775">
        <v>3.06</v>
      </c>
      <c r="L20" s="776">
        <v>5</v>
      </c>
      <c r="M20" s="776">
        <v>48</v>
      </c>
      <c r="N20" s="777">
        <v>16</v>
      </c>
      <c r="O20" s="776" t="s">
        <v>1951</v>
      </c>
      <c r="P20" s="793" t="s">
        <v>1966</v>
      </c>
      <c r="Q20" s="778">
        <f t="shared" si="0"/>
        <v>1</v>
      </c>
      <c r="R20" s="778">
        <f t="shared" si="0"/>
        <v>3.07</v>
      </c>
      <c r="S20" s="789">
        <f t="shared" si="1"/>
        <v>32</v>
      </c>
      <c r="T20" s="789">
        <f t="shared" si="2"/>
        <v>24</v>
      </c>
      <c r="U20" s="789">
        <f t="shared" si="3"/>
        <v>-8</v>
      </c>
      <c r="V20" s="794">
        <f t="shared" si="4"/>
        <v>0.75</v>
      </c>
      <c r="W20" s="779"/>
    </row>
    <row r="21" spans="1:23" ht="14.4" customHeight="1" x14ac:dyDescent="0.3">
      <c r="A21" s="841" t="s">
        <v>1967</v>
      </c>
      <c r="B21" s="825">
        <v>17</v>
      </c>
      <c r="C21" s="826">
        <v>74.91</v>
      </c>
      <c r="D21" s="795">
        <v>17.399999999999999</v>
      </c>
      <c r="E21" s="827">
        <v>29</v>
      </c>
      <c r="F21" s="828">
        <v>126.97</v>
      </c>
      <c r="G21" s="784">
        <v>14.6</v>
      </c>
      <c r="H21" s="829">
        <v>28</v>
      </c>
      <c r="I21" s="830">
        <v>124.44</v>
      </c>
      <c r="J21" s="785">
        <v>16.5</v>
      </c>
      <c r="K21" s="831">
        <v>4.4400000000000004</v>
      </c>
      <c r="L21" s="829">
        <v>7</v>
      </c>
      <c r="M21" s="829">
        <v>60</v>
      </c>
      <c r="N21" s="832">
        <v>20</v>
      </c>
      <c r="O21" s="829" t="s">
        <v>1951</v>
      </c>
      <c r="P21" s="833" t="s">
        <v>1966</v>
      </c>
      <c r="Q21" s="834">
        <f t="shared" si="0"/>
        <v>11</v>
      </c>
      <c r="R21" s="834">
        <f t="shared" si="0"/>
        <v>49.53</v>
      </c>
      <c r="S21" s="825">
        <f t="shared" si="1"/>
        <v>560</v>
      </c>
      <c r="T21" s="825">
        <f t="shared" si="2"/>
        <v>462</v>
      </c>
      <c r="U21" s="825">
        <f t="shared" si="3"/>
        <v>-98</v>
      </c>
      <c r="V21" s="835">
        <f t="shared" si="4"/>
        <v>0.82499999999999996</v>
      </c>
      <c r="W21" s="786">
        <v>35</v>
      </c>
    </row>
    <row r="22" spans="1:23" ht="14.4" customHeight="1" x14ac:dyDescent="0.3">
      <c r="A22" s="841" t="s">
        <v>1968</v>
      </c>
      <c r="B22" s="825">
        <v>12</v>
      </c>
      <c r="C22" s="826">
        <v>93.76</v>
      </c>
      <c r="D22" s="795">
        <v>26.5</v>
      </c>
      <c r="E22" s="827">
        <v>26</v>
      </c>
      <c r="F22" s="828">
        <v>196.27</v>
      </c>
      <c r="G22" s="784">
        <v>26.3</v>
      </c>
      <c r="H22" s="829">
        <v>21</v>
      </c>
      <c r="I22" s="830">
        <v>160.51</v>
      </c>
      <c r="J22" s="787">
        <v>30.4</v>
      </c>
      <c r="K22" s="831">
        <v>7.64</v>
      </c>
      <c r="L22" s="829">
        <v>9</v>
      </c>
      <c r="M22" s="829">
        <v>81</v>
      </c>
      <c r="N22" s="832">
        <v>27</v>
      </c>
      <c r="O22" s="829" t="s">
        <v>1951</v>
      </c>
      <c r="P22" s="833" t="s">
        <v>1966</v>
      </c>
      <c r="Q22" s="834">
        <f t="shared" si="0"/>
        <v>9</v>
      </c>
      <c r="R22" s="834">
        <f t="shared" si="0"/>
        <v>66.749999999999986</v>
      </c>
      <c r="S22" s="825">
        <f t="shared" si="1"/>
        <v>567</v>
      </c>
      <c r="T22" s="825">
        <f t="shared" si="2"/>
        <v>638.4</v>
      </c>
      <c r="U22" s="825">
        <f t="shared" si="3"/>
        <v>71.399999999999977</v>
      </c>
      <c r="V22" s="835">
        <f t="shared" si="4"/>
        <v>1.125925925925926</v>
      </c>
      <c r="W22" s="786">
        <v>123</v>
      </c>
    </row>
    <row r="23" spans="1:23" ht="14.4" customHeight="1" x14ac:dyDescent="0.3">
      <c r="A23" s="840" t="s">
        <v>1969</v>
      </c>
      <c r="B23" s="789">
        <v>27</v>
      </c>
      <c r="C23" s="790">
        <v>15.62</v>
      </c>
      <c r="D23" s="791">
        <v>6</v>
      </c>
      <c r="E23" s="792">
        <v>25</v>
      </c>
      <c r="F23" s="770">
        <v>14.46</v>
      </c>
      <c r="G23" s="771">
        <v>6.7</v>
      </c>
      <c r="H23" s="772">
        <v>45</v>
      </c>
      <c r="I23" s="773">
        <v>26.03</v>
      </c>
      <c r="J23" s="774">
        <v>6.7</v>
      </c>
      <c r="K23" s="775">
        <v>0.57999999999999996</v>
      </c>
      <c r="L23" s="776">
        <v>2</v>
      </c>
      <c r="M23" s="776">
        <v>21</v>
      </c>
      <c r="N23" s="777">
        <v>7</v>
      </c>
      <c r="O23" s="776" t="s">
        <v>1951</v>
      </c>
      <c r="P23" s="793" t="s">
        <v>1970</v>
      </c>
      <c r="Q23" s="778">
        <f t="shared" si="0"/>
        <v>18</v>
      </c>
      <c r="R23" s="778">
        <f t="shared" si="0"/>
        <v>10.410000000000002</v>
      </c>
      <c r="S23" s="789">
        <f t="shared" si="1"/>
        <v>315</v>
      </c>
      <c r="T23" s="789">
        <f t="shared" si="2"/>
        <v>301.5</v>
      </c>
      <c r="U23" s="789">
        <f t="shared" si="3"/>
        <v>-13.5</v>
      </c>
      <c r="V23" s="794">
        <f t="shared" si="4"/>
        <v>0.95714285714285718</v>
      </c>
      <c r="W23" s="779">
        <v>51</v>
      </c>
    </row>
    <row r="24" spans="1:23" ht="14.4" customHeight="1" x14ac:dyDescent="0.3">
      <c r="A24" s="841" t="s">
        <v>1971</v>
      </c>
      <c r="B24" s="825">
        <v>49</v>
      </c>
      <c r="C24" s="826">
        <v>74.45</v>
      </c>
      <c r="D24" s="795">
        <v>11.4</v>
      </c>
      <c r="E24" s="836">
        <v>59</v>
      </c>
      <c r="F24" s="830">
        <v>89.64</v>
      </c>
      <c r="G24" s="785">
        <v>9.8000000000000007</v>
      </c>
      <c r="H24" s="827">
        <v>50</v>
      </c>
      <c r="I24" s="828">
        <v>76.040000000000006</v>
      </c>
      <c r="J24" s="784">
        <v>9.4</v>
      </c>
      <c r="K24" s="831">
        <v>1.52</v>
      </c>
      <c r="L24" s="829">
        <v>4</v>
      </c>
      <c r="M24" s="829">
        <v>33</v>
      </c>
      <c r="N24" s="832">
        <v>11</v>
      </c>
      <c r="O24" s="829" t="s">
        <v>1951</v>
      </c>
      <c r="P24" s="833" t="s">
        <v>1970</v>
      </c>
      <c r="Q24" s="834">
        <f t="shared" si="0"/>
        <v>1</v>
      </c>
      <c r="R24" s="834">
        <f t="shared" si="0"/>
        <v>1.5900000000000034</v>
      </c>
      <c r="S24" s="825">
        <f t="shared" si="1"/>
        <v>550</v>
      </c>
      <c r="T24" s="825">
        <f t="shared" si="2"/>
        <v>470</v>
      </c>
      <c r="U24" s="825">
        <f t="shared" si="3"/>
        <v>-80</v>
      </c>
      <c r="V24" s="835">
        <f t="shared" si="4"/>
        <v>0.8545454545454545</v>
      </c>
      <c r="W24" s="786">
        <v>62</v>
      </c>
    </row>
    <row r="25" spans="1:23" ht="14.4" customHeight="1" x14ac:dyDescent="0.3">
      <c r="A25" s="841" t="s">
        <v>1972</v>
      </c>
      <c r="B25" s="825">
        <v>15</v>
      </c>
      <c r="C25" s="826">
        <v>57.14</v>
      </c>
      <c r="D25" s="795">
        <v>18.5</v>
      </c>
      <c r="E25" s="836">
        <v>15</v>
      </c>
      <c r="F25" s="830">
        <v>55.26</v>
      </c>
      <c r="G25" s="785">
        <v>17.2</v>
      </c>
      <c r="H25" s="827">
        <v>17</v>
      </c>
      <c r="I25" s="828">
        <v>67.56</v>
      </c>
      <c r="J25" s="787">
        <v>20.7</v>
      </c>
      <c r="K25" s="831">
        <v>3.78</v>
      </c>
      <c r="L25" s="829">
        <v>6</v>
      </c>
      <c r="M25" s="829">
        <v>51</v>
      </c>
      <c r="N25" s="832">
        <v>17</v>
      </c>
      <c r="O25" s="829" t="s">
        <v>1951</v>
      </c>
      <c r="P25" s="833" t="s">
        <v>1970</v>
      </c>
      <c r="Q25" s="834">
        <f t="shared" si="0"/>
        <v>2</v>
      </c>
      <c r="R25" s="834">
        <f t="shared" si="0"/>
        <v>10.420000000000002</v>
      </c>
      <c r="S25" s="825">
        <f t="shared" si="1"/>
        <v>289</v>
      </c>
      <c r="T25" s="825">
        <f t="shared" si="2"/>
        <v>351.9</v>
      </c>
      <c r="U25" s="825">
        <f t="shared" si="3"/>
        <v>62.899999999999977</v>
      </c>
      <c r="V25" s="835">
        <f t="shared" si="4"/>
        <v>1.2176470588235293</v>
      </c>
      <c r="W25" s="786">
        <v>120</v>
      </c>
    </row>
    <row r="26" spans="1:23" ht="14.4" customHeight="1" x14ac:dyDescent="0.3">
      <c r="A26" s="840" t="s">
        <v>1973</v>
      </c>
      <c r="B26" s="789">
        <v>1</v>
      </c>
      <c r="C26" s="790">
        <v>5.24</v>
      </c>
      <c r="D26" s="791">
        <v>38</v>
      </c>
      <c r="E26" s="792"/>
      <c r="F26" s="770"/>
      <c r="G26" s="771"/>
      <c r="H26" s="772">
        <v>2</v>
      </c>
      <c r="I26" s="773">
        <v>16.27</v>
      </c>
      <c r="J26" s="780">
        <v>48.5</v>
      </c>
      <c r="K26" s="775">
        <v>5.24</v>
      </c>
      <c r="L26" s="776">
        <v>5</v>
      </c>
      <c r="M26" s="776">
        <v>45</v>
      </c>
      <c r="N26" s="777">
        <v>15</v>
      </c>
      <c r="O26" s="776" t="s">
        <v>1951</v>
      </c>
      <c r="P26" s="793" t="s">
        <v>1974</v>
      </c>
      <c r="Q26" s="778">
        <f t="shared" si="0"/>
        <v>1</v>
      </c>
      <c r="R26" s="778">
        <f t="shared" si="0"/>
        <v>11.03</v>
      </c>
      <c r="S26" s="789">
        <f t="shared" si="1"/>
        <v>30</v>
      </c>
      <c r="T26" s="789">
        <f t="shared" si="2"/>
        <v>97</v>
      </c>
      <c r="U26" s="789">
        <f t="shared" si="3"/>
        <v>67</v>
      </c>
      <c r="V26" s="794">
        <f t="shared" si="4"/>
        <v>3.2333333333333334</v>
      </c>
      <c r="W26" s="779">
        <v>67</v>
      </c>
    </row>
    <row r="27" spans="1:23" ht="14.4" customHeight="1" x14ac:dyDescent="0.3">
      <c r="A27" s="841" t="s">
        <v>1975</v>
      </c>
      <c r="B27" s="825"/>
      <c r="C27" s="826"/>
      <c r="D27" s="795"/>
      <c r="E27" s="836">
        <v>2</v>
      </c>
      <c r="F27" s="830">
        <v>28.45</v>
      </c>
      <c r="G27" s="785">
        <v>26.5</v>
      </c>
      <c r="H27" s="827">
        <v>1</v>
      </c>
      <c r="I27" s="828">
        <v>9.3800000000000008</v>
      </c>
      <c r="J27" s="784">
        <v>7</v>
      </c>
      <c r="K27" s="831">
        <v>14.22</v>
      </c>
      <c r="L27" s="829">
        <v>11</v>
      </c>
      <c r="M27" s="829">
        <v>99</v>
      </c>
      <c r="N27" s="832">
        <v>33</v>
      </c>
      <c r="O27" s="829" t="s">
        <v>1951</v>
      </c>
      <c r="P27" s="833" t="s">
        <v>1974</v>
      </c>
      <c r="Q27" s="834">
        <f t="shared" si="0"/>
        <v>1</v>
      </c>
      <c r="R27" s="834">
        <f t="shared" si="0"/>
        <v>9.3800000000000008</v>
      </c>
      <c r="S27" s="825">
        <f t="shared" si="1"/>
        <v>33</v>
      </c>
      <c r="T27" s="825">
        <f t="shared" si="2"/>
        <v>7</v>
      </c>
      <c r="U27" s="825">
        <f t="shared" si="3"/>
        <v>-26</v>
      </c>
      <c r="V27" s="835">
        <f t="shared" si="4"/>
        <v>0.21212121212121213</v>
      </c>
      <c r="W27" s="786"/>
    </row>
    <row r="28" spans="1:23" ht="14.4" customHeight="1" x14ac:dyDescent="0.3">
      <c r="A28" s="840" t="s">
        <v>1976</v>
      </c>
      <c r="B28" s="789">
        <v>8</v>
      </c>
      <c r="C28" s="790">
        <v>3.1</v>
      </c>
      <c r="D28" s="791">
        <v>4.5</v>
      </c>
      <c r="E28" s="792">
        <v>6</v>
      </c>
      <c r="F28" s="770">
        <v>2.33</v>
      </c>
      <c r="G28" s="771">
        <v>5.5</v>
      </c>
      <c r="H28" s="772">
        <v>11</v>
      </c>
      <c r="I28" s="773">
        <v>4.5</v>
      </c>
      <c r="J28" s="780">
        <v>6.2</v>
      </c>
      <c r="K28" s="775">
        <v>0.39</v>
      </c>
      <c r="L28" s="776">
        <v>2</v>
      </c>
      <c r="M28" s="776">
        <v>15</v>
      </c>
      <c r="N28" s="777">
        <v>5</v>
      </c>
      <c r="O28" s="776" t="s">
        <v>1951</v>
      </c>
      <c r="P28" s="793" t="s">
        <v>1977</v>
      </c>
      <c r="Q28" s="778">
        <f t="shared" si="0"/>
        <v>3</v>
      </c>
      <c r="R28" s="778">
        <f t="shared" si="0"/>
        <v>1.4</v>
      </c>
      <c r="S28" s="789">
        <f t="shared" si="1"/>
        <v>55</v>
      </c>
      <c r="T28" s="789">
        <f t="shared" si="2"/>
        <v>68.2</v>
      </c>
      <c r="U28" s="789">
        <f t="shared" si="3"/>
        <v>13.200000000000003</v>
      </c>
      <c r="V28" s="794">
        <f t="shared" si="4"/>
        <v>1.24</v>
      </c>
      <c r="W28" s="779">
        <v>19</v>
      </c>
    </row>
    <row r="29" spans="1:23" ht="14.4" customHeight="1" x14ac:dyDescent="0.3">
      <c r="A29" s="841" t="s">
        <v>1978</v>
      </c>
      <c r="B29" s="825">
        <v>8</v>
      </c>
      <c r="C29" s="826">
        <v>7.45</v>
      </c>
      <c r="D29" s="795">
        <v>11.1</v>
      </c>
      <c r="E29" s="836">
        <v>9</v>
      </c>
      <c r="F29" s="830">
        <v>7.16</v>
      </c>
      <c r="G29" s="785">
        <v>7.3</v>
      </c>
      <c r="H29" s="827">
        <v>6</v>
      </c>
      <c r="I29" s="828">
        <v>5.0999999999999996</v>
      </c>
      <c r="J29" s="787">
        <v>10.3</v>
      </c>
      <c r="K29" s="831">
        <v>0.84</v>
      </c>
      <c r="L29" s="829">
        <v>2</v>
      </c>
      <c r="M29" s="829">
        <v>21</v>
      </c>
      <c r="N29" s="832">
        <v>7</v>
      </c>
      <c r="O29" s="829" t="s">
        <v>1951</v>
      </c>
      <c r="P29" s="833" t="s">
        <v>1977</v>
      </c>
      <c r="Q29" s="834">
        <f t="shared" si="0"/>
        <v>-2</v>
      </c>
      <c r="R29" s="834">
        <f t="shared" si="0"/>
        <v>-2.3500000000000005</v>
      </c>
      <c r="S29" s="825">
        <f t="shared" si="1"/>
        <v>42</v>
      </c>
      <c r="T29" s="825">
        <f t="shared" si="2"/>
        <v>61.800000000000004</v>
      </c>
      <c r="U29" s="825">
        <f t="shared" si="3"/>
        <v>19.800000000000004</v>
      </c>
      <c r="V29" s="835">
        <f t="shared" si="4"/>
        <v>1.4714285714285715</v>
      </c>
      <c r="W29" s="786">
        <v>24</v>
      </c>
    </row>
    <row r="30" spans="1:23" ht="14.4" customHeight="1" x14ac:dyDescent="0.3">
      <c r="A30" s="841" t="s">
        <v>1979</v>
      </c>
      <c r="B30" s="825">
        <v>1</v>
      </c>
      <c r="C30" s="826">
        <v>3.47</v>
      </c>
      <c r="D30" s="795">
        <v>11</v>
      </c>
      <c r="E30" s="836"/>
      <c r="F30" s="830"/>
      <c r="G30" s="785"/>
      <c r="H30" s="827">
        <v>2</v>
      </c>
      <c r="I30" s="828">
        <v>6.94</v>
      </c>
      <c r="J30" s="784">
        <v>10.5</v>
      </c>
      <c r="K30" s="831">
        <v>3.47</v>
      </c>
      <c r="L30" s="829">
        <v>5</v>
      </c>
      <c r="M30" s="829">
        <v>42</v>
      </c>
      <c r="N30" s="832">
        <v>14</v>
      </c>
      <c r="O30" s="829" t="s">
        <v>1951</v>
      </c>
      <c r="P30" s="833" t="s">
        <v>1977</v>
      </c>
      <c r="Q30" s="834">
        <f t="shared" si="0"/>
        <v>1</v>
      </c>
      <c r="R30" s="834">
        <f t="shared" si="0"/>
        <v>3.47</v>
      </c>
      <c r="S30" s="825">
        <f t="shared" si="1"/>
        <v>28</v>
      </c>
      <c r="T30" s="825">
        <f t="shared" si="2"/>
        <v>21</v>
      </c>
      <c r="U30" s="825">
        <f t="shared" si="3"/>
        <v>-7</v>
      </c>
      <c r="V30" s="835">
        <f t="shared" si="4"/>
        <v>0.75</v>
      </c>
      <c r="W30" s="786"/>
    </row>
    <row r="31" spans="1:23" ht="14.4" customHeight="1" x14ac:dyDescent="0.3">
      <c r="A31" s="840" t="s">
        <v>1980</v>
      </c>
      <c r="B31" s="789">
        <v>7</v>
      </c>
      <c r="C31" s="790">
        <v>52.12</v>
      </c>
      <c r="D31" s="791">
        <v>13</v>
      </c>
      <c r="E31" s="772">
        <v>12</v>
      </c>
      <c r="F31" s="773">
        <v>94.49</v>
      </c>
      <c r="G31" s="774">
        <v>15.9</v>
      </c>
      <c r="H31" s="776">
        <v>11</v>
      </c>
      <c r="I31" s="770">
        <v>99.25</v>
      </c>
      <c r="J31" s="780">
        <v>18.2</v>
      </c>
      <c r="K31" s="775">
        <v>7.45</v>
      </c>
      <c r="L31" s="776">
        <v>4</v>
      </c>
      <c r="M31" s="776">
        <v>36</v>
      </c>
      <c r="N31" s="777">
        <v>12</v>
      </c>
      <c r="O31" s="776" t="s">
        <v>1951</v>
      </c>
      <c r="P31" s="793" t="s">
        <v>1981</v>
      </c>
      <c r="Q31" s="778">
        <f t="shared" si="0"/>
        <v>4</v>
      </c>
      <c r="R31" s="778">
        <f t="shared" si="0"/>
        <v>47.13</v>
      </c>
      <c r="S31" s="789">
        <f t="shared" si="1"/>
        <v>132</v>
      </c>
      <c r="T31" s="789">
        <f t="shared" si="2"/>
        <v>200.2</v>
      </c>
      <c r="U31" s="789">
        <f t="shared" si="3"/>
        <v>68.199999999999989</v>
      </c>
      <c r="V31" s="794">
        <f t="shared" si="4"/>
        <v>1.5166666666666666</v>
      </c>
      <c r="W31" s="779">
        <v>88</v>
      </c>
    </row>
    <row r="32" spans="1:23" ht="14.4" customHeight="1" x14ac:dyDescent="0.3">
      <c r="A32" s="840" t="s">
        <v>1982</v>
      </c>
      <c r="B32" s="789"/>
      <c r="C32" s="790"/>
      <c r="D32" s="791"/>
      <c r="E32" s="792"/>
      <c r="F32" s="770"/>
      <c r="G32" s="771"/>
      <c r="H32" s="772">
        <v>1</v>
      </c>
      <c r="I32" s="773">
        <v>3.26</v>
      </c>
      <c r="J32" s="774">
        <v>10</v>
      </c>
      <c r="K32" s="775">
        <v>3.26</v>
      </c>
      <c r="L32" s="776">
        <v>5</v>
      </c>
      <c r="M32" s="776">
        <v>42</v>
      </c>
      <c r="N32" s="777">
        <v>14</v>
      </c>
      <c r="O32" s="776" t="s">
        <v>1951</v>
      </c>
      <c r="P32" s="793" t="s">
        <v>1983</v>
      </c>
      <c r="Q32" s="778">
        <f t="shared" si="0"/>
        <v>1</v>
      </c>
      <c r="R32" s="778">
        <f t="shared" si="0"/>
        <v>3.26</v>
      </c>
      <c r="S32" s="789">
        <f t="shared" si="1"/>
        <v>14</v>
      </c>
      <c r="T32" s="789">
        <f t="shared" si="2"/>
        <v>10</v>
      </c>
      <c r="U32" s="789">
        <f t="shared" si="3"/>
        <v>-4</v>
      </c>
      <c r="V32" s="794">
        <f t="shared" si="4"/>
        <v>0.7142857142857143</v>
      </c>
      <c r="W32" s="779"/>
    </row>
    <row r="33" spans="1:23" ht="14.4" customHeight="1" x14ac:dyDescent="0.3">
      <c r="A33" s="840" t="s">
        <v>1984</v>
      </c>
      <c r="B33" s="781"/>
      <c r="C33" s="782"/>
      <c r="D33" s="783"/>
      <c r="E33" s="792"/>
      <c r="F33" s="770"/>
      <c r="G33" s="771"/>
      <c r="H33" s="776">
        <v>1</v>
      </c>
      <c r="I33" s="770">
        <v>0.91</v>
      </c>
      <c r="J33" s="771">
        <v>8</v>
      </c>
      <c r="K33" s="775">
        <v>0.91</v>
      </c>
      <c r="L33" s="776">
        <v>3</v>
      </c>
      <c r="M33" s="776">
        <v>27</v>
      </c>
      <c r="N33" s="777">
        <v>9</v>
      </c>
      <c r="O33" s="776" t="s">
        <v>1951</v>
      </c>
      <c r="P33" s="793" t="s">
        <v>1985</v>
      </c>
      <c r="Q33" s="778">
        <f t="shared" si="0"/>
        <v>1</v>
      </c>
      <c r="R33" s="778">
        <f t="shared" si="0"/>
        <v>0.91</v>
      </c>
      <c r="S33" s="789">
        <f t="shared" si="1"/>
        <v>9</v>
      </c>
      <c r="T33" s="789">
        <f t="shared" si="2"/>
        <v>8</v>
      </c>
      <c r="U33" s="789">
        <f t="shared" si="3"/>
        <v>-1</v>
      </c>
      <c r="V33" s="794">
        <f t="shared" si="4"/>
        <v>0.88888888888888884</v>
      </c>
      <c r="W33" s="779"/>
    </row>
    <row r="34" spans="1:23" ht="14.4" customHeight="1" x14ac:dyDescent="0.3">
      <c r="A34" s="841" t="s">
        <v>1986</v>
      </c>
      <c r="B34" s="837">
        <v>25</v>
      </c>
      <c r="C34" s="838">
        <v>24.66</v>
      </c>
      <c r="D34" s="788">
        <v>11.6</v>
      </c>
      <c r="E34" s="836">
        <v>15</v>
      </c>
      <c r="F34" s="830">
        <v>14.54</v>
      </c>
      <c r="G34" s="785">
        <v>11</v>
      </c>
      <c r="H34" s="829">
        <v>7</v>
      </c>
      <c r="I34" s="830">
        <v>6.68</v>
      </c>
      <c r="J34" s="787">
        <v>10.4</v>
      </c>
      <c r="K34" s="831">
        <v>0.95</v>
      </c>
      <c r="L34" s="829">
        <v>3</v>
      </c>
      <c r="M34" s="829">
        <v>27</v>
      </c>
      <c r="N34" s="832">
        <v>9</v>
      </c>
      <c r="O34" s="829" t="s">
        <v>1951</v>
      </c>
      <c r="P34" s="833" t="s">
        <v>1985</v>
      </c>
      <c r="Q34" s="834">
        <f t="shared" si="0"/>
        <v>-18</v>
      </c>
      <c r="R34" s="834">
        <f t="shared" si="0"/>
        <v>-17.98</v>
      </c>
      <c r="S34" s="825">
        <f t="shared" si="1"/>
        <v>63</v>
      </c>
      <c r="T34" s="825">
        <f t="shared" si="2"/>
        <v>72.8</v>
      </c>
      <c r="U34" s="825">
        <f t="shared" si="3"/>
        <v>9.7999999999999972</v>
      </c>
      <c r="V34" s="835">
        <f t="shared" si="4"/>
        <v>1.1555555555555554</v>
      </c>
      <c r="W34" s="786">
        <v>14</v>
      </c>
    </row>
    <row r="35" spans="1:23" ht="14.4" customHeight="1" x14ac:dyDescent="0.3">
      <c r="A35" s="841" t="s">
        <v>1987</v>
      </c>
      <c r="B35" s="837">
        <v>3</v>
      </c>
      <c r="C35" s="838">
        <v>8.8800000000000008</v>
      </c>
      <c r="D35" s="788">
        <v>22.3</v>
      </c>
      <c r="E35" s="836">
        <v>8</v>
      </c>
      <c r="F35" s="830">
        <v>23.45</v>
      </c>
      <c r="G35" s="785">
        <v>14</v>
      </c>
      <c r="H35" s="829">
        <v>5</v>
      </c>
      <c r="I35" s="830">
        <v>14.66</v>
      </c>
      <c r="J35" s="787">
        <v>14</v>
      </c>
      <c r="K35" s="831">
        <v>2.93</v>
      </c>
      <c r="L35" s="829">
        <v>4</v>
      </c>
      <c r="M35" s="829">
        <v>33</v>
      </c>
      <c r="N35" s="832">
        <v>11</v>
      </c>
      <c r="O35" s="829" t="s">
        <v>1951</v>
      </c>
      <c r="P35" s="833" t="s">
        <v>1985</v>
      </c>
      <c r="Q35" s="834">
        <f t="shared" si="0"/>
        <v>2</v>
      </c>
      <c r="R35" s="834">
        <f t="shared" si="0"/>
        <v>5.7799999999999994</v>
      </c>
      <c r="S35" s="825">
        <f t="shared" si="1"/>
        <v>55</v>
      </c>
      <c r="T35" s="825">
        <f t="shared" si="2"/>
        <v>70</v>
      </c>
      <c r="U35" s="825">
        <f t="shared" si="3"/>
        <v>15</v>
      </c>
      <c r="V35" s="835">
        <f t="shared" si="4"/>
        <v>1.2727272727272727</v>
      </c>
      <c r="W35" s="786">
        <v>18</v>
      </c>
    </row>
    <row r="36" spans="1:23" ht="14.4" customHeight="1" x14ac:dyDescent="0.3">
      <c r="A36" s="840" t="s">
        <v>1988</v>
      </c>
      <c r="B36" s="781">
        <v>1000</v>
      </c>
      <c r="C36" s="782">
        <v>291.52999999999997</v>
      </c>
      <c r="D36" s="783">
        <v>4.5999999999999996</v>
      </c>
      <c r="E36" s="792">
        <v>725</v>
      </c>
      <c r="F36" s="770">
        <v>210.7</v>
      </c>
      <c r="G36" s="771">
        <v>4.5</v>
      </c>
      <c r="H36" s="776">
        <v>931</v>
      </c>
      <c r="I36" s="770">
        <v>271.05</v>
      </c>
      <c r="J36" s="771">
        <v>4.5</v>
      </c>
      <c r="K36" s="775">
        <v>0.28999999999999998</v>
      </c>
      <c r="L36" s="776">
        <v>2</v>
      </c>
      <c r="M36" s="776">
        <v>15</v>
      </c>
      <c r="N36" s="777">
        <v>5</v>
      </c>
      <c r="O36" s="776" t="s">
        <v>1951</v>
      </c>
      <c r="P36" s="793" t="s">
        <v>1989</v>
      </c>
      <c r="Q36" s="778">
        <f t="shared" si="0"/>
        <v>-69</v>
      </c>
      <c r="R36" s="778">
        <f t="shared" si="0"/>
        <v>-20.479999999999961</v>
      </c>
      <c r="S36" s="789">
        <f t="shared" si="1"/>
        <v>4655</v>
      </c>
      <c r="T36" s="789">
        <f t="shared" si="2"/>
        <v>4189.5</v>
      </c>
      <c r="U36" s="789">
        <f t="shared" si="3"/>
        <v>-465.5</v>
      </c>
      <c r="V36" s="794">
        <f t="shared" si="4"/>
        <v>0.9</v>
      </c>
      <c r="W36" s="779">
        <v>133</v>
      </c>
    </row>
    <row r="37" spans="1:23" ht="14.4" customHeight="1" x14ac:dyDescent="0.3">
      <c r="A37" s="841" t="s">
        <v>1990</v>
      </c>
      <c r="B37" s="837">
        <v>200</v>
      </c>
      <c r="C37" s="838">
        <v>75.34</v>
      </c>
      <c r="D37" s="788">
        <v>5.6</v>
      </c>
      <c r="E37" s="836">
        <v>345</v>
      </c>
      <c r="F37" s="830">
        <v>129.93</v>
      </c>
      <c r="G37" s="785">
        <v>5.2</v>
      </c>
      <c r="H37" s="829">
        <v>192</v>
      </c>
      <c r="I37" s="830">
        <v>72.45</v>
      </c>
      <c r="J37" s="785">
        <v>5.8</v>
      </c>
      <c r="K37" s="831">
        <v>0.38</v>
      </c>
      <c r="L37" s="829">
        <v>2</v>
      </c>
      <c r="M37" s="829">
        <v>18</v>
      </c>
      <c r="N37" s="832">
        <v>6</v>
      </c>
      <c r="O37" s="829" t="s">
        <v>1951</v>
      </c>
      <c r="P37" s="833" t="s">
        <v>1989</v>
      </c>
      <c r="Q37" s="834">
        <f t="shared" si="0"/>
        <v>-8</v>
      </c>
      <c r="R37" s="834">
        <f t="shared" si="0"/>
        <v>-2.8900000000000006</v>
      </c>
      <c r="S37" s="825">
        <f t="shared" si="1"/>
        <v>1152</v>
      </c>
      <c r="T37" s="825">
        <f t="shared" si="2"/>
        <v>1113.5999999999999</v>
      </c>
      <c r="U37" s="825">
        <f t="shared" si="3"/>
        <v>-38.400000000000091</v>
      </c>
      <c r="V37" s="835">
        <f t="shared" si="4"/>
        <v>0.96666666666666656</v>
      </c>
      <c r="W37" s="786">
        <v>111</v>
      </c>
    </row>
    <row r="38" spans="1:23" ht="14.4" customHeight="1" x14ac:dyDescent="0.3">
      <c r="A38" s="841" t="s">
        <v>1991</v>
      </c>
      <c r="B38" s="837">
        <v>21</v>
      </c>
      <c r="C38" s="838">
        <v>12.44</v>
      </c>
      <c r="D38" s="788">
        <v>6.3</v>
      </c>
      <c r="E38" s="836">
        <v>60</v>
      </c>
      <c r="F38" s="830">
        <v>37.22</v>
      </c>
      <c r="G38" s="785">
        <v>5.8</v>
      </c>
      <c r="H38" s="829">
        <v>57</v>
      </c>
      <c r="I38" s="830">
        <v>33.76</v>
      </c>
      <c r="J38" s="785">
        <v>5.2</v>
      </c>
      <c r="K38" s="831">
        <v>0.59</v>
      </c>
      <c r="L38" s="829">
        <v>2</v>
      </c>
      <c r="M38" s="829">
        <v>18</v>
      </c>
      <c r="N38" s="832">
        <v>6</v>
      </c>
      <c r="O38" s="829" t="s">
        <v>1951</v>
      </c>
      <c r="P38" s="833" t="s">
        <v>1989</v>
      </c>
      <c r="Q38" s="834">
        <f t="shared" si="0"/>
        <v>36</v>
      </c>
      <c r="R38" s="834">
        <f t="shared" si="0"/>
        <v>21.32</v>
      </c>
      <c r="S38" s="825">
        <f t="shared" si="1"/>
        <v>342</v>
      </c>
      <c r="T38" s="825">
        <f t="shared" si="2"/>
        <v>296.40000000000003</v>
      </c>
      <c r="U38" s="825">
        <f t="shared" si="3"/>
        <v>-45.599999999999966</v>
      </c>
      <c r="V38" s="835">
        <f t="shared" si="4"/>
        <v>0.86666666666666681</v>
      </c>
      <c r="W38" s="786">
        <v>21</v>
      </c>
    </row>
    <row r="39" spans="1:23" ht="14.4" customHeight="1" x14ac:dyDescent="0.3">
      <c r="A39" s="840" t="s">
        <v>1992</v>
      </c>
      <c r="B39" s="789"/>
      <c r="C39" s="790"/>
      <c r="D39" s="791"/>
      <c r="E39" s="772">
        <v>1</v>
      </c>
      <c r="F39" s="773">
        <v>5.12</v>
      </c>
      <c r="G39" s="774">
        <v>70</v>
      </c>
      <c r="H39" s="776"/>
      <c r="I39" s="770"/>
      <c r="J39" s="771"/>
      <c r="K39" s="775">
        <v>2.17</v>
      </c>
      <c r="L39" s="776">
        <v>4</v>
      </c>
      <c r="M39" s="776">
        <v>39</v>
      </c>
      <c r="N39" s="777">
        <v>13</v>
      </c>
      <c r="O39" s="776" t="s">
        <v>1938</v>
      </c>
      <c r="P39" s="793" t="s">
        <v>1993</v>
      </c>
      <c r="Q39" s="778">
        <f t="shared" si="0"/>
        <v>0</v>
      </c>
      <c r="R39" s="778">
        <f t="shared" si="0"/>
        <v>0</v>
      </c>
      <c r="S39" s="789" t="str">
        <f t="shared" si="1"/>
        <v/>
      </c>
      <c r="T39" s="789" t="str">
        <f t="shared" si="2"/>
        <v/>
      </c>
      <c r="U39" s="789" t="str">
        <f t="shared" si="3"/>
        <v/>
      </c>
      <c r="V39" s="794" t="str">
        <f t="shared" si="4"/>
        <v/>
      </c>
      <c r="W39" s="779"/>
    </row>
    <row r="40" spans="1:23" ht="14.4" customHeight="1" x14ac:dyDescent="0.3">
      <c r="A40" s="840" t="s">
        <v>1994</v>
      </c>
      <c r="B40" s="789">
        <v>7</v>
      </c>
      <c r="C40" s="790">
        <v>1.8</v>
      </c>
      <c r="D40" s="791">
        <v>2.1</v>
      </c>
      <c r="E40" s="792">
        <v>8</v>
      </c>
      <c r="F40" s="770">
        <v>2.0499999999999998</v>
      </c>
      <c r="G40" s="771">
        <v>2.4</v>
      </c>
      <c r="H40" s="772">
        <v>9</v>
      </c>
      <c r="I40" s="773">
        <v>2.31</v>
      </c>
      <c r="J40" s="774">
        <v>2</v>
      </c>
      <c r="K40" s="775">
        <v>0.26</v>
      </c>
      <c r="L40" s="776">
        <v>1</v>
      </c>
      <c r="M40" s="776">
        <v>9</v>
      </c>
      <c r="N40" s="777">
        <v>3</v>
      </c>
      <c r="O40" s="776" t="s">
        <v>1938</v>
      </c>
      <c r="P40" s="793" t="s">
        <v>1995</v>
      </c>
      <c r="Q40" s="778">
        <f t="shared" si="0"/>
        <v>2</v>
      </c>
      <c r="R40" s="778">
        <f t="shared" si="0"/>
        <v>0.51</v>
      </c>
      <c r="S40" s="789">
        <f t="shared" si="1"/>
        <v>27</v>
      </c>
      <c r="T40" s="789">
        <f t="shared" si="2"/>
        <v>18</v>
      </c>
      <c r="U40" s="789">
        <f t="shared" si="3"/>
        <v>-9</v>
      </c>
      <c r="V40" s="794">
        <f t="shared" si="4"/>
        <v>0.66666666666666663</v>
      </c>
      <c r="W40" s="779"/>
    </row>
    <row r="41" spans="1:23" ht="14.4" customHeight="1" x14ac:dyDescent="0.3">
      <c r="A41" s="841" t="s">
        <v>1996</v>
      </c>
      <c r="B41" s="825"/>
      <c r="C41" s="826"/>
      <c r="D41" s="795"/>
      <c r="E41" s="836"/>
      <c r="F41" s="830"/>
      <c r="G41" s="785"/>
      <c r="H41" s="827">
        <v>1</v>
      </c>
      <c r="I41" s="828">
        <v>0.36</v>
      </c>
      <c r="J41" s="787">
        <v>6</v>
      </c>
      <c r="K41" s="831">
        <v>0.36</v>
      </c>
      <c r="L41" s="829">
        <v>1</v>
      </c>
      <c r="M41" s="829">
        <v>12</v>
      </c>
      <c r="N41" s="832">
        <v>4</v>
      </c>
      <c r="O41" s="829" t="s">
        <v>1938</v>
      </c>
      <c r="P41" s="833" t="s">
        <v>1997</v>
      </c>
      <c r="Q41" s="834">
        <f t="shared" si="0"/>
        <v>1</v>
      </c>
      <c r="R41" s="834">
        <f t="shared" si="0"/>
        <v>0.36</v>
      </c>
      <c r="S41" s="825">
        <f t="shared" si="1"/>
        <v>4</v>
      </c>
      <c r="T41" s="825">
        <f t="shared" si="2"/>
        <v>6</v>
      </c>
      <c r="U41" s="825">
        <f t="shared" si="3"/>
        <v>2</v>
      </c>
      <c r="V41" s="835">
        <f t="shared" si="4"/>
        <v>1.5</v>
      </c>
      <c r="W41" s="786">
        <v>2</v>
      </c>
    </row>
    <row r="42" spans="1:23" ht="14.4" customHeight="1" x14ac:dyDescent="0.3">
      <c r="A42" s="841" t="s">
        <v>1998</v>
      </c>
      <c r="B42" s="825">
        <v>1</v>
      </c>
      <c r="C42" s="826">
        <v>0.85</v>
      </c>
      <c r="D42" s="795">
        <v>11</v>
      </c>
      <c r="E42" s="836">
        <v>1</v>
      </c>
      <c r="F42" s="830">
        <v>0.85</v>
      </c>
      <c r="G42" s="785">
        <v>7</v>
      </c>
      <c r="H42" s="827"/>
      <c r="I42" s="828"/>
      <c r="J42" s="784"/>
      <c r="K42" s="831">
        <v>0.85</v>
      </c>
      <c r="L42" s="829">
        <v>3</v>
      </c>
      <c r="M42" s="829">
        <v>24</v>
      </c>
      <c r="N42" s="832">
        <v>8</v>
      </c>
      <c r="O42" s="829" t="s">
        <v>1938</v>
      </c>
      <c r="P42" s="833" t="s">
        <v>1999</v>
      </c>
      <c r="Q42" s="834">
        <f t="shared" si="0"/>
        <v>-1</v>
      </c>
      <c r="R42" s="834">
        <f t="shared" si="0"/>
        <v>-0.85</v>
      </c>
      <c r="S42" s="825" t="str">
        <f t="shared" si="1"/>
        <v/>
      </c>
      <c r="T42" s="825" t="str">
        <f t="shared" si="2"/>
        <v/>
      </c>
      <c r="U42" s="825" t="str">
        <f t="shared" si="3"/>
        <v/>
      </c>
      <c r="V42" s="835" t="str">
        <f t="shared" si="4"/>
        <v/>
      </c>
      <c r="W42" s="786"/>
    </row>
    <row r="43" spans="1:23" ht="14.4" customHeight="1" thickBot="1" x14ac:dyDescent="0.35">
      <c r="A43" s="842" t="s">
        <v>2000</v>
      </c>
      <c r="B43" s="843">
        <v>2</v>
      </c>
      <c r="C43" s="844">
        <v>0.24</v>
      </c>
      <c r="D43" s="845">
        <v>5.5</v>
      </c>
      <c r="E43" s="846"/>
      <c r="F43" s="847"/>
      <c r="G43" s="848"/>
      <c r="H43" s="849"/>
      <c r="I43" s="847"/>
      <c r="J43" s="848"/>
      <c r="K43" s="850">
        <v>0.11</v>
      </c>
      <c r="L43" s="849">
        <v>2</v>
      </c>
      <c r="M43" s="849">
        <v>15</v>
      </c>
      <c r="N43" s="851">
        <v>5</v>
      </c>
      <c r="O43" s="849" t="s">
        <v>1938</v>
      </c>
      <c r="P43" s="852" t="s">
        <v>2001</v>
      </c>
      <c r="Q43" s="853">
        <f t="shared" si="0"/>
        <v>-2</v>
      </c>
      <c r="R43" s="853">
        <f t="shared" si="0"/>
        <v>-0.24</v>
      </c>
      <c r="S43" s="854" t="str">
        <f t="shared" si="1"/>
        <v/>
      </c>
      <c r="T43" s="854" t="str">
        <f t="shared" si="2"/>
        <v/>
      </c>
      <c r="U43" s="854" t="str">
        <f t="shared" si="3"/>
        <v/>
      </c>
      <c r="V43" s="855" t="str">
        <f t="shared" si="4"/>
        <v/>
      </c>
      <c r="W43" s="856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4:Q1048576">
    <cfRule type="cellIs" dxfId="12" priority="9" stopIfTrue="1" operator="lessThan">
      <formula>0</formula>
    </cfRule>
  </conditionalFormatting>
  <conditionalFormatting sqref="U44:U1048576">
    <cfRule type="cellIs" dxfId="11" priority="8" stopIfTrue="1" operator="greaterThan">
      <formula>0</formula>
    </cfRule>
  </conditionalFormatting>
  <conditionalFormatting sqref="V44:V1048576">
    <cfRule type="cellIs" dxfId="10" priority="7" stopIfTrue="1" operator="greaterThan">
      <formula>1</formula>
    </cfRule>
  </conditionalFormatting>
  <conditionalFormatting sqref="V44:V1048576">
    <cfRule type="cellIs" dxfId="9" priority="4" stopIfTrue="1" operator="greaterThan">
      <formula>1</formula>
    </cfRule>
  </conditionalFormatting>
  <conditionalFormatting sqref="U44:U1048576">
    <cfRule type="cellIs" dxfId="8" priority="5" stopIfTrue="1" operator="greaterThan">
      <formula>0</formula>
    </cfRule>
  </conditionalFormatting>
  <conditionalFormatting sqref="Q44:Q1048576">
    <cfRule type="cellIs" dxfId="7" priority="6" stopIfTrue="1" operator="lessThan">
      <formula>0</formula>
    </cfRule>
  </conditionalFormatting>
  <conditionalFormatting sqref="V5:V43">
    <cfRule type="cellIs" dxfId="6" priority="1" stopIfTrue="1" operator="greaterThan">
      <formula>1</formula>
    </cfRule>
  </conditionalFormatting>
  <conditionalFormatting sqref="U5:U43">
    <cfRule type="cellIs" dxfId="5" priority="2" stopIfTrue="1" operator="greaterThan">
      <formula>0</formula>
    </cfRule>
  </conditionalFormatting>
  <conditionalFormatting sqref="Q5:Q4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44" customWidth="1"/>
    <col min="2" max="2" width="7.77734375" style="209" customWidth="1"/>
    <col min="3" max="3" width="7.21875" style="244" hidden="1" customWidth="1"/>
    <col min="4" max="4" width="7.77734375" style="209" customWidth="1"/>
    <col min="5" max="5" width="7.21875" style="244" hidden="1" customWidth="1"/>
    <col min="6" max="6" width="7.77734375" style="209" customWidth="1"/>
    <col min="7" max="7" width="7.77734375" style="329" customWidth="1"/>
    <col min="8" max="8" width="7.77734375" style="209" customWidth="1"/>
    <col min="9" max="9" width="7.21875" style="244" hidden="1" customWidth="1"/>
    <col min="10" max="10" width="7.77734375" style="209" customWidth="1"/>
    <col min="11" max="11" width="7.21875" style="244" hidden="1" customWidth="1"/>
    <col min="12" max="12" width="7.77734375" style="209" customWidth="1"/>
    <col min="13" max="13" width="7.77734375" style="329" customWidth="1"/>
    <col min="14" max="16384" width="8.88671875" style="244"/>
  </cols>
  <sheetData>
    <row r="1" spans="1:13" ht="18.600000000000001" customHeight="1" thickBot="1" x14ac:dyDescent="0.4">
      <c r="A1" s="473" t="s">
        <v>150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ht="14.4" customHeight="1" thickBot="1" x14ac:dyDescent="0.35">
      <c r="A2" s="368" t="s">
        <v>301</v>
      </c>
      <c r="B2" s="341"/>
      <c r="C2" s="214"/>
      <c r="D2" s="341"/>
      <c r="E2" s="214"/>
      <c r="F2" s="341"/>
      <c r="G2" s="342"/>
      <c r="H2" s="341"/>
      <c r="I2" s="214"/>
      <c r="J2" s="341"/>
      <c r="K2" s="214"/>
      <c r="L2" s="341"/>
      <c r="M2" s="342"/>
    </row>
    <row r="3" spans="1:13" ht="14.4" customHeight="1" thickBot="1" x14ac:dyDescent="0.35">
      <c r="A3" s="335" t="s">
        <v>151</v>
      </c>
      <c r="B3" s="336">
        <f>SUBTOTAL(9,B6:B1048576)</f>
        <v>3067851</v>
      </c>
      <c r="C3" s="337">
        <f t="shared" ref="C3:L3" si="0">SUBTOTAL(9,C6:C1048576)</f>
        <v>8</v>
      </c>
      <c r="D3" s="337">
        <f t="shared" si="0"/>
        <v>3075765</v>
      </c>
      <c r="E3" s="337">
        <f t="shared" si="0"/>
        <v>10.112553560707507</v>
      </c>
      <c r="F3" s="337">
        <f t="shared" si="0"/>
        <v>4149015</v>
      </c>
      <c r="G3" s="340">
        <f>IF(B3&lt;&gt;0,F3/B3,"")</f>
        <v>1.3524173762024296</v>
      </c>
      <c r="H3" s="336">
        <f t="shared" si="0"/>
        <v>37659.590000000004</v>
      </c>
      <c r="I3" s="337">
        <f t="shared" si="0"/>
        <v>1</v>
      </c>
      <c r="J3" s="337">
        <f t="shared" si="0"/>
        <v>2669.17</v>
      </c>
      <c r="K3" s="337">
        <f t="shared" si="0"/>
        <v>7.0876236305281073E-2</v>
      </c>
      <c r="L3" s="337">
        <f t="shared" si="0"/>
        <v>1058.1099999999999</v>
      </c>
      <c r="M3" s="338">
        <f>IF(H3&lt;&gt;0,L3/H3,"")</f>
        <v>2.8096694626786958E-2</v>
      </c>
    </row>
    <row r="4" spans="1:13" ht="14.4" customHeight="1" x14ac:dyDescent="0.3">
      <c r="A4" s="582" t="s">
        <v>111</v>
      </c>
      <c r="B4" s="528" t="s">
        <v>116</v>
      </c>
      <c r="C4" s="529"/>
      <c r="D4" s="529"/>
      <c r="E4" s="529"/>
      <c r="F4" s="529"/>
      <c r="G4" s="530"/>
      <c r="H4" s="528" t="s">
        <v>117</v>
      </c>
      <c r="I4" s="529"/>
      <c r="J4" s="529"/>
      <c r="K4" s="529"/>
      <c r="L4" s="529"/>
      <c r="M4" s="530"/>
    </row>
    <row r="5" spans="1:13" s="327" customFormat="1" ht="14.4" customHeight="1" thickBot="1" x14ac:dyDescent="0.35">
      <c r="A5" s="857"/>
      <c r="B5" s="858">
        <v>2014</v>
      </c>
      <c r="C5" s="859"/>
      <c r="D5" s="859">
        <v>2015</v>
      </c>
      <c r="E5" s="859"/>
      <c r="F5" s="859">
        <v>2016</v>
      </c>
      <c r="G5" s="747" t="s">
        <v>2</v>
      </c>
      <c r="H5" s="858">
        <v>2014</v>
      </c>
      <c r="I5" s="859"/>
      <c r="J5" s="859">
        <v>2015</v>
      </c>
      <c r="K5" s="859"/>
      <c r="L5" s="859">
        <v>2016</v>
      </c>
      <c r="M5" s="747" t="s">
        <v>2</v>
      </c>
    </row>
    <row r="6" spans="1:13" ht="14.4" customHeight="1" x14ac:dyDescent="0.3">
      <c r="A6" s="665" t="s">
        <v>2003</v>
      </c>
      <c r="B6" s="748">
        <v>204740</v>
      </c>
      <c r="C6" s="633">
        <v>1</v>
      </c>
      <c r="D6" s="748">
        <v>277021</v>
      </c>
      <c r="E6" s="633">
        <v>1.3530379994138908</v>
      </c>
      <c r="F6" s="748">
        <v>319802</v>
      </c>
      <c r="G6" s="655">
        <v>1.5619908176223503</v>
      </c>
      <c r="H6" s="748"/>
      <c r="I6" s="633"/>
      <c r="J6" s="748"/>
      <c r="K6" s="633"/>
      <c r="L6" s="748"/>
      <c r="M6" s="679"/>
    </row>
    <row r="7" spans="1:13" ht="14.4" customHeight="1" x14ac:dyDescent="0.3">
      <c r="A7" s="666" t="s">
        <v>2004</v>
      </c>
      <c r="B7" s="752">
        <v>123458</v>
      </c>
      <c r="C7" s="639">
        <v>1</v>
      </c>
      <c r="D7" s="752">
        <v>165758</v>
      </c>
      <c r="E7" s="639">
        <v>1.3426266422589059</v>
      </c>
      <c r="F7" s="752">
        <v>759680</v>
      </c>
      <c r="G7" s="656">
        <v>6.1533476971925678</v>
      </c>
      <c r="H7" s="752"/>
      <c r="I7" s="639"/>
      <c r="J7" s="752"/>
      <c r="K7" s="639"/>
      <c r="L7" s="752"/>
      <c r="M7" s="680"/>
    </row>
    <row r="8" spans="1:13" ht="14.4" customHeight="1" x14ac:dyDescent="0.3">
      <c r="A8" s="666" t="s">
        <v>2005</v>
      </c>
      <c r="B8" s="752">
        <v>1335404</v>
      </c>
      <c r="C8" s="639">
        <v>1</v>
      </c>
      <c r="D8" s="752">
        <v>1191742</v>
      </c>
      <c r="E8" s="639">
        <v>0.8924205708534646</v>
      </c>
      <c r="F8" s="752">
        <v>1547342</v>
      </c>
      <c r="G8" s="656">
        <v>1.1587070279855385</v>
      </c>
      <c r="H8" s="752"/>
      <c r="I8" s="639"/>
      <c r="J8" s="752"/>
      <c r="K8" s="639"/>
      <c r="L8" s="752"/>
      <c r="M8" s="680"/>
    </row>
    <row r="9" spans="1:13" ht="14.4" customHeight="1" x14ac:dyDescent="0.3">
      <c r="A9" s="666" t="s">
        <v>2006</v>
      </c>
      <c r="B9" s="752">
        <v>145338</v>
      </c>
      <c r="C9" s="639">
        <v>1</v>
      </c>
      <c r="D9" s="752">
        <v>158566</v>
      </c>
      <c r="E9" s="639">
        <v>1.0910154261101708</v>
      </c>
      <c r="F9" s="752">
        <v>163346</v>
      </c>
      <c r="G9" s="656">
        <v>1.1239042783029902</v>
      </c>
      <c r="H9" s="752">
        <v>37659.590000000004</v>
      </c>
      <c r="I9" s="639">
        <v>1</v>
      </c>
      <c r="J9" s="752">
        <v>2669.17</v>
      </c>
      <c r="K9" s="639">
        <v>7.0876236305281073E-2</v>
      </c>
      <c r="L9" s="752">
        <v>1058.1099999999999</v>
      </c>
      <c r="M9" s="680">
        <v>2.8096694626786958E-2</v>
      </c>
    </row>
    <row r="10" spans="1:13" ht="14.4" customHeight="1" x14ac:dyDescent="0.3">
      <c r="A10" s="666" t="s">
        <v>2007</v>
      </c>
      <c r="B10" s="752">
        <v>826042</v>
      </c>
      <c r="C10" s="639">
        <v>1</v>
      </c>
      <c r="D10" s="752">
        <v>797581</v>
      </c>
      <c r="E10" s="639">
        <v>0.96554533546720389</v>
      </c>
      <c r="F10" s="752">
        <v>824116</v>
      </c>
      <c r="G10" s="656">
        <v>0.99766839942763197</v>
      </c>
      <c r="H10" s="752"/>
      <c r="I10" s="639"/>
      <c r="J10" s="752"/>
      <c r="K10" s="639"/>
      <c r="L10" s="752"/>
      <c r="M10" s="680"/>
    </row>
    <row r="11" spans="1:13" ht="14.4" customHeight="1" x14ac:dyDescent="0.3">
      <c r="A11" s="666" t="s">
        <v>2008</v>
      </c>
      <c r="B11" s="752">
        <v>31497</v>
      </c>
      <c r="C11" s="639">
        <v>1</v>
      </c>
      <c r="D11" s="752">
        <v>52133</v>
      </c>
      <c r="E11" s="639">
        <v>1.6551735085881194</v>
      </c>
      <c r="F11" s="752">
        <v>81755</v>
      </c>
      <c r="G11" s="656">
        <v>2.5956440295901198</v>
      </c>
      <c r="H11" s="752"/>
      <c r="I11" s="639"/>
      <c r="J11" s="752"/>
      <c r="K11" s="639"/>
      <c r="L11" s="752"/>
      <c r="M11" s="680"/>
    </row>
    <row r="12" spans="1:13" ht="14.4" customHeight="1" x14ac:dyDescent="0.3">
      <c r="A12" s="666" t="s">
        <v>2009</v>
      </c>
      <c r="B12" s="752">
        <v>347416</v>
      </c>
      <c r="C12" s="639">
        <v>1</v>
      </c>
      <c r="D12" s="752">
        <v>332902</v>
      </c>
      <c r="E12" s="639">
        <v>0.95822299491100005</v>
      </c>
      <c r="F12" s="752">
        <v>386998</v>
      </c>
      <c r="G12" s="656">
        <v>1.1139325765077026</v>
      </c>
      <c r="H12" s="752"/>
      <c r="I12" s="639"/>
      <c r="J12" s="752"/>
      <c r="K12" s="639"/>
      <c r="L12" s="752"/>
      <c r="M12" s="680"/>
    </row>
    <row r="13" spans="1:13" ht="14.4" customHeight="1" thickBot="1" x14ac:dyDescent="0.35">
      <c r="A13" s="750" t="s">
        <v>2010</v>
      </c>
      <c r="B13" s="749">
        <v>53956</v>
      </c>
      <c r="C13" s="645">
        <v>1</v>
      </c>
      <c r="D13" s="749">
        <v>100062</v>
      </c>
      <c r="E13" s="645">
        <v>1.854511083104752</v>
      </c>
      <c r="F13" s="749">
        <v>65976</v>
      </c>
      <c r="G13" s="657">
        <v>1.2227741122396025</v>
      </c>
      <c r="H13" s="749"/>
      <c r="I13" s="645"/>
      <c r="J13" s="749"/>
      <c r="K13" s="645"/>
      <c r="L13" s="749"/>
      <c r="M13" s="68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7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44" bestFit="1" customWidth="1"/>
    <col min="2" max="2" width="8.6640625" style="244" bestFit="1" customWidth="1"/>
    <col min="3" max="3" width="2.109375" style="244" bestFit="1" customWidth="1"/>
    <col min="4" max="4" width="8" style="244" bestFit="1" customWidth="1"/>
    <col min="5" max="5" width="52.88671875" style="244" bestFit="1" customWidth="1"/>
    <col min="6" max="7" width="11.109375" style="326" customWidth="1"/>
    <col min="8" max="9" width="9.33203125" style="326" hidden="1" customWidth="1"/>
    <col min="10" max="11" width="11.109375" style="326" customWidth="1"/>
    <col min="12" max="13" width="9.33203125" style="326" hidden="1" customWidth="1"/>
    <col min="14" max="15" width="11.109375" style="326" customWidth="1"/>
    <col min="16" max="16" width="11.109375" style="329" customWidth="1"/>
    <col min="17" max="17" width="11.109375" style="326" customWidth="1"/>
    <col min="18" max="16384" width="8.88671875" style="244"/>
  </cols>
  <sheetData>
    <row r="1" spans="1:17" ht="18.600000000000001" customHeight="1" thickBot="1" x14ac:dyDescent="0.4">
      <c r="A1" s="473" t="s">
        <v>2539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ht="14.4" customHeight="1" thickBot="1" x14ac:dyDescent="0.35">
      <c r="A2" s="368" t="s">
        <v>301</v>
      </c>
      <c r="B2" s="214"/>
      <c r="C2" s="214"/>
      <c r="D2" s="214"/>
      <c r="E2" s="214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2"/>
      <c r="Q2" s="345"/>
    </row>
    <row r="3" spans="1:17" ht="14.4" customHeight="1" thickBot="1" x14ac:dyDescent="0.35">
      <c r="E3" s="102" t="s">
        <v>151</v>
      </c>
      <c r="F3" s="201">
        <f t="shared" ref="F3:O3" si="0">SUBTOTAL(9,F6:F1048576)</f>
        <v>25001.48</v>
      </c>
      <c r="G3" s="205">
        <f t="shared" si="0"/>
        <v>3105510.5900000008</v>
      </c>
      <c r="H3" s="206"/>
      <c r="I3" s="206"/>
      <c r="J3" s="201">
        <f t="shared" si="0"/>
        <v>22405.77</v>
      </c>
      <c r="K3" s="205">
        <f t="shared" si="0"/>
        <v>3078434.17</v>
      </c>
      <c r="L3" s="206"/>
      <c r="M3" s="206"/>
      <c r="N3" s="201">
        <f t="shared" si="0"/>
        <v>26685.170000000002</v>
      </c>
      <c r="O3" s="205">
        <f t="shared" si="0"/>
        <v>4150073.11</v>
      </c>
      <c r="P3" s="171">
        <f>IF(G3=0,"",O3/G3)</f>
        <v>1.3363577388412637</v>
      </c>
      <c r="Q3" s="203">
        <f>IF(N3=0,"",O3/N3)</f>
        <v>155.51983030274866</v>
      </c>
    </row>
    <row r="4" spans="1:17" ht="14.4" customHeight="1" x14ac:dyDescent="0.3">
      <c r="A4" s="536" t="s">
        <v>67</v>
      </c>
      <c r="B4" s="535" t="s">
        <v>112</v>
      </c>
      <c r="C4" s="536" t="s">
        <v>113</v>
      </c>
      <c r="D4" s="545" t="s">
        <v>83</v>
      </c>
      <c r="E4" s="537" t="s">
        <v>11</v>
      </c>
      <c r="F4" s="543">
        <v>2014</v>
      </c>
      <c r="G4" s="544"/>
      <c r="H4" s="204"/>
      <c r="I4" s="204"/>
      <c r="J4" s="543">
        <v>2015</v>
      </c>
      <c r="K4" s="544"/>
      <c r="L4" s="204"/>
      <c r="M4" s="204"/>
      <c r="N4" s="543">
        <v>2016</v>
      </c>
      <c r="O4" s="544"/>
      <c r="P4" s="546" t="s">
        <v>2</v>
      </c>
      <c r="Q4" s="534" t="s">
        <v>115</v>
      </c>
    </row>
    <row r="5" spans="1:17" ht="14.4" customHeight="1" thickBot="1" x14ac:dyDescent="0.35">
      <c r="A5" s="757"/>
      <c r="B5" s="755"/>
      <c r="C5" s="757"/>
      <c r="D5" s="765"/>
      <c r="E5" s="759"/>
      <c r="F5" s="766" t="s">
        <v>84</v>
      </c>
      <c r="G5" s="767" t="s">
        <v>14</v>
      </c>
      <c r="H5" s="768"/>
      <c r="I5" s="768"/>
      <c r="J5" s="766" t="s">
        <v>84</v>
      </c>
      <c r="K5" s="767" t="s">
        <v>14</v>
      </c>
      <c r="L5" s="768"/>
      <c r="M5" s="768"/>
      <c r="N5" s="766" t="s">
        <v>84</v>
      </c>
      <c r="O5" s="767" t="s">
        <v>14</v>
      </c>
      <c r="P5" s="769"/>
      <c r="Q5" s="764"/>
    </row>
    <row r="6" spans="1:17" ht="14.4" customHeight="1" x14ac:dyDescent="0.3">
      <c r="A6" s="632" t="s">
        <v>2011</v>
      </c>
      <c r="B6" s="633" t="s">
        <v>2012</v>
      </c>
      <c r="C6" s="633" t="s">
        <v>1723</v>
      </c>
      <c r="D6" s="633" t="s">
        <v>2013</v>
      </c>
      <c r="E6" s="633" t="s">
        <v>2014</v>
      </c>
      <c r="F6" s="636">
        <v>5</v>
      </c>
      <c r="G6" s="636">
        <v>1497</v>
      </c>
      <c r="H6" s="636">
        <v>1</v>
      </c>
      <c r="I6" s="636">
        <v>299.39999999999998</v>
      </c>
      <c r="J6" s="636">
        <v>7</v>
      </c>
      <c r="K6" s="636">
        <v>2121</v>
      </c>
      <c r="L6" s="636">
        <v>1.4168336673346693</v>
      </c>
      <c r="M6" s="636">
        <v>303</v>
      </c>
      <c r="N6" s="636">
        <v>10</v>
      </c>
      <c r="O6" s="636">
        <v>3140</v>
      </c>
      <c r="P6" s="655">
        <v>2.0975283901135606</v>
      </c>
      <c r="Q6" s="637">
        <v>314</v>
      </c>
    </row>
    <row r="7" spans="1:17" ht="14.4" customHeight="1" x14ac:dyDescent="0.3">
      <c r="A7" s="638" t="s">
        <v>2011</v>
      </c>
      <c r="B7" s="639" t="s">
        <v>2012</v>
      </c>
      <c r="C7" s="639" t="s">
        <v>1723</v>
      </c>
      <c r="D7" s="639" t="s">
        <v>2015</v>
      </c>
      <c r="E7" s="639" t="s">
        <v>2016</v>
      </c>
      <c r="F7" s="642">
        <v>7</v>
      </c>
      <c r="G7" s="642">
        <v>8811</v>
      </c>
      <c r="H7" s="642">
        <v>1</v>
      </c>
      <c r="I7" s="642">
        <v>1258.7142857142858</v>
      </c>
      <c r="J7" s="642">
        <v>9</v>
      </c>
      <c r="K7" s="642">
        <v>11412</v>
      </c>
      <c r="L7" s="642">
        <v>1.2951991828396323</v>
      </c>
      <c r="M7" s="642">
        <v>1268</v>
      </c>
      <c r="N7" s="642">
        <v>14</v>
      </c>
      <c r="O7" s="642">
        <v>17962</v>
      </c>
      <c r="P7" s="656">
        <v>2.038588128475769</v>
      </c>
      <c r="Q7" s="643">
        <v>1283</v>
      </c>
    </row>
    <row r="8" spans="1:17" ht="14.4" customHeight="1" x14ac:dyDescent="0.3">
      <c r="A8" s="638" t="s">
        <v>2011</v>
      </c>
      <c r="B8" s="639" t="s">
        <v>2012</v>
      </c>
      <c r="C8" s="639" t="s">
        <v>1723</v>
      </c>
      <c r="D8" s="639" t="s">
        <v>2017</v>
      </c>
      <c r="E8" s="639" t="s">
        <v>2018</v>
      </c>
      <c r="F8" s="642">
        <v>72</v>
      </c>
      <c r="G8" s="642">
        <v>161700</v>
      </c>
      <c r="H8" s="642">
        <v>1</v>
      </c>
      <c r="I8" s="642">
        <v>2245.8333333333335</v>
      </c>
      <c r="J8" s="642">
        <v>96</v>
      </c>
      <c r="K8" s="642">
        <v>217344</v>
      </c>
      <c r="L8" s="642">
        <v>1.3441187384044526</v>
      </c>
      <c r="M8" s="642">
        <v>2264</v>
      </c>
      <c r="N8" s="642">
        <v>100</v>
      </c>
      <c r="O8" s="642">
        <v>229400</v>
      </c>
      <c r="P8" s="656">
        <v>1.4186765615337045</v>
      </c>
      <c r="Q8" s="643">
        <v>2294</v>
      </c>
    </row>
    <row r="9" spans="1:17" ht="14.4" customHeight="1" x14ac:dyDescent="0.3">
      <c r="A9" s="638" t="s">
        <v>2011</v>
      </c>
      <c r="B9" s="639" t="s">
        <v>2012</v>
      </c>
      <c r="C9" s="639" t="s">
        <v>1723</v>
      </c>
      <c r="D9" s="639" t="s">
        <v>2019</v>
      </c>
      <c r="E9" s="639" t="s">
        <v>2020</v>
      </c>
      <c r="F9" s="642">
        <v>5</v>
      </c>
      <c r="G9" s="642">
        <v>32732</v>
      </c>
      <c r="H9" s="642">
        <v>1</v>
      </c>
      <c r="I9" s="642">
        <v>6546.4</v>
      </c>
      <c r="J9" s="642">
        <v>7</v>
      </c>
      <c r="K9" s="642">
        <v>46144</v>
      </c>
      <c r="L9" s="642">
        <v>1.4097519247219845</v>
      </c>
      <c r="M9" s="642">
        <v>6592</v>
      </c>
      <c r="N9" s="642">
        <v>10</v>
      </c>
      <c r="O9" s="642">
        <v>69300</v>
      </c>
      <c r="P9" s="656">
        <v>2.1171941830624466</v>
      </c>
      <c r="Q9" s="643">
        <v>6930</v>
      </c>
    </row>
    <row r="10" spans="1:17" ht="14.4" customHeight="1" x14ac:dyDescent="0.3">
      <c r="A10" s="638" t="s">
        <v>2021</v>
      </c>
      <c r="B10" s="639" t="s">
        <v>2012</v>
      </c>
      <c r="C10" s="639" t="s">
        <v>1723</v>
      </c>
      <c r="D10" s="639" t="s">
        <v>2022</v>
      </c>
      <c r="E10" s="639" t="s">
        <v>2023</v>
      </c>
      <c r="F10" s="642">
        <v>3</v>
      </c>
      <c r="G10" s="642">
        <v>69</v>
      </c>
      <c r="H10" s="642">
        <v>1</v>
      </c>
      <c r="I10" s="642">
        <v>23</v>
      </c>
      <c r="J10" s="642"/>
      <c r="K10" s="642"/>
      <c r="L10" s="642"/>
      <c r="M10" s="642"/>
      <c r="N10" s="642"/>
      <c r="O10" s="642"/>
      <c r="P10" s="656"/>
      <c r="Q10" s="643"/>
    </row>
    <row r="11" spans="1:17" ht="14.4" customHeight="1" x14ac:dyDescent="0.3">
      <c r="A11" s="638" t="s">
        <v>2021</v>
      </c>
      <c r="B11" s="639" t="s">
        <v>2012</v>
      </c>
      <c r="C11" s="639" t="s">
        <v>1723</v>
      </c>
      <c r="D11" s="639" t="s">
        <v>2015</v>
      </c>
      <c r="E11" s="639" t="s">
        <v>2016</v>
      </c>
      <c r="F11" s="642">
        <v>1</v>
      </c>
      <c r="G11" s="642">
        <v>1245</v>
      </c>
      <c r="H11" s="642">
        <v>1</v>
      </c>
      <c r="I11" s="642">
        <v>1245</v>
      </c>
      <c r="J11" s="642"/>
      <c r="K11" s="642"/>
      <c r="L11" s="642"/>
      <c r="M11" s="642"/>
      <c r="N11" s="642"/>
      <c r="O11" s="642"/>
      <c r="P11" s="656"/>
      <c r="Q11" s="643"/>
    </row>
    <row r="12" spans="1:17" ht="14.4" customHeight="1" x14ac:dyDescent="0.3">
      <c r="A12" s="638" t="s">
        <v>2021</v>
      </c>
      <c r="B12" s="639" t="s">
        <v>2012</v>
      </c>
      <c r="C12" s="639" t="s">
        <v>1723</v>
      </c>
      <c r="D12" s="639" t="s">
        <v>2024</v>
      </c>
      <c r="E12" s="639" t="s">
        <v>2025</v>
      </c>
      <c r="F12" s="642">
        <v>3</v>
      </c>
      <c r="G12" s="642">
        <v>1272</v>
      </c>
      <c r="H12" s="642">
        <v>1</v>
      </c>
      <c r="I12" s="642">
        <v>424</v>
      </c>
      <c r="J12" s="642"/>
      <c r="K12" s="642"/>
      <c r="L12" s="642"/>
      <c r="M12" s="642"/>
      <c r="N12" s="642"/>
      <c r="O12" s="642"/>
      <c r="P12" s="656"/>
      <c r="Q12" s="643"/>
    </row>
    <row r="13" spans="1:17" ht="14.4" customHeight="1" x14ac:dyDescent="0.3">
      <c r="A13" s="638" t="s">
        <v>2021</v>
      </c>
      <c r="B13" s="639" t="s">
        <v>2012</v>
      </c>
      <c r="C13" s="639" t="s">
        <v>1723</v>
      </c>
      <c r="D13" s="639" t="s">
        <v>2026</v>
      </c>
      <c r="E13" s="639" t="s">
        <v>2027</v>
      </c>
      <c r="F13" s="642">
        <v>3</v>
      </c>
      <c r="G13" s="642">
        <v>3006</v>
      </c>
      <c r="H13" s="642">
        <v>1</v>
      </c>
      <c r="I13" s="642">
        <v>1002</v>
      </c>
      <c r="J13" s="642"/>
      <c r="K13" s="642"/>
      <c r="L13" s="642"/>
      <c r="M13" s="642"/>
      <c r="N13" s="642"/>
      <c r="O13" s="642"/>
      <c r="P13" s="656"/>
      <c r="Q13" s="643"/>
    </row>
    <row r="14" spans="1:17" ht="14.4" customHeight="1" x14ac:dyDescent="0.3">
      <c r="A14" s="638" t="s">
        <v>2021</v>
      </c>
      <c r="B14" s="639" t="s">
        <v>2028</v>
      </c>
      <c r="C14" s="639" t="s">
        <v>1723</v>
      </c>
      <c r="D14" s="639" t="s">
        <v>2029</v>
      </c>
      <c r="E14" s="639" t="s">
        <v>2030</v>
      </c>
      <c r="F14" s="642">
        <v>17</v>
      </c>
      <c r="G14" s="642">
        <v>5960</v>
      </c>
      <c r="H14" s="642">
        <v>1</v>
      </c>
      <c r="I14" s="642">
        <v>350.58823529411762</v>
      </c>
      <c r="J14" s="642"/>
      <c r="K14" s="642"/>
      <c r="L14" s="642"/>
      <c r="M14" s="642"/>
      <c r="N14" s="642">
        <v>7</v>
      </c>
      <c r="O14" s="642">
        <v>2478</v>
      </c>
      <c r="P14" s="656">
        <v>0.41577181208053693</v>
      </c>
      <c r="Q14" s="643">
        <v>354</v>
      </c>
    </row>
    <row r="15" spans="1:17" ht="14.4" customHeight="1" x14ac:dyDescent="0.3">
      <c r="A15" s="638" t="s">
        <v>2021</v>
      </c>
      <c r="B15" s="639" t="s">
        <v>2028</v>
      </c>
      <c r="C15" s="639" t="s">
        <v>1723</v>
      </c>
      <c r="D15" s="639" t="s">
        <v>2031</v>
      </c>
      <c r="E15" s="639" t="s">
        <v>2032</v>
      </c>
      <c r="F15" s="642">
        <v>11</v>
      </c>
      <c r="G15" s="642">
        <v>715</v>
      </c>
      <c r="H15" s="642">
        <v>1</v>
      </c>
      <c r="I15" s="642">
        <v>65</v>
      </c>
      <c r="J15" s="642">
        <v>1410</v>
      </c>
      <c r="K15" s="642">
        <v>91650</v>
      </c>
      <c r="L15" s="642">
        <v>128.18181818181819</v>
      </c>
      <c r="M15" s="642">
        <v>65</v>
      </c>
      <c r="N15" s="642">
        <v>1141</v>
      </c>
      <c r="O15" s="642">
        <v>74165</v>
      </c>
      <c r="P15" s="656">
        <v>103.72727272727273</v>
      </c>
      <c r="Q15" s="643">
        <v>65</v>
      </c>
    </row>
    <row r="16" spans="1:17" ht="14.4" customHeight="1" x14ac:dyDescent="0.3">
      <c r="A16" s="638" t="s">
        <v>2021</v>
      </c>
      <c r="B16" s="639" t="s">
        <v>2028</v>
      </c>
      <c r="C16" s="639" t="s">
        <v>1723</v>
      </c>
      <c r="D16" s="639" t="s">
        <v>2033</v>
      </c>
      <c r="E16" s="639" t="s">
        <v>2034</v>
      </c>
      <c r="F16" s="642">
        <v>2</v>
      </c>
      <c r="G16" s="642">
        <v>1182</v>
      </c>
      <c r="H16" s="642">
        <v>1</v>
      </c>
      <c r="I16" s="642">
        <v>591</v>
      </c>
      <c r="J16" s="642"/>
      <c r="K16" s="642"/>
      <c r="L16" s="642"/>
      <c r="M16" s="642"/>
      <c r="N16" s="642"/>
      <c r="O16" s="642"/>
      <c r="P16" s="656"/>
      <c r="Q16" s="643"/>
    </row>
    <row r="17" spans="1:17" ht="14.4" customHeight="1" x14ac:dyDescent="0.3">
      <c r="A17" s="638" t="s">
        <v>2021</v>
      </c>
      <c r="B17" s="639" t="s">
        <v>2028</v>
      </c>
      <c r="C17" s="639" t="s">
        <v>1723</v>
      </c>
      <c r="D17" s="639" t="s">
        <v>2035</v>
      </c>
      <c r="E17" s="639" t="s">
        <v>2036</v>
      </c>
      <c r="F17" s="642">
        <v>63</v>
      </c>
      <c r="G17" s="642">
        <v>1492</v>
      </c>
      <c r="H17" s="642">
        <v>1</v>
      </c>
      <c r="I17" s="642">
        <v>23.682539682539684</v>
      </c>
      <c r="J17" s="642">
        <v>25</v>
      </c>
      <c r="K17" s="642">
        <v>600</v>
      </c>
      <c r="L17" s="642">
        <v>0.40214477211796246</v>
      </c>
      <c r="M17" s="642">
        <v>24</v>
      </c>
      <c r="N17" s="642">
        <v>20</v>
      </c>
      <c r="O17" s="642">
        <v>480</v>
      </c>
      <c r="P17" s="656">
        <v>0.32171581769436997</v>
      </c>
      <c r="Q17" s="643">
        <v>24</v>
      </c>
    </row>
    <row r="18" spans="1:17" ht="14.4" customHeight="1" x14ac:dyDescent="0.3">
      <c r="A18" s="638" t="s">
        <v>2021</v>
      </c>
      <c r="B18" s="639" t="s">
        <v>2028</v>
      </c>
      <c r="C18" s="639" t="s">
        <v>1723</v>
      </c>
      <c r="D18" s="639" t="s">
        <v>2037</v>
      </c>
      <c r="E18" s="639" t="s">
        <v>2038</v>
      </c>
      <c r="F18" s="642">
        <v>23</v>
      </c>
      <c r="G18" s="642">
        <v>1242</v>
      </c>
      <c r="H18" s="642">
        <v>1</v>
      </c>
      <c r="I18" s="642">
        <v>54</v>
      </c>
      <c r="J18" s="642">
        <v>6</v>
      </c>
      <c r="K18" s="642">
        <v>324</v>
      </c>
      <c r="L18" s="642">
        <v>0.2608695652173913</v>
      </c>
      <c r="M18" s="642">
        <v>54</v>
      </c>
      <c r="N18" s="642">
        <v>1</v>
      </c>
      <c r="O18" s="642">
        <v>55</v>
      </c>
      <c r="P18" s="656">
        <v>4.4283413848631242E-2</v>
      </c>
      <c r="Q18" s="643">
        <v>55</v>
      </c>
    </row>
    <row r="19" spans="1:17" ht="14.4" customHeight="1" x14ac:dyDescent="0.3">
      <c r="A19" s="638" t="s">
        <v>2021</v>
      </c>
      <c r="B19" s="639" t="s">
        <v>2028</v>
      </c>
      <c r="C19" s="639" t="s">
        <v>1723</v>
      </c>
      <c r="D19" s="639" t="s">
        <v>2039</v>
      </c>
      <c r="E19" s="639" t="s">
        <v>2040</v>
      </c>
      <c r="F19" s="642">
        <v>74</v>
      </c>
      <c r="G19" s="642">
        <v>5698</v>
      </c>
      <c r="H19" s="642">
        <v>1</v>
      </c>
      <c r="I19" s="642">
        <v>77</v>
      </c>
      <c r="J19" s="642">
        <v>73</v>
      </c>
      <c r="K19" s="642">
        <v>5621</v>
      </c>
      <c r="L19" s="642">
        <v>0.98648648648648651</v>
      </c>
      <c r="M19" s="642">
        <v>77</v>
      </c>
      <c r="N19" s="642">
        <v>38</v>
      </c>
      <c r="O19" s="642">
        <v>2926</v>
      </c>
      <c r="P19" s="656">
        <v>0.51351351351351349</v>
      </c>
      <c r="Q19" s="643">
        <v>77</v>
      </c>
    </row>
    <row r="20" spans="1:17" ht="14.4" customHeight="1" x14ac:dyDescent="0.3">
      <c r="A20" s="638" t="s">
        <v>2021</v>
      </c>
      <c r="B20" s="639" t="s">
        <v>2028</v>
      </c>
      <c r="C20" s="639" t="s">
        <v>1723</v>
      </c>
      <c r="D20" s="639" t="s">
        <v>2041</v>
      </c>
      <c r="E20" s="639" t="s">
        <v>2042</v>
      </c>
      <c r="F20" s="642">
        <v>1256</v>
      </c>
      <c r="G20" s="642">
        <v>28417</v>
      </c>
      <c r="H20" s="642">
        <v>1</v>
      </c>
      <c r="I20" s="642">
        <v>22.625</v>
      </c>
      <c r="J20" s="642">
        <v>781</v>
      </c>
      <c r="K20" s="642">
        <v>17963</v>
      </c>
      <c r="L20" s="642">
        <v>0.63212161734173211</v>
      </c>
      <c r="M20" s="642">
        <v>23</v>
      </c>
      <c r="N20" s="642">
        <v>355</v>
      </c>
      <c r="O20" s="642">
        <v>8520</v>
      </c>
      <c r="P20" s="656">
        <v>0.2998205299644579</v>
      </c>
      <c r="Q20" s="643">
        <v>24</v>
      </c>
    </row>
    <row r="21" spans="1:17" ht="14.4" customHeight="1" x14ac:dyDescent="0.3">
      <c r="A21" s="638" t="s">
        <v>2021</v>
      </c>
      <c r="B21" s="639" t="s">
        <v>2028</v>
      </c>
      <c r="C21" s="639" t="s">
        <v>1723</v>
      </c>
      <c r="D21" s="639" t="s">
        <v>2043</v>
      </c>
      <c r="E21" s="639" t="s">
        <v>2044</v>
      </c>
      <c r="F21" s="642"/>
      <c r="G21" s="642"/>
      <c r="H21" s="642"/>
      <c r="I21" s="642"/>
      <c r="J21" s="642">
        <v>1</v>
      </c>
      <c r="K21" s="642">
        <v>209</v>
      </c>
      <c r="L21" s="642"/>
      <c r="M21" s="642">
        <v>209</v>
      </c>
      <c r="N21" s="642"/>
      <c r="O21" s="642"/>
      <c r="P21" s="656"/>
      <c r="Q21" s="643"/>
    </row>
    <row r="22" spans="1:17" ht="14.4" customHeight="1" x14ac:dyDescent="0.3">
      <c r="A22" s="638" t="s">
        <v>2021</v>
      </c>
      <c r="B22" s="639" t="s">
        <v>2028</v>
      </c>
      <c r="C22" s="639" t="s">
        <v>1723</v>
      </c>
      <c r="D22" s="639" t="s">
        <v>2045</v>
      </c>
      <c r="E22" s="639" t="s">
        <v>2046</v>
      </c>
      <c r="F22" s="642">
        <v>94</v>
      </c>
      <c r="G22" s="642">
        <v>6204</v>
      </c>
      <c r="H22" s="642">
        <v>1</v>
      </c>
      <c r="I22" s="642">
        <v>66</v>
      </c>
      <c r="J22" s="642">
        <v>117</v>
      </c>
      <c r="K22" s="642">
        <v>7722</v>
      </c>
      <c r="L22" s="642">
        <v>1.2446808510638299</v>
      </c>
      <c r="M22" s="642">
        <v>66</v>
      </c>
      <c r="N22" s="642">
        <v>122</v>
      </c>
      <c r="O22" s="642">
        <v>8052</v>
      </c>
      <c r="P22" s="656">
        <v>1.2978723404255319</v>
      </c>
      <c r="Q22" s="643">
        <v>66</v>
      </c>
    </row>
    <row r="23" spans="1:17" ht="14.4" customHeight="1" x14ac:dyDescent="0.3">
      <c r="A23" s="638" t="s">
        <v>2021</v>
      </c>
      <c r="B23" s="639" t="s">
        <v>2028</v>
      </c>
      <c r="C23" s="639" t="s">
        <v>1723</v>
      </c>
      <c r="D23" s="639" t="s">
        <v>2047</v>
      </c>
      <c r="E23" s="639" t="s">
        <v>2048</v>
      </c>
      <c r="F23" s="642"/>
      <c r="G23" s="642"/>
      <c r="H23" s="642"/>
      <c r="I23" s="642"/>
      <c r="J23" s="642"/>
      <c r="K23" s="642"/>
      <c r="L23" s="642"/>
      <c r="M23" s="642"/>
      <c r="N23" s="642">
        <v>1728</v>
      </c>
      <c r="O23" s="642">
        <v>604800</v>
      </c>
      <c r="P23" s="656"/>
      <c r="Q23" s="643">
        <v>350</v>
      </c>
    </row>
    <row r="24" spans="1:17" ht="14.4" customHeight="1" x14ac:dyDescent="0.3">
      <c r="A24" s="638" t="s">
        <v>2021</v>
      </c>
      <c r="B24" s="639" t="s">
        <v>2028</v>
      </c>
      <c r="C24" s="639" t="s">
        <v>1723</v>
      </c>
      <c r="D24" s="639" t="s">
        <v>2049</v>
      </c>
      <c r="E24" s="639" t="s">
        <v>2050</v>
      </c>
      <c r="F24" s="642">
        <v>1171</v>
      </c>
      <c r="G24" s="642">
        <v>28104</v>
      </c>
      <c r="H24" s="642">
        <v>1</v>
      </c>
      <c r="I24" s="642">
        <v>24</v>
      </c>
      <c r="J24" s="642">
        <v>728</v>
      </c>
      <c r="K24" s="642">
        <v>17472</v>
      </c>
      <c r="L24" s="642">
        <v>0.62169086251067462</v>
      </c>
      <c r="M24" s="642">
        <v>24</v>
      </c>
      <c r="N24" s="642">
        <v>328</v>
      </c>
      <c r="O24" s="642">
        <v>8200</v>
      </c>
      <c r="P24" s="656">
        <v>0.29177341303729004</v>
      </c>
      <c r="Q24" s="643">
        <v>25</v>
      </c>
    </row>
    <row r="25" spans="1:17" ht="14.4" customHeight="1" x14ac:dyDescent="0.3">
      <c r="A25" s="638" t="s">
        <v>2021</v>
      </c>
      <c r="B25" s="639" t="s">
        <v>2028</v>
      </c>
      <c r="C25" s="639" t="s">
        <v>1723</v>
      </c>
      <c r="D25" s="639" t="s">
        <v>2051</v>
      </c>
      <c r="E25" s="639" t="s">
        <v>2052</v>
      </c>
      <c r="F25" s="642">
        <v>2</v>
      </c>
      <c r="G25" s="642">
        <v>1477</v>
      </c>
      <c r="H25" s="642">
        <v>1</v>
      </c>
      <c r="I25" s="642">
        <v>738.5</v>
      </c>
      <c r="J25" s="642">
        <v>1</v>
      </c>
      <c r="K25" s="642">
        <v>739</v>
      </c>
      <c r="L25" s="642">
        <v>0.50033852403520651</v>
      </c>
      <c r="M25" s="642">
        <v>739</v>
      </c>
      <c r="N25" s="642"/>
      <c r="O25" s="642"/>
      <c r="P25" s="656"/>
      <c r="Q25" s="643"/>
    </row>
    <row r="26" spans="1:17" ht="14.4" customHeight="1" x14ac:dyDescent="0.3">
      <c r="A26" s="638" t="s">
        <v>2021</v>
      </c>
      <c r="B26" s="639" t="s">
        <v>2028</v>
      </c>
      <c r="C26" s="639" t="s">
        <v>1723</v>
      </c>
      <c r="D26" s="639" t="s">
        <v>2053</v>
      </c>
      <c r="E26" s="639" t="s">
        <v>2054</v>
      </c>
      <c r="F26" s="642">
        <v>21</v>
      </c>
      <c r="G26" s="642">
        <v>3780</v>
      </c>
      <c r="H26" s="642">
        <v>1</v>
      </c>
      <c r="I26" s="642">
        <v>180</v>
      </c>
      <c r="J26" s="642">
        <v>13</v>
      </c>
      <c r="K26" s="642">
        <v>2340</v>
      </c>
      <c r="L26" s="642">
        <v>0.61904761904761907</v>
      </c>
      <c r="M26" s="642">
        <v>180</v>
      </c>
      <c r="N26" s="642">
        <v>7</v>
      </c>
      <c r="O26" s="642">
        <v>1267</v>
      </c>
      <c r="P26" s="656">
        <v>0.3351851851851852</v>
      </c>
      <c r="Q26" s="643">
        <v>181</v>
      </c>
    </row>
    <row r="27" spans="1:17" ht="14.4" customHeight="1" x14ac:dyDescent="0.3">
      <c r="A27" s="638" t="s">
        <v>2021</v>
      </c>
      <c r="B27" s="639" t="s">
        <v>2028</v>
      </c>
      <c r="C27" s="639" t="s">
        <v>1723</v>
      </c>
      <c r="D27" s="639" t="s">
        <v>2055</v>
      </c>
      <c r="E27" s="639" t="s">
        <v>2056</v>
      </c>
      <c r="F27" s="642"/>
      <c r="G27" s="642"/>
      <c r="H27" s="642"/>
      <c r="I27" s="642"/>
      <c r="J27" s="642">
        <v>1</v>
      </c>
      <c r="K27" s="642">
        <v>26</v>
      </c>
      <c r="L27" s="642"/>
      <c r="M27" s="642">
        <v>26</v>
      </c>
      <c r="N27" s="642"/>
      <c r="O27" s="642"/>
      <c r="P27" s="656"/>
      <c r="Q27" s="643"/>
    </row>
    <row r="28" spans="1:17" ht="14.4" customHeight="1" x14ac:dyDescent="0.3">
      <c r="A28" s="638" t="s">
        <v>2021</v>
      </c>
      <c r="B28" s="639" t="s">
        <v>2028</v>
      </c>
      <c r="C28" s="639" t="s">
        <v>1723</v>
      </c>
      <c r="D28" s="639" t="s">
        <v>2057</v>
      </c>
      <c r="E28" s="639" t="s">
        <v>2058</v>
      </c>
      <c r="F28" s="642">
        <v>55</v>
      </c>
      <c r="G28" s="642">
        <v>13915</v>
      </c>
      <c r="H28" s="642">
        <v>1</v>
      </c>
      <c r="I28" s="642">
        <v>253</v>
      </c>
      <c r="J28" s="642">
        <v>27</v>
      </c>
      <c r="K28" s="642">
        <v>6831</v>
      </c>
      <c r="L28" s="642">
        <v>0.49090909090909091</v>
      </c>
      <c r="M28" s="642">
        <v>253</v>
      </c>
      <c r="N28" s="642">
        <v>4</v>
      </c>
      <c r="O28" s="642">
        <v>1016</v>
      </c>
      <c r="P28" s="656">
        <v>7.3014732303269853E-2</v>
      </c>
      <c r="Q28" s="643">
        <v>254</v>
      </c>
    </row>
    <row r="29" spans="1:17" ht="14.4" customHeight="1" x14ac:dyDescent="0.3">
      <c r="A29" s="638" t="s">
        <v>2021</v>
      </c>
      <c r="B29" s="639" t="s">
        <v>2028</v>
      </c>
      <c r="C29" s="639" t="s">
        <v>1723</v>
      </c>
      <c r="D29" s="639" t="s">
        <v>2059</v>
      </c>
      <c r="E29" s="639" t="s">
        <v>2060</v>
      </c>
      <c r="F29" s="642">
        <v>30</v>
      </c>
      <c r="G29" s="642">
        <v>6480</v>
      </c>
      <c r="H29" s="642">
        <v>1</v>
      </c>
      <c r="I29" s="642">
        <v>216</v>
      </c>
      <c r="J29" s="642">
        <v>15</v>
      </c>
      <c r="K29" s="642">
        <v>3240</v>
      </c>
      <c r="L29" s="642">
        <v>0.5</v>
      </c>
      <c r="M29" s="642">
        <v>216</v>
      </c>
      <c r="N29" s="642">
        <v>13</v>
      </c>
      <c r="O29" s="642">
        <v>2821</v>
      </c>
      <c r="P29" s="656">
        <v>0.43533950617283951</v>
      </c>
      <c r="Q29" s="643">
        <v>217</v>
      </c>
    </row>
    <row r="30" spans="1:17" ht="14.4" customHeight="1" x14ac:dyDescent="0.3">
      <c r="A30" s="638" t="s">
        <v>2021</v>
      </c>
      <c r="B30" s="639" t="s">
        <v>2028</v>
      </c>
      <c r="C30" s="639" t="s">
        <v>1723</v>
      </c>
      <c r="D30" s="639" t="s">
        <v>2061</v>
      </c>
      <c r="E30" s="639" t="s">
        <v>2062</v>
      </c>
      <c r="F30" s="642"/>
      <c r="G30" s="642"/>
      <c r="H30" s="642"/>
      <c r="I30" s="642"/>
      <c r="J30" s="642">
        <v>1</v>
      </c>
      <c r="K30" s="642">
        <v>36</v>
      </c>
      <c r="L30" s="642"/>
      <c r="M30" s="642">
        <v>36</v>
      </c>
      <c r="N30" s="642"/>
      <c r="O30" s="642"/>
      <c r="P30" s="656"/>
      <c r="Q30" s="643"/>
    </row>
    <row r="31" spans="1:17" ht="14.4" customHeight="1" x14ac:dyDescent="0.3">
      <c r="A31" s="638" t="s">
        <v>2021</v>
      </c>
      <c r="B31" s="639" t="s">
        <v>2028</v>
      </c>
      <c r="C31" s="639" t="s">
        <v>1723</v>
      </c>
      <c r="D31" s="639" t="s">
        <v>2063</v>
      </c>
      <c r="E31" s="639" t="s">
        <v>2064</v>
      </c>
      <c r="F31" s="642">
        <v>230</v>
      </c>
      <c r="G31" s="642">
        <v>11500</v>
      </c>
      <c r="H31" s="642">
        <v>1</v>
      </c>
      <c r="I31" s="642">
        <v>50</v>
      </c>
      <c r="J31" s="642">
        <v>205</v>
      </c>
      <c r="K31" s="642">
        <v>10250</v>
      </c>
      <c r="L31" s="642">
        <v>0.89130434782608692</v>
      </c>
      <c r="M31" s="642">
        <v>50</v>
      </c>
      <c r="N31" s="642">
        <v>130</v>
      </c>
      <c r="O31" s="642">
        <v>6500</v>
      </c>
      <c r="P31" s="656">
        <v>0.56521739130434778</v>
      </c>
      <c r="Q31" s="643">
        <v>50</v>
      </c>
    </row>
    <row r="32" spans="1:17" ht="14.4" customHeight="1" x14ac:dyDescent="0.3">
      <c r="A32" s="638" t="s">
        <v>2021</v>
      </c>
      <c r="B32" s="639" t="s">
        <v>2028</v>
      </c>
      <c r="C32" s="639" t="s">
        <v>1723</v>
      </c>
      <c r="D32" s="639" t="s">
        <v>2065</v>
      </c>
      <c r="E32" s="639" t="s">
        <v>2066</v>
      </c>
      <c r="F32" s="642">
        <v>2</v>
      </c>
      <c r="G32" s="642">
        <v>1469</v>
      </c>
      <c r="H32" s="642">
        <v>1</v>
      </c>
      <c r="I32" s="642">
        <v>734.5</v>
      </c>
      <c r="J32" s="642">
        <v>1</v>
      </c>
      <c r="K32" s="642">
        <v>735</v>
      </c>
      <c r="L32" s="642">
        <v>0.50034036759700473</v>
      </c>
      <c r="M32" s="642">
        <v>735</v>
      </c>
      <c r="N32" s="642"/>
      <c r="O32" s="642"/>
      <c r="P32" s="656"/>
      <c r="Q32" s="643"/>
    </row>
    <row r="33" spans="1:17" ht="14.4" customHeight="1" x14ac:dyDescent="0.3">
      <c r="A33" s="638" t="s">
        <v>2021</v>
      </c>
      <c r="B33" s="639" t="s">
        <v>2028</v>
      </c>
      <c r="C33" s="639" t="s">
        <v>1723</v>
      </c>
      <c r="D33" s="639" t="s">
        <v>2067</v>
      </c>
      <c r="E33" s="639" t="s">
        <v>2068</v>
      </c>
      <c r="F33" s="642">
        <v>1</v>
      </c>
      <c r="G33" s="642">
        <v>231</v>
      </c>
      <c r="H33" s="642">
        <v>1</v>
      </c>
      <c r="I33" s="642">
        <v>231</v>
      </c>
      <c r="J33" s="642"/>
      <c r="K33" s="642"/>
      <c r="L33" s="642"/>
      <c r="M33" s="642"/>
      <c r="N33" s="642"/>
      <c r="O33" s="642"/>
      <c r="P33" s="656"/>
      <c r="Q33" s="643"/>
    </row>
    <row r="34" spans="1:17" ht="14.4" customHeight="1" x14ac:dyDescent="0.3">
      <c r="A34" s="638" t="s">
        <v>2021</v>
      </c>
      <c r="B34" s="639" t="s">
        <v>2028</v>
      </c>
      <c r="C34" s="639" t="s">
        <v>1723</v>
      </c>
      <c r="D34" s="639" t="s">
        <v>2069</v>
      </c>
      <c r="E34" s="639" t="s">
        <v>2070</v>
      </c>
      <c r="F34" s="642"/>
      <c r="G34" s="642"/>
      <c r="H34" s="642"/>
      <c r="I34" s="642"/>
      <c r="J34" s="642"/>
      <c r="K34" s="642"/>
      <c r="L34" s="642"/>
      <c r="M34" s="642"/>
      <c r="N34" s="642">
        <v>128</v>
      </c>
      <c r="O34" s="642">
        <v>38400</v>
      </c>
      <c r="P34" s="656"/>
      <c r="Q34" s="643">
        <v>300</v>
      </c>
    </row>
    <row r="35" spans="1:17" ht="14.4" customHeight="1" x14ac:dyDescent="0.3">
      <c r="A35" s="638" t="s">
        <v>2071</v>
      </c>
      <c r="B35" s="639" t="s">
        <v>2072</v>
      </c>
      <c r="C35" s="639" t="s">
        <v>1723</v>
      </c>
      <c r="D35" s="639" t="s">
        <v>2073</v>
      </c>
      <c r="E35" s="639" t="s">
        <v>2074</v>
      </c>
      <c r="F35" s="642">
        <v>58</v>
      </c>
      <c r="G35" s="642">
        <v>1566</v>
      </c>
      <c r="H35" s="642">
        <v>1</v>
      </c>
      <c r="I35" s="642">
        <v>27</v>
      </c>
      <c r="J35" s="642">
        <v>65</v>
      </c>
      <c r="K35" s="642">
        <v>1755</v>
      </c>
      <c r="L35" s="642">
        <v>1.1206896551724137</v>
      </c>
      <c r="M35" s="642">
        <v>27</v>
      </c>
      <c r="N35" s="642">
        <v>44</v>
      </c>
      <c r="O35" s="642">
        <v>1188</v>
      </c>
      <c r="P35" s="656">
        <v>0.75862068965517238</v>
      </c>
      <c r="Q35" s="643">
        <v>27</v>
      </c>
    </row>
    <row r="36" spans="1:17" ht="14.4" customHeight="1" x14ac:dyDescent="0.3">
      <c r="A36" s="638" t="s">
        <v>2071</v>
      </c>
      <c r="B36" s="639" t="s">
        <v>2072</v>
      </c>
      <c r="C36" s="639" t="s">
        <v>1723</v>
      </c>
      <c r="D36" s="639" t="s">
        <v>2075</v>
      </c>
      <c r="E36" s="639" t="s">
        <v>2076</v>
      </c>
      <c r="F36" s="642"/>
      <c r="G36" s="642"/>
      <c r="H36" s="642"/>
      <c r="I36" s="642"/>
      <c r="J36" s="642">
        <v>8</v>
      </c>
      <c r="K36" s="642">
        <v>192</v>
      </c>
      <c r="L36" s="642"/>
      <c r="M36" s="642">
        <v>24</v>
      </c>
      <c r="N36" s="642">
        <v>9</v>
      </c>
      <c r="O36" s="642">
        <v>216</v>
      </c>
      <c r="P36" s="656"/>
      <c r="Q36" s="643">
        <v>24</v>
      </c>
    </row>
    <row r="37" spans="1:17" ht="14.4" customHeight="1" x14ac:dyDescent="0.3">
      <c r="A37" s="638" t="s">
        <v>2071</v>
      </c>
      <c r="B37" s="639" t="s">
        <v>2072</v>
      </c>
      <c r="C37" s="639" t="s">
        <v>1723</v>
      </c>
      <c r="D37" s="639" t="s">
        <v>2077</v>
      </c>
      <c r="E37" s="639" t="s">
        <v>2078</v>
      </c>
      <c r="F37" s="642">
        <v>73</v>
      </c>
      <c r="G37" s="642">
        <v>1971</v>
      </c>
      <c r="H37" s="642">
        <v>1</v>
      </c>
      <c r="I37" s="642">
        <v>27</v>
      </c>
      <c r="J37" s="642">
        <v>102</v>
      </c>
      <c r="K37" s="642">
        <v>2754</v>
      </c>
      <c r="L37" s="642">
        <v>1.3972602739726028</v>
      </c>
      <c r="M37" s="642">
        <v>27</v>
      </c>
      <c r="N37" s="642">
        <v>74</v>
      </c>
      <c r="O37" s="642">
        <v>1998</v>
      </c>
      <c r="P37" s="656">
        <v>1.0136986301369864</v>
      </c>
      <c r="Q37" s="643">
        <v>27</v>
      </c>
    </row>
    <row r="38" spans="1:17" ht="14.4" customHeight="1" x14ac:dyDescent="0.3">
      <c r="A38" s="638" t="s">
        <v>2071</v>
      </c>
      <c r="B38" s="639" t="s">
        <v>2072</v>
      </c>
      <c r="C38" s="639" t="s">
        <v>1723</v>
      </c>
      <c r="D38" s="639" t="s">
        <v>2079</v>
      </c>
      <c r="E38" s="639" t="s">
        <v>2080</v>
      </c>
      <c r="F38" s="642">
        <v>759</v>
      </c>
      <c r="G38" s="642">
        <v>42515</v>
      </c>
      <c r="H38" s="642">
        <v>1</v>
      </c>
      <c r="I38" s="642">
        <v>56.014492753623188</v>
      </c>
      <c r="J38" s="642"/>
      <c r="K38" s="642"/>
      <c r="L38" s="642"/>
      <c r="M38" s="642"/>
      <c r="N38" s="642"/>
      <c r="O38" s="642"/>
      <c r="P38" s="656"/>
      <c r="Q38" s="643"/>
    </row>
    <row r="39" spans="1:17" ht="14.4" customHeight="1" x14ac:dyDescent="0.3">
      <c r="A39" s="638" t="s">
        <v>2071</v>
      </c>
      <c r="B39" s="639" t="s">
        <v>2072</v>
      </c>
      <c r="C39" s="639" t="s">
        <v>1723</v>
      </c>
      <c r="D39" s="639" t="s">
        <v>2081</v>
      </c>
      <c r="E39" s="639" t="s">
        <v>2082</v>
      </c>
      <c r="F39" s="642">
        <v>6</v>
      </c>
      <c r="G39" s="642">
        <v>162</v>
      </c>
      <c r="H39" s="642">
        <v>1</v>
      </c>
      <c r="I39" s="642">
        <v>27</v>
      </c>
      <c r="J39" s="642">
        <v>14</v>
      </c>
      <c r="K39" s="642">
        <v>378</v>
      </c>
      <c r="L39" s="642">
        <v>2.3333333333333335</v>
      </c>
      <c r="M39" s="642">
        <v>27</v>
      </c>
      <c r="N39" s="642">
        <v>18</v>
      </c>
      <c r="O39" s="642">
        <v>486</v>
      </c>
      <c r="P39" s="656">
        <v>3</v>
      </c>
      <c r="Q39" s="643">
        <v>27</v>
      </c>
    </row>
    <row r="40" spans="1:17" ht="14.4" customHeight="1" x14ac:dyDescent="0.3">
      <c r="A40" s="638" t="s">
        <v>2071</v>
      </c>
      <c r="B40" s="639" t="s">
        <v>2072</v>
      </c>
      <c r="C40" s="639" t="s">
        <v>1723</v>
      </c>
      <c r="D40" s="639" t="s">
        <v>2083</v>
      </c>
      <c r="E40" s="639" t="s">
        <v>2084</v>
      </c>
      <c r="F40" s="642">
        <v>1397</v>
      </c>
      <c r="G40" s="642">
        <v>30734</v>
      </c>
      <c r="H40" s="642">
        <v>1</v>
      </c>
      <c r="I40" s="642">
        <v>22</v>
      </c>
      <c r="J40" s="642">
        <v>1597</v>
      </c>
      <c r="K40" s="642">
        <v>35134</v>
      </c>
      <c r="L40" s="642">
        <v>1.1431639226914818</v>
      </c>
      <c r="M40" s="642">
        <v>22</v>
      </c>
      <c r="N40" s="642">
        <v>1608</v>
      </c>
      <c r="O40" s="642">
        <v>35376</v>
      </c>
      <c r="P40" s="656">
        <v>1.1510379384395133</v>
      </c>
      <c r="Q40" s="643">
        <v>22</v>
      </c>
    </row>
    <row r="41" spans="1:17" ht="14.4" customHeight="1" x14ac:dyDescent="0.3">
      <c r="A41" s="638" t="s">
        <v>2071</v>
      </c>
      <c r="B41" s="639" t="s">
        <v>2072</v>
      </c>
      <c r="C41" s="639" t="s">
        <v>1723</v>
      </c>
      <c r="D41" s="639" t="s">
        <v>2085</v>
      </c>
      <c r="E41" s="639" t="s">
        <v>2086</v>
      </c>
      <c r="F41" s="642"/>
      <c r="G41" s="642"/>
      <c r="H41" s="642"/>
      <c r="I41" s="642"/>
      <c r="J41" s="642">
        <v>1</v>
      </c>
      <c r="K41" s="642">
        <v>68</v>
      </c>
      <c r="L41" s="642"/>
      <c r="M41" s="642">
        <v>68</v>
      </c>
      <c r="N41" s="642"/>
      <c r="O41" s="642"/>
      <c r="P41" s="656"/>
      <c r="Q41" s="643"/>
    </row>
    <row r="42" spans="1:17" ht="14.4" customHeight="1" x14ac:dyDescent="0.3">
      <c r="A42" s="638" t="s">
        <v>2071</v>
      </c>
      <c r="B42" s="639" t="s">
        <v>2072</v>
      </c>
      <c r="C42" s="639" t="s">
        <v>1723</v>
      </c>
      <c r="D42" s="639" t="s">
        <v>2087</v>
      </c>
      <c r="E42" s="639" t="s">
        <v>2088</v>
      </c>
      <c r="F42" s="642">
        <v>2475</v>
      </c>
      <c r="G42" s="642">
        <v>152422</v>
      </c>
      <c r="H42" s="642">
        <v>1</v>
      </c>
      <c r="I42" s="642">
        <v>61.584646464646468</v>
      </c>
      <c r="J42" s="642">
        <v>1979</v>
      </c>
      <c r="K42" s="642">
        <v>122698</v>
      </c>
      <c r="L42" s="642">
        <v>0.8049887811470785</v>
      </c>
      <c r="M42" s="642">
        <v>62</v>
      </c>
      <c r="N42" s="642">
        <v>2933</v>
      </c>
      <c r="O42" s="642">
        <v>181846</v>
      </c>
      <c r="P42" s="656">
        <v>1.193042999042133</v>
      </c>
      <c r="Q42" s="643">
        <v>62</v>
      </c>
    </row>
    <row r="43" spans="1:17" ht="14.4" customHeight="1" x14ac:dyDescent="0.3">
      <c r="A43" s="638" t="s">
        <v>2071</v>
      </c>
      <c r="B43" s="639" t="s">
        <v>2072</v>
      </c>
      <c r="C43" s="639" t="s">
        <v>1723</v>
      </c>
      <c r="D43" s="639" t="s">
        <v>2089</v>
      </c>
      <c r="E43" s="639" t="s">
        <v>2090</v>
      </c>
      <c r="F43" s="642">
        <v>2</v>
      </c>
      <c r="G43" s="642">
        <v>324</v>
      </c>
      <c r="H43" s="642">
        <v>1</v>
      </c>
      <c r="I43" s="642">
        <v>162</v>
      </c>
      <c r="J43" s="642"/>
      <c r="K43" s="642"/>
      <c r="L43" s="642"/>
      <c r="M43" s="642"/>
      <c r="N43" s="642"/>
      <c r="O43" s="642"/>
      <c r="P43" s="656"/>
      <c r="Q43" s="643"/>
    </row>
    <row r="44" spans="1:17" ht="14.4" customHeight="1" x14ac:dyDescent="0.3">
      <c r="A44" s="638" t="s">
        <v>2071</v>
      </c>
      <c r="B44" s="639" t="s">
        <v>2072</v>
      </c>
      <c r="C44" s="639" t="s">
        <v>1723</v>
      </c>
      <c r="D44" s="639" t="s">
        <v>2091</v>
      </c>
      <c r="E44" s="639" t="s">
        <v>2092</v>
      </c>
      <c r="F44" s="642">
        <v>100</v>
      </c>
      <c r="G44" s="642">
        <v>8107</v>
      </c>
      <c r="H44" s="642">
        <v>1</v>
      </c>
      <c r="I44" s="642">
        <v>81.069999999999993</v>
      </c>
      <c r="J44" s="642">
        <v>18</v>
      </c>
      <c r="K44" s="642">
        <v>1476</v>
      </c>
      <c r="L44" s="642">
        <v>0.18206488220056741</v>
      </c>
      <c r="M44" s="642">
        <v>82</v>
      </c>
      <c r="N44" s="642">
        <v>6</v>
      </c>
      <c r="O44" s="642">
        <v>492</v>
      </c>
      <c r="P44" s="656">
        <v>6.0688294066855802E-2</v>
      </c>
      <c r="Q44" s="643">
        <v>82</v>
      </c>
    </row>
    <row r="45" spans="1:17" ht="14.4" customHeight="1" x14ac:dyDescent="0.3">
      <c r="A45" s="638" t="s">
        <v>2071</v>
      </c>
      <c r="B45" s="639" t="s">
        <v>2072</v>
      </c>
      <c r="C45" s="639" t="s">
        <v>1723</v>
      </c>
      <c r="D45" s="639" t="s">
        <v>2093</v>
      </c>
      <c r="E45" s="639" t="s">
        <v>2094</v>
      </c>
      <c r="F45" s="642">
        <v>17</v>
      </c>
      <c r="G45" s="642">
        <v>16779</v>
      </c>
      <c r="H45" s="642">
        <v>1</v>
      </c>
      <c r="I45" s="642">
        <v>987</v>
      </c>
      <c r="J45" s="642">
        <v>29</v>
      </c>
      <c r="K45" s="642">
        <v>28623</v>
      </c>
      <c r="L45" s="642">
        <v>1.7058823529411764</v>
      </c>
      <c r="M45" s="642">
        <v>987</v>
      </c>
      <c r="N45" s="642">
        <v>13</v>
      </c>
      <c r="O45" s="642">
        <v>12844</v>
      </c>
      <c r="P45" s="656">
        <v>0.76548066034924611</v>
      </c>
      <c r="Q45" s="643">
        <v>988</v>
      </c>
    </row>
    <row r="46" spans="1:17" ht="14.4" customHeight="1" x14ac:dyDescent="0.3">
      <c r="A46" s="638" t="s">
        <v>2071</v>
      </c>
      <c r="B46" s="639" t="s">
        <v>2072</v>
      </c>
      <c r="C46" s="639" t="s">
        <v>1723</v>
      </c>
      <c r="D46" s="639" t="s">
        <v>2095</v>
      </c>
      <c r="E46" s="639" t="s">
        <v>2096</v>
      </c>
      <c r="F46" s="642">
        <v>999</v>
      </c>
      <c r="G46" s="642">
        <v>29970</v>
      </c>
      <c r="H46" s="642">
        <v>1</v>
      </c>
      <c r="I46" s="642">
        <v>30</v>
      </c>
      <c r="J46" s="642">
        <v>898</v>
      </c>
      <c r="K46" s="642">
        <v>26940</v>
      </c>
      <c r="L46" s="642">
        <v>0.89889889889889885</v>
      </c>
      <c r="M46" s="642">
        <v>30</v>
      </c>
      <c r="N46" s="642">
        <v>838</v>
      </c>
      <c r="O46" s="642">
        <v>25140</v>
      </c>
      <c r="P46" s="656">
        <v>0.83883883883883881</v>
      </c>
      <c r="Q46" s="643">
        <v>30</v>
      </c>
    </row>
    <row r="47" spans="1:17" ht="14.4" customHeight="1" x14ac:dyDescent="0.3">
      <c r="A47" s="638" t="s">
        <v>2071</v>
      </c>
      <c r="B47" s="639" t="s">
        <v>2072</v>
      </c>
      <c r="C47" s="639" t="s">
        <v>1723</v>
      </c>
      <c r="D47" s="639" t="s">
        <v>2097</v>
      </c>
      <c r="E47" s="639" t="s">
        <v>2098</v>
      </c>
      <c r="F47" s="642">
        <v>5</v>
      </c>
      <c r="G47" s="642">
        <v>410</v>
      </c>
      <c r="H47" s="642">
        <v>1</v>
      </c>
      <c r="I47" s="642">
        <v>82</v>
      </c>
      <c r="J47" s="642">
        <v>2</v>
      </c>
      <c r="K47" s="642">
        <v>164</v>
      </c>
      <c r="L47" s="642">
        <v>0.4</v>
      </c>
      <c r="M47" s="642">
        <v>82</v>
      </c>
      <c r="N47" s="642">
        <v>5</v>
      </c>
      <c r="O47" s="642">
        <v>410</v>
      </c>
      <c r="P47" s="656">
        <v>1</v>
      </c>
      <c r="Q47" s="643">
        <v>82</v>
      </c>
    </row>
    <row r="48" spans="1:17" ht="14.4" customHeight="1" x14ac:dyDescent="0.3">
      <c r="A48" s="638" t="s">
        <v>2071</v>
      </c>
      <c r="B48" s="639" t="s">
        <v>2072</v>
      </c>
      <c r="C48" s="639" t="s">
        <v>1723</v>
      </c>
      <c r="D48" s="639" t="s">
        <v>2099</v>
      </c>
      <c r="E48" s="639" t="s">
        <v>2100</v>
      </c>
      <c r="F48" s="642"/>
      <c r="G48" s="642"/>
      <c r="H48" s="642"/>
      <c r="I48" s="642"/>
      <c r="J48" s="642">
        <v>1</v>
      </c>
      <c r="K48" s="642">
        <v>31</v>
      </c>
      <c r="L48" s="642"/>
      <c r="M48" s="642">
        <v>31</v>
      </c>
      <c r="N48" s="642"/>
      <c r="O48" s="642"/>
      <c r="P48" s="656"/>
      <c r="Q48" s="643"/>
    </row>
    <row r="49" spans="1:17" ht="14.4" customHeight="1" x14ac:dyDescent="0.3">
      <c r="A49" s="638" t="s">
        <v>2071</v>
      </c>
      <c r="B49" s="639" t="s">
        <v>2072</v>
      </c>
      <c r="C49" s="639" t="s">
        <v>1723</v>
      </c>
      <c r="D49" s="639" t="s">
        <v>2101</v>
      </c>
      <c r="E49" s="639" t="s">
        <v>2102</v>
      </c>
      <c r="F49" s="642">
        <v>2</v>
      </c>
      <c r="G49" s="642">
        <v>525</v>
      </c>
      <c r="H49" s="642">
        <v>1</v>
      </c>
      <c r="I49" s="642">
        <v>262.5</v>
      </c>
      <c r="J49" s="642">
        <v>1</v>
      </c>
      <c r="K49" s="642">
        <v>263</v>
      </c>
      <c r="L49" s="642">
        <v>0.50095238095238093</v>
      </c>
      <c r="M49" s="642">
        <v>263</v>
      </c>
      <c r="N49" s="642">
        <v>1</v>
      </c>
      <c r="O49" s="642">
        <v>264</v>
      </c>
      <c r="P49" s="656">
        <v>0.50285714285714289</v>
      </c>
      <c r="Q49" s="643">
        <v>264</v>
      </c>
    </row>
    <row r="50" spans="1:17" ht="14.4" customHeight="1" x14ac:dyDescent="0.3">
      <c r="A50" s="638" t="s">
        <v>2071</v>
      </c>
      <c r="B50" s="639" t="s">
        <v>2072</v>
      </c>
      <c r="C50" s="639" t="s">
        <v>1723</v>
      </c>
      <c r="D50" s="639" t="s">
        <v>2103</v>
      </c>
      <c r="E50" s="639" t="s">
        <v>2104</v>
      </c>
      <c r="F50" s="642">
        <v>7</v>
      </c>
      <c r="G50" s="642">
        <v>1862</v>
      </c>
      <c r="H50" s="642">
        <v>1</v>
      </c>
      <c r="I50" s="642">
        <v>266</v>
      </c>
      <c r="J50" s="642"/>
      <c r="K50" s="642"/>
      <c r="L50" s="642"/>
      <c r="M50" s="642"/>
      <c r="N50" s="642">
        <v>5</v>
      </c>
      <c r="O50" s="642">
        <v>1330</v>
      </c>
      <c r="P50" s="656">
        <v>0.7142857142857143</v>
      </c>
      <c r="Q50" s="643">
        <v>266</v>
      </c>
    </row>
    <row r="51" spans="1:17" ht="14.4" customHeight="1" x14ac:dyDescent="0.3">
      <c r="A51" s="638" t="s">
        <v>2071</v>
      </c>
      <c r="B51" s="639" t="s">
        <v>2072</v>
      </c>
      <c r="C51" s="639" t="s">
        <v>1723</v>
      </c>
      <c r="D51" s="639" t="s">
        <v>2105</v>
      </c>
      <c r="E51" s="639" t="s">
        <v>2106</v>
      </c>
      <c r="F51" s="642">
        <v>7</v>
      </c>
      <c r="G51" s="642">
        <v>1610</v>
      </c>
      <c r="H51" s="642">
        <v>1</v>
      </c>
      <c r="I51" s="642">
        <v>230</v>
      </c>
      <c r="J51" s="642"/>
      <c r="K51" s="642"/>
      <c r="L51" s="642"/>
      <c r="M51" s="642"/>
      <c r="N51" s="642">
        <v>5</v>
      </c>
      <c r="O51" s="642">
        <v>1150</v>
      </c>
      <c r="P51" s="656">
        <v>0.7142857142857143</v>
      </c>
      <c r="Q51" s="643">
        <v>230</v>
      </c>
    </row>
    <row r="52" spans="1:17" ht="14.4" customHeight="1" x14ac:dyDescent="0.3">
      <c r="A52" s="638" t="s">
        <v>2071</v>
      </c>
      <c r="B52" s="639" t="s">
        <v>2072</v>
      </c>
      <c r="C52" s="639" t="s">
        <v>1723</v>
      </c>
      <c r="D52" s="639" t="s">
        <v>2107</v>
      </c>
      <c r="E52" s="639" t="s">
        <v>2108</v>
      </c>
      <c r="F52" s="642">
        <v>107</v>
      </c>
      <c r="G52" s="642">
        <v>1819</v>
      </c>
      <c r="H52" s="642">
        <v>1</v>
      </c>
      <c r="I52" s="642">
        <v>17</v>
      </c>
      <c r="J52" s="642">
        <v>121</v>
      </c>
      <c r="K52" s="642">
        <v>2057</v>
      </c>
      <c r="L52" s="642">
        <v>1.1308411214953271</v>
      </c>
      <c r="M52" s="642">
        <v>17</v>
      </c>
      <c r="N52" s="642">
        <v>162</v>
      </c>
      <c r="O52" s="642">
        <v>2754</v>
      </c>
      <c r="P52" s="656">
        <v>1.514018691588785</v>
      </c>
      <c r="Q52" s="643">
        <v>17</v>
      </c>
    </row>
    <row r="53" spans="1:17" ht="14.4" customHeight="1" x14ac:dyDescent="0.3">
      <c r="A53" s="638" t="s">
        <v>2071</v>
      </c>
      <c r="B53" s="639" t="s">
        <v>2072</v>
      </c>
      <c r="C53" s="639" t="s">
        <v>1723</v>
      </c>
      <c r="D53" s="639" t="s">
        <v>2109</v>
      </c>
      <c r="E53" s="639" t="s">
        <v>2110</v>
      </c>
      <c r="F53" s="642">
        <v>1</v>
      </c>
      <c r="G53" s="642">
        <v>47</v>
      </c>
      <c r="H53" s="642">
        <v>1</v>
      </c>
      <c r="I53" s="642">
        <v>47</v>
      </c>
      <c r="J53" s="642"/>
      <c r="K53" s="642"/>
      <c r="L53" s="642"/>
      <c r="M53" s="642"/>
      <c r="N53" s="642">
        <v>1</v>
      </c>
      <c r="O53" s="642">
        <v>47</v>
      </c>
      <c r="P53" s="656">
        <v>1</v>
      </c>
      <c r="Q53" s="643">
        <v>47</v>
      </c>
    </row>
    <row r="54" spans="1:17" ht="14.4" customHeight="1" x14ac:dyDescent="0.3">
      <c r="A54" s="638" t="s">
        <v>2071</v>
      </c>
      <c r="B54" s="639" t="s">
        <v>2072</v>
      </c>
      <c r="C54" s="639" t="s">
        <v>1723</v>
      </c>
      <c r="D54" s="639" t="s">
        <v>2111</v>
      </c>
      <c r="E54" s="639" t="s">
        <v>2112</v>
      </c>
      <c r="F54" s="642">
        <v>3</v>
      </c>
      <c r="G54" s="642">
        <v>159</v>
      </c>
      <c r="H54" s="642">
        <v>1</v>
      </c>
      <c r="I54" s="642">
        <v>53</v>
      </c>
      <c r="J54" s="642">
        <v>4</v>
      </c>
      <c r="K54" s="642">
        <v>212</v>
      </c>
      <c r="L54" s="642">
        <v>1.3333333333333333</v>
      </c>
      <c r="M54" s="642">
        <v>53</v>
      </c>
      <c r="N54" s="642">
        <v>5</v>
      </c>
      <c r="O54" s="642">
        <v>265</v>
      </c>
      <c r="P54" s="656">
        <v>1.6666666666666667</v>
      </c>
      <c r="Q54" s="643">
        <v>53</v>
      </c>
    </row>
    <row r="55" spans="1:17" ht="14.4" customHeight="1" x14ac:dyDescent="0.3">
      <c r="A55" s="638" t="s">
        <v>2071</v>
      </c>
      <c r="B55" s="639" t="s">
        <v>2072</v>
      </c>
      <c r="C55" s="639" t="s">
        <v>1723</v>
      </c>
      <c r="D55" s="639" t="s">
        <v>2113</v>
      </c>
      <c r="E55" s="639" t="s">
        <v>2114</v>
      </c>
      <c r="F55" s="642">
        <v>37</v>
      </c>
      <c r="G55" s="642">
        <v>703</v>
      </c>
      <c r="H55" s="642">
        <v>1</v>
      </c>
      <c r="I55" s="642">
        <v>19</v>
      </c>
      <c r="J55" s="642">
        <v>32</v>
      </c>
      <c r="K55" s="642">
        <v>608</v>
      </c>
      <c r="L55" s="642">
        <v>0.86486486486486491</v>
      </c>
      <c r="M55" s="642">
        <v>19</v>
      </c>
      <c r="N55" s="642">
        <v>21</v>
      </c>
      <c r="O55" s="642">
        <v>399</v>
      </c>
      <c r="P55" s="656">
        <v>0.56756756756756754</v>
      </c>
      <c r="Q55" s="643">
        <v>19</v>
      </c>
    </row>
    <row r="56" spans="1:17" ht="14.4" customHeight="1" x14ac:dyDescent="0.3">
      <c r="A56" s="638" t="s">
        <v>2071</v>
      </c>
      <c r="B56" s="639" t="s">
        <v>2072</v>
      </c>
      <c r="C56" s="639" t="s">
        <v>1723</v>
      </c>
      <c r="D56" s="639" t="s">
        <v>2115</v>
      </c>
      <c r="E56" s="639" t="s">
        <v>2116</v>
      </c>
      <c r="F56" s="642">
        <v>13</v>
      </c>
      <c r="G56" s="642">
        <v>1378</v>
      </c>
      <c r="H56" s="642">
        <v>1</v>
      </c>
      <c r="I56" s="642">
        <v>106</v>
      </c>
      <c r="J56" s="642"/>
      <c r="K56" s="642"/>
      <c r="L56" s="642"/>
      <c r="M56" s="642"/>
      <c r="N56" s="642">
        <v>9</v>
      </c>
      <c r="O56" s="642">
        <v>972</v>
      </c>
      <c r="P56" s="656">
        <v>0.7053701015965167</v>
      </c>
      <c r="Q56" s="643">
        <v>108</v>
      </c>
    </row>
    <row r="57" spans="1:17" ht="14.4" customHeight="1" x14ac:dyDescent="0.3">
      <c r="A57" s="638" t="s">
        <v>2071</v>
      </c>
      <c r="B57" s="639" t="s">
        <v>2072</v>
      </c>
      <c r="C57" s="639" t="s">
        <v>1723</v>
      </c>
      <c r="D57" s="639" t="s">
        <v>2117</v>
      </c>
      <c r="E57" s="639" t="s">
        <v>2118</v>
      </c>
      <c r="F57" s="642"/>
      <c r="G57" s="642"/>
      <c r="H57" s="642"/>
      <c r="I57" s="642"/>
      <c r="J57" s="642"/>
      <c r="K57" s="642"/>
      <c r="L57" s="642"/>
      <c r="M57" s="642"/>
      <c r="N57" s="642">
        <v>1</v>
      </c>
      <c r="O57" s="642">
        <v>1463</v>
      </c>
      <c r="P57" s="656"/>
      <c r="Q57" s="643">
        <v>1463</v>
      </c>
    </row>
    <row r="58" spans="1:17" ht="14.4" customHeight="1" x14ac:dyDescent="0.3">
      <c r="A58" s="638" t="s">
        <v>2071</v>
      </c>
      <c r="B58" s="639" t="s">
        <v>2072</v>
      </c>
      <c r="C58" s="639" t="s">
        <v>1723</v>
      </c>
      <c r="D58" s="639" t="s">
        <v>2119</v>
      </c>
      <c r="E58" s="639" t="s">
        <v>2120</v>
      </c>
      <c r="F58" s="642">
        <v>1</v>
      </c>
      <c r="G58" s="642">
        <v>391</v>
      </c>
      <c r="H58" s="642">
        <v>1</v>
      </c>
      <c r="I58" s="642">
        <v>391</v>
      </c>
      <c r="J58" s="642"/>
      <c r="K58" s="642"/>
      <c r="L58" s="642"/>
      <c r="M58" s="642"/>
      <c r="N58" s="642"/>
      <c r="O58" s="642"/>
      <c r="P58" s="656"/>
      <c r="Q58" s="643"/>
    </row>
    <row r="59" spans="1:17" ht="14.4" customHeight="1" x14ac:dyDescent="0.3">
      <c r="A59" s="638" t="s">
        <v>2071</v>
      </c>
      <c r="B59" s="639" t="s">
        <v>2072</v>
      </c>
      <c r="C59" s="639" t="s">
        <v>1723</v>
      </c>
      <c r="D59" s="639" t="s">
        <v>2121</v>
      </c>
      <c r="E59" s="639" t="s">
        <v>2122</v>
      </c>
      <c r="F59" s="642">
        <v>14</v>
      </c>
      <c r="G59" s="642">
        <v>6463</v>
      </c>
      <c r="H59" s="642">
        <v>1</v>
      </c>
      <c r="I59" s="642">
        <v>461.64285714285717</v>
      </c>
      <c r="J59" s="642">
        <v>17</v>
      </c>
      <c r="K59" s="642">
        <v>7854</v>
      </c>
      <c r="L59" s="642">
        <v>1.2152251276496984</v>
      </c>
      <c r="M59" s="642">
        <v>462</v>
      </c>
      <c r="N59" s="642">
        <v>11</v>
      </c>
      <c r="O59" s="642">
        <v>5104</v>
      </c>
      <c r="P59" s="656">
        <v>0.78972613337459385</v>
      </c>
      <c r="Q59" s="643">
        <v>464</v>
      </c>
    </row>
    <row r="60" spans="1:17" ht="14.4" customHeight="1" x14ac:dyDescent="0.3">
      <c r="A60" s="638" t="s">
        <v>2071</v>
      </c>
      <c r="B60" s="639" t="s">
        <v>2072</v>
      </c>
      <c r="C60" s="639" t="s">
        <v>1723</v>
      </c>
      <c r="D60" s="639" t="s">
        <v>2123</v>
      </c>
      <c r="E60" s="639" t="s">
        <v>2124</v>
      </c>
      <c r="F60" s="642">
        <v>34</v>
      </c>
      <c r="G60" s="642">
        <v>10608</v>
      </c>
      <c r="H60" s="642">
        <v>1</v>
      </c>
      <c r="I60" s="642">
        <v>312</v>
      </c>
      <c r="J60" s="642">
        <v>20</v>
      </c>
      <c r="K60" s="642">
        <v>6240</v>
      </c>
      <c r="L60" s="642">
        <v>0.58823529411764708</v>
      </c>
      <c r="M60" s="642">
        <v>312</v>
      </c>
      <c r="N60" s="642">
        <v>17</v>
      </c>
      <c r="O60" s="642">
        <v>5321</v>
      </c>
      <c r="P60" s="656">
        <v>0.5016025641025641</v>
      </c>
      <c r="Q60" s="643">
        <v>313</v>
      </c>
    </row>
    <row r="61" spans="1:17" ht="14.4" customHeight="1" x14ac:dyDescent="0.3">
      <c r="A61" s="638" t="s">
        <v>2071</v>
      </c>
      <c r="B61" s="639" t="s">
        <v>2072</v>
      </c>
      <c r="C61" s="639" t="s">
        <v>1723</v>
      </c>
      <c r="D61" s="639" t="s">
        <v>2125</v>
      </c>
      <c r="E61" s="639" t="s">
        <v>2126</v>
      </c>
      <c r="F61" s="642"/>
      <c r="G61" s="642"/>
      <c r="H61" s="642"/>
      <c r="I61" s="642"/>
      <c r="J61" s="642"/>
      <c r="K61" s="642"/>
      <c r="L61" s="642"/>
      <c r="M61" s="642"/>
      <c r="N61" s="642">
        <v>11</v>
      </c>
      <c r="O61" s="642">
        <v>9383</v>
      </c>
      <c r="P61" s="656"/>
      <c r="Q61" s="643">
        <v>853</v>
      </c>
    </row>
    <row r="62" spans="1:17" ht="14.4" customHeight="1" x14ac:dyDescent="0.3">
      <c r="A62" s="638" t="s">
        <v>2071</v>
      </c>
      <c r="B62" s="639" t="s">
        <v>2072</v>
      </c>
      <c r="C62" s="639" t="s">
        <v>1723</v>
      </c>
      <c r="D62" s="639" t="s">
        <v>2127</v>
      </c>
      <c r="E62" s="639" t="s">
        <v>2128</v>
      </c>
      <c r="F62" s="642">
        <v>1358</v>
      </c>
      <c r="G62" s="642">
        <v>252147</v>
      </c>
      <c r="H62" s="642">
        <v>1</v>
      </c>
      <c r="I62" s="642">
        <v>185.67525773195877</v>
      </c>
      <c r="J62" s="642">
        <v>1113</v>
      </c>
      <c r="K62" s="642">
        <v>207018</v>
      </c>
      <c r="L62" s="642">
        <v>0.82102107104189226</v>
      </c>
      <c r="M62" s="642">
        <v>186</v>
      </c>
      <c r="N62" s="642">
        <v>1372</v>
      </c>
      <c r="O62" s="642">
        <v>256564</v>
      </c>
      <c r="P62" s="656">
        <v>1.0175175592015768</v>
      </c>
      <c r="Q62" s="643">
        <v>187</v>
      </c>
    </row>
    <row r="63" spans="1:17" ht="14.4" customHeight="1" x14ac:dyDescent="0.3">
      <c r="A63" s="638" t="s">
        <v>2071</v>
      </c>
      <c r="B63" s="639" t="s">
        <v>2072</v>
      </c>
      <c r="C63" s="639" t="s">
        <v>1723</v>
      </c>
      <c r="D63" s="639" t="s">
        <v>2129</v>
      </c>
      <c r="E63" s="639" t="s">
        <v>2130</v>
      </c>
      <c r="F63" s="642">
        <v>1</v>
      </c>
      <c r="G63" s="642">
        <v>166</v>
      </c>
      <c r="H63" s="642">
        <v>1</v>
      </c>
      <c r="I63" s="642">
        <v>166</v>
      </c>
      <c r="J63" s="642"/>
      <c r="K63" s="642"/>
      <c r="L63" s="642"/>
      <c r="M63" s="642"/>
      <c r="N63" s="642"/>
      <c r="O63" s="642"/>
      <c r="P63" s="656"/>
      <c r="Q63" s="643"/>
    </row>
    <row r="64" spans="1:17" ht="14.4" customHeight="1" x14ac:dyDescent="0.3">
      <c r="A64" s="638" t="s">
        <v>2071</v>
      </c>
      <c r="B64" s="639" t="s">
        <v>2072</v>
      </c>
      <c r="C64" s="639" t="s">
        <v>1723</v>
      </c>
      <c r="D64" s="639" t="s">
        <v>2131</v>
      </c>
      <c r="E64" s="639" t="s">
        <v>2132</v>
      </c>
      <c r="F64" s="642">
        <v>1</v>
      </c>
      <c r="G64" s="642">
        <v>236</v>
      </c>
      <c r="H64" s="642">
        <v>1</v>
      </c>
      <c r="I64" s="642">
        <v>236</v>
      </c>
      <c r="J64" s="642"/>
      <c r="K64" s="642"/>
      <c r="L64" s="642"/>
      <c r="M64" s="642"/>
      <c r="N64" s="642"/>
      <c r="O64" s="642"/>
      <c r="P64" s="656"/>
      <c r="Q64" s="643"/>
    </row>
    <row r="65" spans="1:17" ht="14.4" customHeight="1" x14ac:dyDescent="0.3">
      <c r="A65" s="638" t="s">
        <v>2071</v>
      </c>
      <c r="B65" s="639" t="s">
        <v>2072</v>
      </c>
      <c r="C65" s="639" t="s">
        <v>1723</v>
      </c>
      <c r="D65" s="639" t="s">
        <v>2133</v>
      </c>
      <c r="E65" s="639" t="s">
        <v>2134</v>
      </c>
      <c r="F65" s="642">
        <v>4</v>
      </c>
      <c r="G65" s="642">
        <v>4856</v>
      </c>
      <c r="H65" s="642">
        <v>1</v>
      </c>
      <c r="I65" s="642">
        <v>1214</v>
      </c>
      <c r="J65" s="642"/>
      <c r="K65" s="642"/>
      <c r="L65" s="642"/>
      <c r="M65" s="642"/>
      <c r="N65" s="642">
        <v>1</v>
      </c>
      <c r="O65" s="642">
        <v>1221</v>
      </c>
      <c r="P65" s="656">
        <v>0.25144151565074135</v>
      </c>
      <c r="Q65" s="643">
        <v>1221</v>
      </c>
    </row>
    <row r="66" spans="1:17" ht="14.4" customHeight="1" x14ac:dyDescent="0.3">
      <c r="A66" s="638" t="s">
        <v>2071</v>
      </c>
      <c r="B66" s="639" t="s">
        <v>2072</v>
      </c>
      <c r="C66" s="639" t="s">
        <v>1723</v>
      </c>
      <c r="D66" s="639" t="s">
        <v>2135</v>
      </c>
      <c r="E66" s="639" t="s">
        <v>2136</v>
      </c>
      <c r="F66" s="642">
        <v>12</v>
      </c>
      <c r="G66" s="642">
        <v>9418</v>
      </c>
      <c r="H66" s="642">
        <v>1</v>
      </c>
      <c r="I66" s="642">
        <v>784.83333333333337</v>
      </c>
      <c r="J66" s="642">
        <v>36</v>
      </c>
      <c r="K66" s="642">
        <v>28296</v>
      </c>
      <c r="L66" s="642">
        <v>3.0044595455510725</v>
      </c>
      <c r="M66" s="642">
        <v>786</v>
      </c>
      <c r="N66" s="642">
        <v>231</v>
      </c>
      <c r="O66" s="642">
        <v>181797</v>
      </c>
      <c r="P66" s="656">
        <v>19.303142917816945</v>
      </c>
      <c r="Q66" s="643">
        <v>787</v>
      </c>
    </row>
    <row r="67" spans="1:17" ht="14.4" customHeight="1" x14ac:dyDescent="0.3">
      <c r="A67" s="638" t="s">
        <v>2071</v>
      </c>
      <c r="B67" s="639" t="s">
        <v>2072</v>
      </c>
      <c r="C67" s="639" t="s">
        <v>1723</v>
      </c>
      <c r="D67" s="639" t="s">
        <v>2137</v>
      </c>
      <c r="E67" s="639" t="s">
        <v>2138</v>
      </c>
      <c r="F67" s="642">
        <v>5</v>
      </c>
      <c r="G67" s="642">
        <v>938</v>
      </c>
      <c r="H67" s="642">
        <v>1</v>
      </c>
      <c r="I67" s="642">
        <v>187.6</v>
      </c>
      <c r="J67" s="642">
        <v>4</v>
      </c>
      <c r="K67" s="642">
        <v>752</v>
      </c>
      <c r="L67" s="642">
        <v>0.80170575692963753</v>
      </c>
      <c r="M67" s="642">
        <v>188</v>
      </c>
      <c r="N67" s="642">
        <v>4</v>
      </c>
      <c r="O67" s="642">
        <v>756</v>
      </c>
      <c r="P67" s="656">
        <v>0.80597014925373134</v>
      </c>
      <c r="Q67" s="643">
        <v>189</v>
      </c>
    </row>
    <row r="68" spans="1:17" ht="14.4" customHeight="1" x14ac:dyDescent="0.3">
      <c r="A68" s="638" t="s">
        <v>2071</v>
      </c>
      <c r="B68" s="639" t="s">
        <v>2072</v>
      </c>
      <c r="C68" s="639" t="s">
        <v>1723</v>
      </c>
      <c r="D68" s="639" t="s">
        <v>2139</v>
      </c>
      <c r="E68" s="639" t="s">
        <v>2140</v>
      </c>
      <c r="F68" s="642">
        <v>2</v>
      </c>
      <c r="G68" s="642">
        <v>354</v>
      </c>
      <c r="H68" s="642">
        <v>1</v>
      </c>
      <c r="I68" s="642">
        <v>177</v>
      </c>
      <c r="J68" s="642"/>
      <c r="K68" s="642"/>
      <c r="L68" s="642"/>
      <c r="M68" s="642"/>
      <c r="N68" s="642"/>
      <c r="O68" s="642"/>
      <c r="P68" s="656"/>
      <c r="Q68" s="643"/>
    </row>
    <row r="69" spans="1:17" ht="14.4" customHeight="1" x14ac:dyDescent="0.3">
      <c r="A69" s="638" t="s">
        <v>2071</v>
      </c>
      <c r="B69" s="639" t="s">
        <v>2072</v>
      </c>
      <c r="C69" s="639" t="s">
        <v>1723</v>
      </c>
      <c r="D69" s="639" t="s">
        <v>2141</v>
      </c>
      <c r="E69" s="639" t="s">
        <v>2142</v>
      </c>
      <c r="F69" s="642">
        <v>70</v>
      </c>
      <c r="G69" s="642">
        <v>15930</v>
      </c>
      <c r="H69" s="642">
        <v>1</v>
      </c>
      <c r="I69" s="642">
        <v>227.57142857142858</v>
      </c>
      <c r="J69" s="642">
        <v>84</v>
      </c>
      <c r="K69" s="642">
        <v>19152</v>
      </c>
      <c r="L69" s="642">
        <v>1.2022598870056498</v>
      </c>
      <c r="M69" s="642">
        <v>228</v>
      </c>
      <c r="N69" s="642">
        <v>113</v>
      </c>
      <c r="O69" s="642">
        <v>25877</v>
      </c>
      <c r="P69" s="656">
        <v>1.624419334588826</v>
      </c>
      <c r="Q69" s="643">
        <v>229</v>
      </c>
    </row>
    <row r="70" spans="1:17" ht="14.4" customHeight="1" x14ac:dyDescent="0.3">
      <c r="A70" s="638" t="s">
        <v>2071</v>
      </c>
      <c r="B70" s="639" t="s">
        <v>2072</v>
      </c>
      <c r="C70" s="639" t="s">
        <v>1723</v>
      </c>
      <c r="D70" s="639" t="s">
        <v>2143</v>
      </c>
      <c r="E70" s="639" t="s">
        <v>2144</v>
      </c>
      <c r="F70" s="642">
        <v>2</v>
      </c>
      <c r="G70" s="642">
        <v>316</v>
      </c>
      <c r="H70" s="642">
        <v>1</v>
      </c>
      <c r="I70" s="642">
        <v>158</v>
      </c>
      <c r="J70" s="642"/>
      <c r="K70" s="642"/>
      <c r="L70" s="642"/>
      <c r="M70" s="642"/>
      <c r="N70" s="642">
        <v>2</v>
      </c>
      <c r="O70" s="642">
        <v>318</v>
      </c>
      <c r="P70" s="656">
        <v>1.0063291139240507</v>
      </c>
      <c r="Q70" s="643">
        <v>159</v>
      </c>
    </row>
    <row r="71" spans="1:17" ht="14.4" customHeight="1" x14ac:dyDescent="0.3">
      <c r="A71" s="638" t="s">
        <v>2071</v>
      </c>
      <c r="B71" s="639" t="s">
        <v>2072</v>
      </c>
      <c r="C71" s="639" t="s">
        <v>1723</v>
      </c>
      <c r="D71" s="639" t="s">
        <v>2145</v>
      </c>
      <c r="E71" s="639" t="s">
        <v>2146</v>
      </c>
      <c r="F71" s="642">
        <v>1</v>
      </c>
      <c r="G71" s="642">
        <v>461</v>
      </c>
      <c r="H71" s="642">
        <v>1</v>
      </c>
      <c r="I71" s="642">
        <v>461</v>
      </c>
      <c r="J71" s="642"/>
      <c r="K71" s="642"/>
      <c r="L71" s="642"/>
      <c r="M71" s="642"/>
      <c r="N71" s="642"/>
      <c r="O71" s="642"/>
      <c r="P71" s="656"/>
      <c r="Q71" s="643"/>
    </row>
    <row r="72" spans="1:17" ht="14.4" customHeight="1" x14ac:dyDescent="0.3">
      <c r="A72" s="638" t="s">
        <v>2071</v>
      </c>
      <c r="B72" s="639" t="s">
        <v>2072</v>
      </c>
      <c r="C72" s="639" t="s">
        <v>1723</v>
      </c>
      <c r="D72" s="639" t="s">
        <v>2147</v>
      </c>
      <c r="E72" s="639" t="s">
        <v>2148</v>
      </c>
      <c r="F72" s="642"/>
      <c r="G72" s="642"/>
      <c r="H72" s="642"/>
      <c r="I72" s="642"/>
      <c r="J72" s="642"/>
      <c r="K72" s="642"/>
      <c r="L72" s="642"/>
      <c r="M72" s="642"/>
      <c r="N72" s="642">
        <v>1</v>
      </c>
      <c r="O72" s="642">
        <v>562</v>
      </c>
      <c r="P72" s="656"/>
      <c r="Q72" s="643">
        <v>562</v>
      </c>
    </row>
    <row r="73" spans="1:17" ht="14.4" customHeight="1" x14ac:dyDescent="0.3">
      <c r="A73" s="638" t="s">
        <v>2071</v>
      </c>
      <c r="B73" s="639" t="s">
        <v>2072</v>
      </c>
      <c r="C73" s="639" t="s">
        <v>1723</v>
      </c>
      <c r="D73" s="639" t="s">
        <v>2149</v>
      </c>
      <c r="E73" s="639" t="s">
        <v>2150</v>
      </c>
      <c r="F73" s="642"/>
      <c r="G73" s="642"/>
      <c r="H73" s="642"/>
      <c r="I73" s="642"/>
      <c r="J73" s="642"/>
      <c r="K73" s="642"/>
      <c r="L73" s="642"/>
      <c r="M73" s="642"/>
      <c r="N73" s="642">
        <v>1</v>
      </c>
      <c r="O73" s="642">
        <v>172</v>
      </c>
      <c r="P73" s="656"/>
      <c r="Q73" s="643">
        <v>172</v>
      </c>
    </row>
    <row r="74" spans="1:17" ht="14.4" customHeight="1" x14ac:dyDescent="0.3">
      <c r="A74" s="638" t="s">
        <v>2071</v>
      </c>
      <c r="B74" s="639" t="s">
        <v>2072</v>
      </c>
      <c r="C74" s="639" t="s">
        <v>1723</v>
      </c>
      <c r="D74" s="639" t="s">
        <v>2151</v>
      </c>
      <c r="E74" s="639" t="s">
        <v>2152</v>
      </c>
      <c r="F74" s="642">
        <v>1</v>
      </c>
      <c r="G74" s="642">
        <v>200</v>
      </c>
      <c r="H74" s="642">
        <v>1</v>
      </c>
      <c r="I74" s="642">
        <v>200</v>
      </c>
      <c r="J74" s="642"/>
      <c r="K74" s="642"/>
      <c r="L74" s="642"/>
      <c r="M74" s="642"/>
      <c r="N74" s="642">
        <v>2</v>
      </c>
      <c r="O74" s="642">
        <v>402</v>
      </c>
      <c r="P74" s="656">
        <v>2.0099999999999998</v>
      </c>
      <c r="Q74" s="643">
        <v>201</v>
      </c>
    </row>
    <row r="75" spans="1:17" ht="14.4" customHeight="1" x14ac:dyDescent="0.3">
      <c r="A75" s="638" t="s">
        <v>2071</v>
      </c>
      <c r="B75" s="639" t="s">
        <v>2072</v>
      </c>
      <c r="C75" s="639" t="s">
        <v>1723</v>
      </c>
      <c r="D75" s="639" t="s">
        <v>2153</v>
      </c>
      <c r="E75" s="639" t="s">
        <v>2154</v>
      </c>
      <c r="F75" s="642"/>
      <c r="G75" s="642"/>
      <c r="H75" s="642"/>
      <c r="I75" s="642"/>
      <c r="J75" s="642">
        <v>6</v>
      </c>
      <c r="K75" s="642">
        <v>1068</v>
      </c>
      <c r="L75" s="642"/>
      <c r="M75" s="642">
        <v>178</v>
      </c>
      <c r="N75" s="642">
        <v>1</v>
      </c>
      <c r="O75" s="642">
        <v>179</v>
      </c>
      <c r="P75" s="656"/>
      <c r="Q75" s="643">
        <v>179</v>
      </c>
    </row>
    <row r="76" spans="1:17" ht="14.4" customHeight="1" x14ac:dyDescent="0.3">
      <c r="A76" s="638" t="s">
        <v>2071</v>
      </c>
      <c r="B76" s="639" t="s">
        <v>2072</v>
      </c>
      <c r="C76" s="639" t="s">
        <v>1723</v>
      </c>
      <c r="D76" s="639" t="s">
        <v>2155</v>
      </c>
      <c r="E76" s="639" t="s">
        <v>2156</v>
      </c>
      <c r="F76" s="642">
        <v>1</v>
      </c>
      <c r="G76" s="642">
        <v>412</v>
      </c>
      <c r="H76" s="642">
        <v>1</v>
      </c>
      <c r="I76" s="642">
        <v>412</v>
      </c>
      <c r="J76" s="642"/>
      <c r="K76" s="642"/>
      <c r="L76" s="642"/>
      <c r="M76" s="642"/>
      <c r="N76" s="642">
        <v>2</v>
      </c>
      <c r="O76" s="642">
        <v>828</v>
      </c>
      <c r="P76" s="656">
        <v>2.0097087378640777</v>
      </c>
      <c r="Q76" s="643">
        <v>414</v>
      </c>
    </row>
    <row r="77" spans="1:17" ht="14.4" customHeight="1" x14ac:dyDescent="0.3">
      <c r="A77" s="638" t="s">
        <v>2071</v>
      </c>
      <c r="B77" s="639" t="s">
        <v>2072</v>
      </c>
      <c r="C77" s="639" t="s">
        <v>1723</v>
      </c>
      <c r="D77" s="639" t="s">
        <v>2157</v>
      </c>
      <c r="E77" s="639" t="s">
        <v>2158</v>
      </c>
      <c r="F77" s="642">
        <v>1</v>
      </c>
      <c r="G77" s="642">
        <v>394</v>
      </c>
      <c r="H77" s="642">
        <v>1</v>
      </c>
      <c r="I77" s="642">
        <v>394</v>
      </c>
      <c r="J77" s="642"/>
      <c r="K77" s="642"/>
      <c r="L77" s="642"/>
      <c r="M77" s="642"/>
      <c r="N77" s="642">
        <v>2</v>
      </c>
      <c r="O77" s="642">
        <v>792</v>
      </c>
      <c r="P77" s="656">
        <v>2.0101522842639592</v>
      </c>
      <c r="Q77" s="643">
        <v>396</v>
      </c>
    </row>
    <row r="78" spans="1:17" ht="14.4" customHeight="1" x14ac:dyDescent="0.3">
      <c r="A78" s="638" t="s">
        <v>2071</v>
      </c>
      <c r="B78" s="639" t="s">
        <v>2072</v>
      </c>
      <c r="C78" s="639" t="s">
        <v>1723</v>
      </c>
      <c r="D78" s="639" t="s">
        <v>2159</v>
      </c>
      <c r="E78" s="639" t="s">
        <v>2160</v>
      </c>
      <c r="F78" s="642"/>
      <c r="G78" s="642"/>
      <c r="H78" s="642"/>
      <c r="I78" s="642"/>
      <c r="J78" s="642">
        <v>2</v>
      </c>
      <c r="K78" s="642">
        <v>620</v>
      </c>
      <c r="L78" s="642"/>
      <c r="M78" s="642">
        <v>310</v>
      </c>
      <c r="N78" s="642">
        <v>1</v>
      </c>
      <c r="O78" s="642">
        <v>311</v>
      </c>
      <c r="P78" s="656"/>
      <c r="Q78" s="643">
        <v>311</v>
      </c>
    </row>
    <row r="79" spans="1:17" ht="14.4" customHeight="1" x14ac:dyDescent="0.3">
      <c r="A79" s="638" t="s">
        <v>2071</v>
      </c>
      <c r="B79" s="639" t="s">
        <v>2072</v>
      </c>
      <c r="C79" s="639" t="s">
        <v>1723</v>
      </c>
      <c r="D79" s="639" t="s">
        <v>2161</v>
      </c>
      <c r="E79" s="639" t="s">
        <v>2162</v>
      </c>
      <c r="F79" s="642">
        <v>1</v>
      </c>
      <c r="G79" s="642">
        <v>89</v>
      </c>
      <c r="H79" s="642">
        <v>1</v>
      </c>
      <c r="I79" s="642">
        <v>89</v>
      </c>
      <c r="J79" s="642">
        <v>1</v>
      </c>
      <c r="K79" s="642">
        <v>89</v>
      </c>
      <c r="L79" s="642">
        <v>1</v>
      </c>
      <c r="M79" s="642">
        <v>89</v>
      </c>
      <c r="N79" s="642"/>
      <c r="O79" s="642"/>
      <c r="P79" s="656"/>
      <c r="Q79" s="643"/>
    </row>
    <row r="80" spans="1:17" ht="14.4" customHeight="1" x14ac:dyDescent="0.3">
      <c r="A80" s="638" t="s">
        <v>2071</v>
      </c>
      <c r="B80" s="639" t="s">
        <v>2072</v>
      </c>
      <c r="C80" s="639" t="s">
        <v>1723</v>
      </c>
      <c r="D80" s="639" t="s">
        <v>2163</v>
      </c>
      <c r="E80" s="639" t="s">
        <v>2164</v>
      </c>
      <c r="F80" s="642">
        <v>1747</v>
      </c>
      <c r="G80" s="642">
        <v>51524</v>
      </c>
      <c r="H80" s="642">
        <v>1</v>
      </c>
      <c r="I80" s="642">
        <v>29.492844876931883</v>
      </c>
      <c r="J80" s="642">
        <v>1610</v>
      </c>
      <c r="K80" s="642">
        <v>48300</v>
      </c>
      <c r="L80" s="642">
        <v>0.93742721838366583</v>
      </c>
      <c r="M80" s="642">
        <v>30</v>
      </c>
      <c r="N80" s="642">
        <v>1635</v>
      </c>
      <c r="O80" s="642">
        <v>49050</v>
      </c>
      <c r="P80" s="656">
        <v>0.95198354165049293</v>
      </c>
      <c r="Q80" s="643">
        <v>30</v>
      </c>
    </row>
    <row r="81" spans="1:17" ht="14.4" customHeight="1" x14ac:dyDescent="0.3">
      <c r="A81" s="638" t="s">
        <v>2071</v>
      </c>
      <c r="B81" s="639" t="s">
        <v>2072</v>
      </c>
      <c r="C81" s="639" t="s">
        <v>1723</v>
      </c>
      <c r="D81" s="639" t="s">
        <v>2165</v>
      </c>
      <c r="E81" s="639" t="s">
        <v>2166</v>
      </c>
      <c r="F81" s="642">
        <v>25</v>
      </c>
      <c r="G81" s="642">
        <v>300</v>
      </c>
      <c r="H81" s="642">
        <v>1</v>
      </c>
      <c r="I81" s="642">
        <v>12</v>
      </c>
      <c r="J81" s="642">
        <v>10</v>
      </c>
      <c r="K81" s="642">
        <v>120</v>
      </c>
      <c r="L81" s="642">
        <v>0.4</v>
      </c>
      <c r="M81" s="642">
        <v>12</v>
      </c>
      <c r="N81" s="642">
        <v>21</v>
      </c>
      <c r="O81" s="642">
        <v>252</v>
      </c>
      <c r="P81" s="656">
        <v>0.84</v>
      </c>
      <c r="Q81" s="643">
        <v>12</v>
      </c>
    </row>
    <row r="82" spans="1:17" ht="14.4" customHeight="1" x14ac:dyDescent="0.3">
      <c r="A82" s="638" t="s">
        <v>2071</v>
      </c>
      <c r="B82" s="639" t="s">
        <v>2072</v>
      </c>
      <c r="C82" s="639" t="s">
        <v>1723</v>
      </c>
      <c r="D82" s="639" t="s">
        <v>2167</v>
      </c>
      <c r="E82" s="639" t="s">
        <v>2168</v>
      </c>
      <c r="F82" s="642">
        <v>7</v>
      </c>
      <c r="G82" s="642">
        <v>1269</v>
      </c>
      <c r="H82" s="642">
        <v>1</v>
      </c>
      <c r="I82" s="642">
        <v>181.28571428571428</v>
      </c>
      <c r="J82" s="642">
        <v>1</v>
      </c>
      <c r="K82" s="642">
        <v>182</v>
      </c>
      <c r="L82" s="642">
        <v>0.14342001576044131</v>
      </c>
      <c r="M82" s="642">
        <v>182</v>
      </c>
      <c r="N82" s="642">
        <v>19</v>
      </c>
      <c r="O82" s="642">
        <v>3477</v>
      </c>
      <c r="P82" s="656">
        <v>2.7399527186761228</v>
      </c>
      <c r="Q82" s="643">
        <v>183</v>
      </c>
    </row>
    <row r="83" spans="1:17" ht="14.4" customHeight="1" x14ac:dyDescent="0.3">
      <c r="A83" s="638" t="s">
        <v>2071</v>
      </c>
      <c r="B83" s="639" t="s">
        <v>2072</v>
      </c>
      <c r="C83" s="639" t="s">
        <v>1723</v>
      </c>
      <c r="D83" s="639" t="s">
        <v>2169</v>
      </c>
      <c r="E83" s="639" t="s">
        <v>2170</v>
      </c>
      <c r="F83" s="642">
        <v>1084</v>
      </c>
      <c r="G83" s="642">
        <v>76978</v>
      </c>
      <c r="H83" s="642">
        <v>1</v>
      </c>
      <c r="I83" s="642">
        <v>71.012915129151295</v>
      </c>
      <c r="J83" s="642">
        <v>18</v>
      </c>
      <c r="K83" s="642">
        <v>1296</v>
      </c>
      <c r="L83" s="642">
        <v>1.6835979110914806E-2</v>
      </c>
      <c r="M83" s="642">
        <v>72</v>
      </c>
      <c r="N83" s="642">
        <v>11</v>
      </c>
      <c r="O83" s="642">
        <v>803</v>
      </c>
      <c r="P83" s="656">
        <v>1.0431551871963419E-2</v>
      </c>
      <c r="Q83" s="643">
        <v>73</v>
      </c>
    </row>
    <row r="84" spans="1:17" ht="14.4" customHeight="1" x14ac:dyDescent="0.3">
      <c r="A84" s="638" t="s">
        <v>2071</v>
      </c>
      <c r="B84" s="639" t="s">
        <v>2072</v>
      </c>
      <c r="C84" s="639" t="s">
        <v>1723</v>
      </c>
      <c r="D84" s="639" t="s">
        <v>2171</v>
      </c>
      <c r="E84" s="639" t="s">
        <v>2172</v>
      </c>
      <c r="F84" s="642"/>
      <c r="G84" s="642"/>
      <c r="H84" s="642"/>
      <c r="I84" s="642"/>
      <c r="J84" s="642"/>
      <c r="K84" s="642"/>
      <c r="L84" s="642"/>
      <c r="M84" s="642"/>
      <c r="N84" s="642">
        <v>2</v>
      </c>
      <c r="O84" s="642">
        <v>368</v>
      </c>
      <c r="P84" s="656"/>
      <c r="Q84" s="643">
        <v>184</v>
      </c>
    </row>
    <row r="85" spans="1:17" ht="14.4" customHeight="1" x14ac:dyDescent="0.3">
      <c r="A85" s="638" t="s">
        <v>2071</v>
      </c>
      <c r="B85" s="639" t="s">
        <v>2072</v>
      </c>
      <c r="C85" s="639" t="s">
        <v>1723</v>
      </c>
      <c r="D85" s="639" t="s">
        <v>2015</v>
      </c>
      <c r="E85" s="639" t="s">
        <v>2016</v>
      </c>
      <c r="F85" s="642">
        <v>11</v>
      </c>
      <c r="G85" s="642">
        <v>13855</v>
      </c>
      <c r="H85" s="642">
        <v>1</v>
      </c>
      <c r="I85" s="642">
        <v>1259.5454545454545</v>
      </c>
      <c r="J85" s="642">
        <v>22</v>
      </c>
      <c r="K85" s="642">
        <v>27896</v>
      </c>
      <c r="L85" s="642">
        <v>2.0134247564056298</v>
      </c>
      <c r="M85" s="642">
        <v>1268</v>
      </c>
      <c r="N85" s="642">
        <v>15</v>
      </c>
      <c r="O85" s="642">
        <v>19245</v>
      </c>
      <c r="P85" s="656">
        <v>1.3890292313244317</v>
      </c>
      <c r="Q85" s="643">
        <v>1283</v>
      </c>
    </row>
    <row r="86" spans="1:17" ht="14.4" customHeight="1" x14ac:dyDescent="0.3">
      <c r="A86" s="638" t="s">
        <v>2071</v>
      </c>
      <c r="B86" s="639" t="s">
        <v>2072</v>
      </c>
      <c r="C86" s="639" t="s">
        <v>1723</v>
      </c>
      <c r="D86" s="639" t="s">
        <v>2173</v>
      </c>
      <c r="E86" s="639" t="s">
        <v>2174</v>
      </c>
      <c r="F86" s="642">
        <v>935</v>
      </c>
      <c r="G86" s="642">
        <v>138015</v>
      </c>
      <c r="H86" s="642">
        <v>1</v>
      </c>
      <c r="I86" s="642">
        <v>147.60962566844921</v>
      </c>
      <c r="J86" s="642">
        <v>986</v>
      </c>
      <c r="K86" s="642">
        <v>145928</v>
      </c>
      <c r="L86" s="642">
        <v>1.0573343477158279</v>
      </c>
      <c r="M86" s="642">
        <v>148</v>
      </c>
      <c r="N86" s="642">
        <v>883</v>
      </c>
      <c r="O86" s="642">
        <v>131567</v>
      </c>
      <c r="P86" s="656">
        <v>0.95328044053182626</v>
      </c>
      <c r="Q86" s="643">
        <v>149</v>
      </c>
    </row>
    <row r="87" spans="1:17" ht="14.4" customHeight="1" x14ac:dyDescent="0.3">
      <c r="A87" s="638" t="s">
        <v>2071</v>
      </c>
      <c r="B87" s="639" t="s">
        <v>2072</v>
      </c>
      <c r="C87" s="639" t="s">
        <v>1723</v>
      </c>
      <c r="D87" s="639" t="s">
        <v>2175</v>
      </c>
      <c r="E87" s="639" t="s">
        <v>2176</v>
      </c>
      <c r="F87" s="642">
        <v>1755</v>
      </c>
      <c r="G87" s="642">
        <v>51757</v>
      </c>
      <c r="H87" s="642">
        <v>1</v>
      </c>
      <c r="I87" s="642">
        <v>29.491168091168092</v>
      </c>
      <c r="J87" s="642">
        <v>1623</v>
      </c>
      <c r="K87" s="642">
        <v>48690</v>
      </c>
      <c r="L87" s="642">
        <v>0.94074231504917205</v>
      </c>
      <c r="M87" s="642">
        <v>30</v>
      </c>
      <c r="N87" s="642">
        <v>1631</v>
      </c>
      <c r="O87" s="642">
        <v>48930</v>
      </c>
      <c r="P87" s="656">
        <v>0.94537936897424502</v>
      </c>
      <c r="Q87" s="643">
        <v>30</v>
      </c>
    </row>
    <row r="88" spans="1:17" ht="14.4" customHeight="1" x14ac:dyDescent="0.3">
      <c r="A88" s="638" t="s">
        <v>2071</v>
      </c>
      <c r="B88" s="639" t="s">
        <v>2072</v>
      </c>
      <c r="C88" s="639" t="s">
        <v>1723</v>
      </c>
      <c r="D88" s="639" t="s">
        <v>2177</v>
      </c>
      <c r="E88" s="639" t="s">
        <v>2178</v>
      </c>
      <c r="F88" s="642">
        <v>4</v>
      </c>
      <c r="G88" s="642">
        <v>124</v>
      </c>
      <c r="H88" s="642">
        <v>1</v>
      </c>
      <c r="I88" s="642">
        <v>31</v>
      </c>
      <c r="J88" s="642">
        <v>5</v>
      </c>
      <c r="K88" s="642">
        <v>155</v>
      </c>
      <c r="L88" s="642">
        <v>1.25</v>
      </c>
      <c r="M88" s="642">
        <v>31</v>
      </c>
      <c r="N88" s="642">
        <v>3</v>
      </c>
      <c r="O88" s="642">
        <v>93</v>
      </c>
      <c r="P88" s="656">
        <v>0.75</v>
      </c>
      <c r="Q88" s="643">
        <v>31</v>
      </c>
    </row>
    <row r="89" spans="1:17" ht="14.4" customHeight="1" x14ac:dyDescent="0.3">
      <c r="A89" s="638" t="s">
        <v>2071</v>
      </c>
      <c r="B89" s="639" t="s">
        <v>2072</v>
      </c>
      <c r="C89" s="639" t="s">
        <v>1723</v>
      </c>
      <c r="D89" s="639" t="s">
        <v>2179</v>
      </c>
      <c r="E89" s="639" t="s">
        <v>2180</v>
      </c>
      <c r="F89" s="642">
        <v>58</v>
      </c>
      <c r="G89" s="642">
        <v>1566</v>
      </c>
      <c r="H89" s="642">
        <v>1</v>
      </c>
      <c r="I89" s="642">
        <v>27</v>
      </c>
      <c r="J89" s="642">
        <v>64</v>
      </c>
      <c r="K89" s="642">
        <v>1728</v>
      </c>
      <c r="L89" s="642">
        <v>1.103448275862069</v>
      </c>
      <c r="M89" s="642">
        <v>27</v>
      </c>
      <c r="N89" s="642">
        <v>44</v>
      </c>
      <c r="O89" s="642">
        <v>1188</v>
      </c>
      <c r="P89" s="656">
        <v>0.75862068965517238</v>
      </c>
      <c r="Q89" s="643">
        <v>27</v>
      </c>
    </row>
    <row r="90" spans="1:17" ht="14.4" customHeight="1" x14ac:dyDescent="0.3">
      <c r="A90" s="638" t="s">
        <v>2071</v>
      </c>
      <c r="B90" s="639" t="s">
        <v>2072</v>
      </c>
      <c r="C90" s="639" t="s">
        <v>1723</v>
      </c>
      <c r="D90" s="639" t="s">
        <v>2181</v>
      </c>
      <c r="E90" s="639" t="s">
        <v>2182</v>
      </c>
      <c r="F90" s="642"/>
      <c r="G90" s="642"/>
      <c r="H90" s="642"/>
      <c r="I90" s="642"/>
      <c r="J90" s="642">
        <v>3</v>
      </c>
      <c r="K90" s="642">
        <v>486</v>
      </c>
      <c r="L90" s="642"/>
      <c r="M90" s="642">
        <v>162</v>
      </c>
      <c r="N90" s="642">
        <v>1</v>
      </c>
      <c r="O90" s="642">
        <v>163</v>
      </c>
      <c r="P90" s="656"/>
      <c r="Q90" s="643">
        <v>163</v>
      </c>
    </row>
    <row r="91" spans="1:17" ht="14.4" customHeight="1" x14ac:dyDescent="0.3">
      <c r="A91" s="638" t="s">
        <v>2071</v>
      </c>
      <c r="B91" s="639" t="s">
        <v>2072</v>
      </c>
      <c r="C91" s="639" t="s">
        <v>1723</v>
      </c>
      <c r="D91" s="639" t="s">
        <v>2183</v>
      </c>
      <c r="E91" s="639" t="s">
        <v>2184</v>
      </c>
      <c r="F91" s="642">
        <v>15</v>
      </c>
      <c r="G91" s="642">
        <v>330</v>
      </c>
      <c r="H91" s="642">
        <v>1</v>
      </c>
      <c r="I91" s="642">
        <v>22</v>
      </c>
      <c r="J91" s="642">
        <v>23</v>
      </c>
      <c r="K91" s="642">
        <v>506</v>
      </c>
      <c r="L91" s="642">
        <v>1.5333333333333334</v>
      </c>
      <c r="M91" s="642">
        <v>22</v>
      </c>
      <c r="N91" s="642">
        <v>14</v>
      </c>
      <c r="O91" s="642">
        <v>308</v>
      </c>
      <c r="P91" s="656">
        <v>0.93333333333333335</v>
      </c>
      <c r="Q91" s="643">
        <v>22</v>
      </c>
    </row>
    <row r="92" spans="1:17" ht="14.4" customHeight="1" x14ac:dyDescent="0.3">
      <c r="A92" s="638" t="s">
        <v>2071</v>
      </c>
      <c r="B92" s="639" t="s">
        <v>2072</v>
      </c>
      <c r="C92" s="639" t="s">
        <v>1723</v>
      </c>
      <c r="D92" s="639" t="s">
        <v>2185</v>
      </c>
      <c r="E92" s="639" t="s">
        <v>2186</v>
      </c>
      <c r="F92" s="642">
        <v>1</v>
      </c>
      <c r="G92" s="642">
        <v>859</v>
      </c>
      <c r="H92" s="642">
        <v>1</v>
      </c>
      <c r="I92" s="642">
        <v>859</v>
      </c>
      <c r="J92" s="642">
        <v>1</v>
      </c>
      <c r="K92" s="642">
        <v>862</v>
      </c>
      <c r="L92" s="642">
        <v>1.0034924330616997</v>
      </c>
      <c r="M92" s="642">
        <v>862</v>
      </c>
      <c r="N92" s="642">
        <v>4</v>
      </c>
      <c r="O92" s="642">
        <v>3480</v>
      </c>
      <c r="P92" s="656">
        <v>4.051222351571595</v>
      </c>
      <c r="Q92" s="643">
        <v>870</v>
      </c>
    </row>
    <row r="93" spans="1:17" ht="14.4" customHeight="1" x14ac:dyDescent="0.3">
      <c r="A93" s="638" t="s">
        <v>2071</v>
      </c>
      <c r="B93" s="639" t="s">
        <v>2072</v>
      </c>
      <c r="C93" s="639" t="s">
        <v>1723</v>
      </c>
      <c r="D93" s="639" t="s">
        <v>2187</v>
      </c>
      <c r="E93" s="639" t="s">
        <v>2188</v>
      </c>
      <c r="F93" s="642">
        <v>38</v>
      </c>
      <c r="G93" s="642">
        <v>950</v>
      </c>
      <c r="H93" s="642">
        <v>1</v>
      </c>
      <c r="I93" s="642">
        <v>25</v>
      </c>
      <c r="J93" s="642">
        <v>56</v>
      </c>
      <c r="K93" s="642">
        <v>1400</v>
      </c>
      <c r="L93" s="642">
        <v>1.4736842105263157</v>
      </c>
      <c r="M93" s="642">
        <v>25</v>
      </c>
      <c r="N93" s="642">
        <v>42</v>
      </c>
      <c r="O93" s="642">
        <v>1050</v>
      </c>
      <c r="P93" s="656">
        <v>1.1052631578947369</v>
      </c>
      <c r="Q93" s="643">
        <v>25</v>
      </c>
    </row>
    <row r="94" spans="1:17" ht="14.4" customHeight="1" x14ac:dyDescent="0.3">
      <c r="A94" s="638" t="s">
        <v>2071</v>
      </c>
      <c r="B94" s="639" t="s">
        <v>2072</v>
      </c>
      <c r="C94" s="639" t="s">
        <v>1723</v>
      </c>
      <c r="D94" s="639" t="s">
        <v>2189</v>
      </c>
      <c r="E94" s="639" t="s">
        <v>2190</v>
      </c>
      <c r="F94" s="642">
        <v>26</v>
      </c>
      <c r="G94" s="642">
        <v>858</v>
      </c>
      <c r="H94" s="642">
        <v>1</v>
      </c>
      <c r="I94" s="642">
        <v>33</v>
      </c>
      <c r="J94" s="642">
        <v>29</v>
      </c>
      <c r="K94" s="642">
        <v>957</v>
      </c>
      <c r="L94" s="642">
        <v>1.1153846153846154</v>
      </c>
      <c r="M94" s="642">
        <v>33</v>
      </c>
      <c r="N94" s="642">
        <v>15</v>
      </c>
      <c r="O94" s="642">
        <v>495</v>
      </c>
      <c r="P94" s="656">
        <v>0.57692307692307687</v>
      </c>
      <c r="Q94" s="643">
        <v>33</v>
      </c>
    </row>
    <row r="95" spans="1:17" ht="14.4" customHeight="1" x14ac:dyDescent="0.3">
      <c r="A95" s="638" t="s">
        <v>2071</v>
      </c>
      <c r="B95" s="639" t="s">
        <v>2072</v>
      </c>
      <c r="C95" s="639" t="s">
        <v>1723</v>
      </c>
      <c r="D95" s="639" t="s">
        <v>2191</v>
      </c>
      <c r="E95" s="639" t="s">
        <v>2192</v>
      </c>
      <c r="F95" s="642">
        <v>14</v>
      </c>
      <c r="G95" s="642">
        <v>420</v>
      </c>
      <c r="H95" s="642">
        <v>1</v>
      </c>
      <c r="I95" s="642">
        <v>30</v>
      </c>
      <c r="J95" s="642">
        <v>23</v>
      </c>
      <c r="K95" s="642">
        <v>690</v>
      </c>
      <c r="L95" s="642">
        <v>1.6428571428571428</v>
      </c>
      <c r="M95" s="642">
        <v>30</v>
      </c>
      <c r="N95" s="642">
        <v>14</v>
      </c>
      <c r="O95" s="642">
        <v>420</v>
      </c>
      <c r="P95" s="656">
        <v>1</v>
      </c>
      <c r="Q95" s="643">
        <v>30</v>
      </c>
    </row>
    <row r="96" spans="1:17" ht="14.4" customHeight="1" x14ac:dyDescent="0.3">
      <c r="A96" s="638" t="s">
        <v>2071</v>
      </c>
      <c r="B96" s="639" t="s">
        <v>2072</v>
      </c>
      <c r="C96" s="639" t="s">
        <v>1723</v>
      </c>
      <c r="D96" s="639" t="s">
        <v>2193</v>
      </c>
      <c r="E96" s="639" t="s">
        <v>2194</v>
      </c>
      <c r="F96" s="642">
        <v>21</v>
      </c>
      <c r="G96" s="642">
        <v>546</v>
      </c>
      <c r="H96" s="642">
        <v>1</v>
      </c>
      <c r="I96" s="642">
        <v>26</v>
      </c>
      <c r="J96" s="642">
        <v>30</v>
      </c>
      <c r="K96" s="642">
        <v>780</v>
      </c>
      <c r="L96" s="642">
        <v>1.4285714285714286</v>
      </c>
      <c r="M96" s="642">
        <v>26</v>
      </c>
      <c r="N96" s="642">
        <v>29</v>
      </c>
      <c r="O96" s="642">
        <v>754</v>
      </c>
      <c r="P96" s="656">
        <v>1.3809523809523809</v>
      </c>
      <c r="Q96" s="643">
        <v>26</v>
      </c>
    </row>
    <row r="97" spans="1:17" ht="14.4" customHeight="1" x14ac:dyDescent="0.3">
      <c r="A97" s="638" t="s">
        <v>2071</v>
      </c>
      <c r="B97" s="639" t="s">
        <v>2072</v>
      </c>
      <c r="C97" s="639" t="s">
        <v>1723</v>
      </c>
      <c r="D97" s="639" t="s">
        <v>2195</v>
      </c>
      <c r="E97" s="639" t="s">
        <v>2196</v>
      </c>
      <c r="F97" s="642"/>
      <c r="G97" s="642"/>
      <c r="H97" s="642"/>
      <c r="I97" s="642"/>
      <c r="J97" s="642">
        <v>1</v>
      </c>
      <c r="K97" s="642">
        <v>84</v>
      </c>
      <c r="L97" s="642"/>
      <c r="M97" s="642">
        <v>84</v>
      </c>
      <c r="N97" s="642"/>
      <c r="O97" s="642"/>
      <c r="P97" s="656"/>
      <c r="Q97" s="643"/>
    </row>
    <row r="98" spans="1:17" ht="14.4" customHeight="1" x14ac:dyDescent="0.3">
      <c r="A98" s="638" t="s">
        <v>2071</v>
      </c>
      <c r="B98" s="639" t="s">
        <v>2072</v>
      </c>
      <c r="C98" s="639" t="s">
        <v>1723</v>
      </c>
      <c r="D98" s="639" t="s">
        <v>2197</v>
      </c>
      <c r="E98" s="639" t="s">
        <v>2198</v>
      </c>
      <c r="F98" s="642">
        <v>7</v>
      </c>
      <c r="G98" s="642">
        <v>1220</v>
      </c>
      <c r="H98" s="642">
        <v>1</v>
      </c>
      <c r="I98" s="642">
        <v>174.28571428571428</v>
      </c>
      <c r="J98" s="642">
        <v>1</v>
      </c>
      <c r="K98" s="642">
        <v>175</v>
      </c>
      <c r="L98" s="642">
        <v>0.14344262295081966</v>
      </c>
      <c r="M98" s="642">
        <v>175</v>
      </c>
      <c r="N98" s="642">
        <v>11</v>
      </c>
      <c r="O98" s="642">
        <v>1936</v>
      </c>
      <c r="P98" s="656">
        <v>1.5868852459016394</v>
      </c>
      <c r="Q98" s="643">
        <v>176</v>
      </c>
    </row>
    <row r="99" spans="1:17" ht="14.4" customHeight="1" x14ac:dyDescent="0.3">
      <c r="A99" s="638" t="s">
        <v>2071</v>
      </c>
      <c r="B99" s="639" t="s">
        <v>2072</v>
      </c>
      <c r="C99" s="639" t="s">
        <v>1723</v>
      </c>
      <c r="D99" s="639" t="s">
        <v>2199</v>
      </c>
      <c r="E99" s="639" t="s">
        <v>2200</v>
      </c>
      <c r="F99" s="642">
        <v>1</v>
      </c>
      <c r="G99" s="642">
        <v>252</v>
      </c>
      <c r="H99" s="642">
        <v>1</v>
      </c>
      <c r="I99" s="642">
        <v>252</v>
      </c>
      <c r="J99" s="642"/>
      <c r="K99" s="642"/>
      <c r="L99" s="642"/>
      <c r="M99" s="642"/>
      <c r="N99" s="642"/>
      <c r="O99" s="642"/>
      <c r="P99" s="656"/>
      <c r="Q99" s="643"/>
    </row>
    <row r="100" spans="1:17" ht="14.4" customHeight="1" x14ac:dyDescent="0.3">
      <c r="A100" s="638" t="s">
        <v>2071</v>
      </c>
      <c r="B100" s="639" t="s">
        <v>2072</v>
      </c>
      <c r="C100" s="639" t="s">
        <v>1723</v>
      </c>
      <c r="D100" s="639" t="s">
        <v>2201</v>
      </c>
      <c r="E100" s="639" t="s">
        <v>2202</v>
      </c>
      <c r="F100" s="642">
        <v>167</v>
      </c>
      <c r="G100" s="642">
        <v>2505</v>
      </c>
      <c r="H100" s="642">
        <v>1</v>
      </c>
      <c r="I100" s="642">
        <v>15</v>
      </c>
      <c r="J100" s="642">
        <v>183</v>
      </c>
      <c r="K100" s="642">
        <v>2745</v>
      </c>
      <c r="L100" s="642">
        <v>1.095808383233533</v>
      </c>
      <c r="M100" s="642">
        <v>15</v>
      </c>
      <c r="N100" s="642">
        <v>151</v>
      </c>
      <c r="O100" s="642">
        <v>2265</v>
      </c>
      <c r="P100" s="656">
        <v>0.90419161676646709</v>
      </c>
      <c r="Q100" s="643">
        <v>15</v>
      </c>
    </row>
    <row r="101" spans="1:17" ht="14.4" customHeight="1" x14ac:dyDescent="0.3">
      <c r="A101" s="638" t="s">
        <v>2071</v>
      </c>
      <c r="B101" s="639" t="s">
        <v>2072</v>
      </c>
      <c r="C101" s="639" t="s">
        <v>1723</v>
      </c>
      <c r="D101" s="639" t="s">
        <v>2203</v>
      </c>
      <c r="E101" s="639" t="s">
        <v>2204</v>
      </c>
      <c r="F101" s="642">
        <v>51</v>
      </c>
      <c r="G101" s="642">
        <v>1173</v>
      </c>
      <c r="H101" s="642">
        <v>1</v>
      </c>
      <c r="I101" s="642">
        <v>23</v>
      </c>
      <c r="J101" s="642">
        <v>88</v>
      </c>
      <c r="K101" s="642">
        <v>2024</v>
      </c>
      <c r="L101" s="642">
        <v>1.7254901960784315</v>
      </c>
      <c r="M101" s="642">
        <v>23</v>
      </c>
      <c r="N101" s="642">
        <v>64</v>
      </c>
      <c r="O101" s="642">
        <v>1472</v>
      </c>
      <c r="P101" s="656">
        <v>1.2549019607843137</v>
      </c>
      <c r="Q101" s="643">
        <v>23</v>
      </c>
    </row>
    <row r="102" spans="1:17" ht="14.4" customHeight="1" x14ac:dyDescent="0.3">
      <c r="A102" s="638" t="s">
        <v>2071</v>
      </c>
      <c r="B102" s="639" t="s">
        <v>2072</v>
      </c>
      <c r="C102" s="639" t="s">
        <v>1723</v>
      </c>
      <c r="D102" s="639" t="s">
        <v>2205</v>
      </c>
      <c r="E102" s="639" t="s">
        <v>2206</v>
      </c>
      <c r="F102" s="642"/>
      <c r="G102" s="642"/>
      <c r="H102" s="642"/>
      <c r="I102" s="642"/>
      <c r="J102" s="642">
        <v>1</v>
      </c>
      <c r="K102" s="642">
        <v>37</v>
      </c>
      <c r="L102" s="642"/>
      <c r="M102" s="642">
        <v>37</v>
      </c>
      <c r="N102" s="642"/>
      <c r="O102" s="642"/>
      <c r="P102" s="656"/>
      <c r="Q102" s="643"/>
    </row>
    <row r="103" spans="1:17" ht="14.4" customHeight="1" x14ac:dyDescent="0.3">
      <c r="A103" s="638" t="s">
        <v>2071</v>
      </c>
      <c r="B103" s="639" t="s">
        <v>2072</v>
      </c>
      <c r="C103" s="639" t="s">
        <v>1723</v>
      </c>
      <c r="D103" s="639" t="s">
        <v>2207</v>
      </c>
      <c r="E103" s="639" t="s">
        <v>2208</v>
      </c>
      <c r="F103" s="642">
        <v>858</v>
      </c>
      <c r="G103" s="642">
        <v>19734</v>
      </c>
      <c r="H103" s="642">
        <v>1</v>
      </c>
      <c r="I103" s="642">
        <v>23</v>
      </c>
      <c r="J103" s="642">
        <v>1165</v>
      </c>
      <c r="K103" s="642">
        <v>26795</v>
      </c>
      <c r="L103" s="642">
        <v>1.3578088578088578</v>
      </c>
      <c r="M103" s="642">
        <v>23</v>
      </c>
      <c r="N103" s="642">
        <v>1598</v>
      </c>
      <c r="O103" s="642">
        <v>36754</v>
      </c>
      <c r="P103" s="656">
        <v>1.8624708624708626</v>
      </c>
      <c r="Q103" s="643">
        <v>23</v>
      </c>
    </row>
    <row r="104" spans="1:17" ht="14.4" customHeight="1" x14ac:dyDescent="0.3">
      <c r="A104" s="638" t="s">
        <v>2071</v>
      </c>
      <c r="B104" s="639" t="s">
        <v>2072</v>
      </c>
      <c r="C104" s="639" t="s">
        <v>1723</v>
      </c>
      <c r="D104" s="639" t="s">
        <v>2209</v>
      </c>
      <c r="E104" s="639" t="s">
        <v>2210</v>
      </c>
      <c r="F104" s="642">
        <v>4</v>
      </c>
      <c r="G104" s="642">
        <v>679</v>
      </c>
      <c r="H104" s="642">
        <v>1</v>
      </c>
      <c r="I104" s="642">
        <v>169.75</v>
      </c>
      <c r="J104" s="642">
        <v>8</v>
      </c>
      <c r="K104" s="642">
        <v>1360</v>
      </c>
      <c r="L104" s="642">
        <v>2.0029455081001473</v>
      </c>
      <c r="M104" s="642">
        <v>170</v>
      </c>
      <c r="N104" s="642">
        <v>4</v>
      </c>
      <c r="O104" s="642">
        <v>684</v>
      </c>
      <c r="P104" s="656">
        <v>1.0073637702503682</v>
      </c>
      <c r="Q104" s="643">
        <v>171</v>
      </c>
    </row>
    <row r="105" spans="1:17" ht="14.4" customHeight="1" x14ac:dyDescent="0.3">
      <c r="A105" s="638" t="s">
        <v>2071</v>
      </c>
      <c r="B105" s="639" t="s">
        <v>2072</v>
      </c>
      <c r="C105" s="639" t="s">
        <v>1723</v>
      </c>
      <c r="D105" s="639" t="s">
        <v>2211</v>
      </c>
      <c r="E105" s="639" t="s">
        <v>2212</v>
      </c>
      <c r="F105" s="642"/>
      <c r="G105" s="642"/>
      <c r="H105" s="642"/>
      <c r="I105" s="642"/>
      <c r="J105" s="642"/>
      <c r="K105" s="642"/>
      <c r="L105" s="642"/>
      <c r="M105" s="642"/>
      <c r="N105" s="642">
        <v>7</v>
      </c>
      <c r="O105" s="642">
        <v>4116</v>
      </c>
      <c r="P105" s="656"/>
      <c r="Q105" s="643">
        <v>588</v>
      </c>
    </row>
    <row r="106" spans="1:17" ht="14.4" customHeight="1" x14ac:dyDescent="0.3">
      <c r="A106" s="638" t="s">
        <v>2071</v>
      </c>
      <c r="B106" s="639" t="s">
        <v>2072</v>
      </c>
      <c r="C106" s="639" t="s">
        <v>1723</v>
      </c>
      <c r="D106" s="639" t="s">
        <v>2213</v>
      </c>
      <c r="E106" s="639" t="s">
        <v>2214</v>
      </c>
      <c r="F106" s="642">
        <v>1</v>
      </c>
      <c r="G106" s="642">
        <v>277</v>
      </c>
      <c r="H106" s="642">
        <v>1</v>
      </c>
      <c r="I106" s="642">
        <v>277</v>
      </c>
      <c r="J106" s="642"/>
      <c r="K106" s="642"/>
      <c r="L106" s="642"/>
      <c r="M106" s="642"/>
      <c r="N106" s="642"/>
      <c r="O106" s="642"/>
      <c r="P106" s="656"/>
      <c r="Q106" s="643"/>
    </row>
    <row r="107" spans="1:17" ht="14.4" customHeight="1" x14ac:dyDescent="0.3">
      <c r="A107" s="638" t="s">
        <v>2071</v>
      </c>
      <c r="B107" s="639" t="s">
        <v>2072</v>
      </c>
      <c r="C107" s="639" t="s">
        <v>1723</v>
      </c>
      <c r="D107" s="639" t="s">
        <v>2215</v>
      </c>
      <c r="E107" s="639" t="s">
        <v>2216</v>
      </c>
      <c r="F107" s="642">
        <v>24</v>
      </c>
      <c r="G107" s="642">
        <v>696</v>
      </c>
      <c r="H107" s="642">
        <v>1</v>
      </c>
      <c r="I107" s="642">
        <v>29</v>
      </c>
      <c r="J107" s="642">
        <v>31</v>
      </c>
      <c r="K107" s="642">
        <v>899</v>
      </c>
      <c r="L107" s="642">
        <v>1.2916666666666667</v>
      </c>
      <c r="M107" s="642">
        <v>29</v>
      </c>
      <c r="N107" s="642">
        <v>31</v>
      </c>
      <c r="O107" s="642">
        <v>899</v>
      </c>
      <c r="P107" s="656">
        <v>1.2916666666666667</v>
      </c>
      <c r="Q107" s="643">
        <v>29</v>
      </c>
    </row>
    <row r="108" spans="1:17" ht="14.4" customHeight="1" x14ac:dyDescent="0.3">
      <c r="A108" s="638" t="s">
        <v>2071</v>
      </c>
      <c r="B108" s="639" t="s">
        <v>2072</v>
      </c>
      <c r="C108" s="639" t="s">
        <v>1723</v>
      </c>
      <c r="D108" s="639" t="s">
        <v>2217</v>
      </c>
      <c r="E108" s="639" t="s">
        <v>2218</v>
      </c>
      <c r="F108" s="642">
        <v>1</v>
      </c>
      <c r="G108" s="642">
        <v>177</v>
      </c>
      <c r="H108" s="642">
        <v>1</v>
      </c>
      <c r="I108" s="642">
        <v>177</v>
      </c>
      <c r="J108" s="642">
        <v>1</v>
      </c>
      <c r="K108" s="642">
        <v>177</v>
      </c>
      <c r="L108" s="642">
        <v>1</v>
      </c>
      <c r="M108" s="642">
        <v>177</v>
      </c>
      <c r="N108" s="642"/>
      <c r="O108" s="642"/>
      <c r="P108" s="656"/>
      <c r="Q108" s="643"/>
    </row>
    <row r="109" spans="1:17" ht="14.4" customHeight="1" x14ac:dyDescent="0.3">
      <c r="A109" s="638" t="s">
        <v>2071</v>
      </c>
      <c r="B109" s="639" t="s">
        <v>2072</v>
      </c>
      <c r="C109" s="639" t="s">
        <v>1723</v>
      </c>
      <c r="D109" s="639" t="s">
        <v>2219</v>
      </c>
      <c r="E109" s="639" t="s">
        <v>2220</v>
      </c>
      <c r="F109" s="642">
        <v>2</v>
      </c>
      <c r="G109" s="642">
        <v>394</v>
      </c>
      <c r="H109" s="642">
        <v>1</v>
      </c>
      <c r="I109" s="642">
        <v>197</v>
      </c>
      <c r="J109" s="642">
        <v>2</v>
      </c>
      <c r="K109" s="642">
        <v>396</v>
      </c>
      <c r="L109" s="642">
        <v>1.0050761421319796</v>
      </c>
      <c r="M109" s="642">
        <v>198</v>
      </c>
      <c r="N109" s="642">
        <v>1</v>
      </c>
      <c r="O109" s="642">
        <v>199</v>
      </c>
      <c r="P109" s="656">
        <v>0.50507614213197971</v>
      </c>
      <c r="Q109" s="643">
        <v>199</v>
      </c>
    </row>
    <row r="110" spans="1:17" ht="14.4" customHeight="1" x14ac:dyDescent="0.3">
      <c r="A110" s="638" t="s">
        <v>2071</v>
      </c>
      <c r="B110" s="639" t="s">
        <v>2072</v>
      </c>
      <c r="C110" s="639" t="s">
        <v>1723</v>
      </c>
      <c r="D110" s="639" t="s">
        <v>2221</v>
      </c>
      <c r="E110" s="639" t="s">
        <v>2222</v>
      </c>
      <c r="F110" s="642">
        <v>25</v>
      </c>
      <c r="G110" s="642">
        <v>375</v>
      </c>
      <c r="H110" s="642">
        <v>1</v>
      </c>
      <c r="I110" s="642">
        <v>15</v>
      </c>
      <c r="J110" s="642">
        <v>19</v>
      </c>
      <c r="K110" s="642">
        <v>285</v>
      </c>
      <c r="L110" s="642">
        <v>0.76</v>
      </c>
      <c r="M110" s="642">
        <v>15</v>
      </c>
      <c r="N110" s="642">
        <v>43</v>
      </c>
      <c r="O110" s="642">
        <v>645</v>
      </c>
      <c r="P110" s="656">
        <v>1.72</v>
      </c>
      <c r="Q110" s="643">
        <v>15</v>
      </c>
    </row>
    <row r="111" spans="1:17" ht="14.4" customHeight="1" x14ac:dyDescent="0.3">
      <c r="A111" s="638" t="s">
        <v>2071</v>
      </c>
      <c r="B111" s="639" t="s">
        <v>2072</v>
      </c>
      <c r="C111" s="639" t="s">
        <v>1723</v>
      </c>
      <c r="D111" s="639" t="s">
        <v>2223</v>
      </c>
      <c r="E111" s="639" t="s">
        <v>2224</v>
      </c>
      <c r="F111" s="642">
        <v>109</v>
      </c>
      <c r="G111" s="642">
        <v>2071</v>
      </c>
      <c r="H111" s="642">
        <v>1</v>
      </c>
      <c r="I111" s="642">
        <v>19</v>
      </c>
      <c r="J111" s="642">
        <v>122</v>
      </c>
      <c r="K111" s="642">
        <v>2318</v>
      </c>
      <c r="L111" s="642">
        <v>1.1192660550458715</v>
      </c>
      <c r="M111" s="642">
        <v>19</v>
      </c>
      <c r="N111" s="642">
        <v>156</v>
      </c>
      <c r="O111" s="642">
        <v>2964</v>
      </c>
      <c r="P111" s="656">
        <v>1.4311926605504588</v>
      </c>
      <c r="Q111" s="643">
        <v>19</v>
      </c>
    </row>
    <row r="112" spans="1:17" ht="14.4" customHeight="1" x14ac:dyDescent="0.3">
      <c r="A112" s="638" t="s">
        <v>2071</v>
      </c>
      <c r="B112" s="639" t="s">
        <v>2072</v>
      </c>
      <c r="C112" s="639" t="s">
        <v>1723</v>
      </c>
      <c r="D112" s="639" t="s">
        <v>2225</v>
      </c>
      <c r="E112" s="639" t="s">
        <v>2226</v>
      </c>
      <c r="F112" s="642">
        <v>111</v>
      </c>
      <c r="G112" s="642">
        <v>2220</v>
      </c>
      <c r="H112" s="642">
        <v>1</v>
      </c>
      <c r="I112" s="642">
        <v>20</v>
      </c>
      <c r="J112" s="642">
        <v>147</v>
      </c>
      <c r="K112" s="642">
        <v>2940</v>
      </c>
      <c r="L112" s="642">
        <v>1.3243243243243243</v>
      </c>
      <c r="M112" s="642">
        <v>20</v>
      </c>
      <c r="N112" s="642">
        <v>121</v>
      </c>
      <c r="O112" s="642">
        <v>2420</v>
      </c>
      <c r="P112" s="656">
        <v>1.0900900900900901</v>
      </c>
      <c r="Q112" s="643">
        <v>20</v>
      </c>
    </row>
    <row r="113" spans="1:17" ht="14.4" customHeight="1" x14ac:dyDescent="0.3">
      <c r="A113" s="638" t="s">
        <v>2071</v>
      </c>
      <c r="B113" s="639" t="s">
        <v>2072</v>
      </c>
      <c r="C113" s="639" t="s">
        <v>1723</v>
      </c>
      <c r="D113" s="639" t="s">
        <v>2227</v>
      </c>
      <c r="E113" s="639" t="s">
        <v>2228</v>
      </c>
      <c r="F113" s="642">
        <v>1</v>
      </c>
      <c r="G113" s="642">
        <v>185</v>
      </c>
      <c r="H113" s="642">
        <v>1</v>
      </c>
      <c r="I113" s="642">
        <v>185</v>
      </c>
      <c r="J113" s="642"/>
      <c r="K113" s="642"/>
      <c r="L113" s="642"/>
      <c r="M113" s="642"/>
      <c r="N113" s="642"/>
      <c r="O113" s="642"/>
      <c r="P113" s="656"/>
      <c r="Q113" s="643"/>
    </row>
    <row r="114" spans="1:17" ht="14.4" customHeight="1" x14ac:dyDescent="0.3">
      <c r="A114" s="638" t="s">
        <v>2071</v>
      </c>
      <c r="B114" s="639" t="s">
        <v>2072</v>
      </c>
      <c r="C114" s="639" t="s">
        <v>1723</v>
      </c>
      <c r="D114" s="639" t="s">
        <v>2229</v>
      </c>
      <c r="E114" s="639" t="s">
        <v>2230</v>
      </c>
      <c r="F114" s="642"/>
      <c r="G114" s="642"/>
      <c r="H114" s="642"/>
      <c r="I114" s="642"/>
      <c r="J114" s="642"/>
      <c r="K114" s="642"/>
      <c r="L114" s="642"/>
      <c r="M114" s="642"/>
      <c r="N114" s="642">
        <v>1</v>
      </c>
      <c r="O114" s="642">
        <v>268</v>
      </c>
      <c r="P114" s="656"/>
      <c r="Q114" s="643">
        <v>268</v>
      </c>
    </row>
    <row r="115" spans="1:17" ht="14.4" customHeight="1" x14ac:dyDescent="0.3">
      <c r="A115" s="638" t="s">
        <v>2071</v>
      </c>
      <c r="B115" s="639" t="s">
        <v>2072</v>
      </c>
      <c r="C115" s="639" t="s">
        <v>1723</v>
      </c>
      <c r="D115" s="639" t="s">
        <v>2231</v>
      </c>
      <c r="E115" s="639" t="s">
        <v>2232</v>
      </c>
      <c r="F115" s="642"/>
      <c r="G115" s="642"/>
      <c r="H115" s="642"/>
      <c r="I115" s="642"/>
      <c r="J115" s="642">
        <v>3</v>
      </c>
      <c r="K115" s="642">
        <v>486</v>
      </c>
      <c r="L115" s="642"/>
      <c r="M115" s="642">
        <v>162</v>
      </c>
      <c r="N115" s="642">
        <v>1</v>
      </c>
      <c r="O115" s="642">
        <v>163</v>
      </c>
      <c r="P115" s="656"/>
      <c r="Q115" s="643">
        <v>163</v>
      </c>
    </row>
    <row r="116" spans="1:17" ht="14.4" customHeight="1" x14ac:dyDescent="0.3">
      <c r="A116" s="638" t="s">
        <v>2071</v>
      </c>
      <c r="B116" s="639" t="s">
        <v>2072</v>
      </c>
      <c r="C116" s="639" t="s">
        <v>1723</v>
      </c>
      <c r="D116" s="639" t="s">
        <v>2233</v>
      </c>
      <c r="E116" s="639" t="s">
        <v>2234</v>
      </c>
      <c r="F116" s="642">
        <v>1</v>
      </c>
      <c r="G116" s="642">
        <v>84</v>
      </c>
      <c r="H116" s="642">
        <v>1</v>
      </c>
      <c r="I116" s="642">
        <v>84</v>
      </c>
      <c r="J116" s="642">
        <v>1</v>
      </c>
      <c r="K116" s="642">
        <v>84</v>
      </c>
      <c r="L116" s="642">
        <v>1</v>
      </c>
      <c r="M116" s="642">
        <v>84</v>
      </c>
      <c r="N116" s="642">
        <v>1</v>
      </c>
      <c r="O116" s="642">
        <v>84</v>
      </c>
      <c r="P116" s="656">
        <v>1</v>
      </c>
      <c r="Q116" s="643">
        <v>84</v>
      </c>
    </row>
    <row r="117" spans="1:17" ht="14.4" customHeight="1" x14ac:dyDescent="0.3">
      <c r="A117" s="638" t="s">
        <v>2071</v>
      </c>
      <c r="B117" s="639" t="s">
        <v>2072</v>
      </c>
      <c r="C117" s="639" t="s">
        <v>1723</v>
      </c>
      <c r="D117" s="639" t="s">
        <v>2235</v>
      </c>
      <c r="E117" s="639" t="s">
        <v>2236</v>
      </c>
      <c r="F117" s="642">
        <v>11</v>
      </c>
      <c r="G117" s="642">
        <v>7106</v>
      </c>
      <c r="H117" s="642">
        <v>1</v>
      </c>
      <c r="I117" s="642">
        <v>646</v>
      </c>
      <c r="J117" s="642">
        <v>6</v>
      </c>
      <c r="K117" s="642">
        <v>3882</v>
      </c>
      <c r="L117" s="642">
        <v>0.54629890233605405</v>
      </c>
      <c r="M117" s="642">
        <v>647</v>
      </c>
      <c r="N117" s="642">
        <v>10</v>
      </c>
      <c r="O117" s="642">
        <v>6530</v>
      </c>
      <c r="P117" s="656">
        <v>0.91894173937517587</v>
      </c>
      <c r="Q117" s="643">
        <v>653</v>
      </c>
    </row>
    <row r="118" spans="1:17" ht="14.4" customHeight="1" x14ac:dyDescent="0.3">
      <c r="A118" s="638" t="s">
        <v>2071</v>
      </c>
      <c r="B118" s="639" t="s">
        <v>2072</v>
      </c>
      <c r="C118" s="639" t="s">
        <v>1723</v>
      </c>
      <c r="D118" s="639" t="s">
        <v>2237</v>
      </c>
      <c r="E118" s="639" t="s">
        <v>2238</v>
      </c>
      <c r="F118" s="642">
        <v>2</v>
      </c>
      <c r="G118" s="642">
        <v>526</v>
      </c>
      <c r="H118" s="642">
        <v>1</v>
      </c>
      <c r="I118" s="642">
        <v>263</v>
      </c>
      <c r="J118" s="642"/>
      <c r="K118" s="642"/>
      <c r="L118" s="642"/>
      <c r="M118" s="642"/>
      <c r="N118" s="642">
        <v>1</v>
      </c>
      <c r="O118" s="642">
        <v>265</v>
      </c>
      <c r="P118" s="656">
        <v>0.50380228136882133</v>
      </c>
      <c r="Q118" s="643">
        <v>265</v>
      </c>
    </row>
    <row r="119" spans="1:17" ht="14.4" customHeight="1" x14ac:dyDescent="0.3">
      <c r="A119" s="638" t="s">
        <v>2071</v>
      </c>
      <c r="B119" s="639" t="s">
        <v>2072</v>
      </c>
      <c r="C119" s="639" t="s">
        <v>1723</v>
      </c>
      <c r="D119" s="639" t="s">
        <v>2239</v>
      </c>
      <c r="E119" s="639" t="s">
        <v>2240</v>
      </c>
      <c r="F119" s="642">
        <v>35</v>
      </c>
      <c r="G119" s="642">
        <v>2730</v>
      </c>
      <c r="H119" s="642">
        <v>1</v>
      </c>
      <c r="I119" s="642">
        <v>78</v>
      </c>
      <c r="J119" s="642">
        <v>29</v>
      </c>
      <c r="K119" s="642">
        <v>2262</v>
      </c>
      <c r="L119" s="642">
        <v>0.82857142857142863</v>
      </c>
      <c r="M119" s="642">
        <v>78</v>
      </c>
      <c r="N119" s="642">
        <v>16</v>
      </c>
      <c r="O119" s="642">
        <v>1248</v>
      </c>
      <c r="P119" s="656">
        <v>0.45714285714285713</v>
      </c>
      <c r="Q119" s="643">
        <v>78</v>
      </c>
    </row>
    <row r="120" spans="1:17" ht="14.4" customHeight="1" x14ac:dyDescent="0.3">
      <c r="A120" s="638" t="s">
        <v>2071</v>
      </c>
      <c r="B120" s="639" t="s">
        <v>2072</v>
      </c>
      <c r="C120" s="639" t="s">
        <v>1723</v>
      </c>
      <c r="D120" s="639" t="s">
        <v>2241</v>
      </c>
      <c r="E120" s="639" t="s">
        <v>2242</v>
      </c>
      <c r="F120" s="642">
        <v>10</v>
      </c>
      <c r="G120" s="642">
        <v>210</v>
      </c>
      <c r="H120" s="642">
        <v>1</v>
      </c>
      <c r="I120" s="642">
        <v>21</v>
      </c>
      <c r="J120" s="642">
        <v>9</v>
      </c>
      <c r="K120" s="642">
        <v>189</v>
      </c>
      <c r="L120" s="642">
        <v>0.9</v>
      </c>
      <c r="M120" s="642">
        <v>21</v>
      </c>
      <c r="N120" s="642">
        <v>6</v>
      </c>
      <c r="O120" s="642">
        <v>126</v>
      </c>
      <c r="P120" s="656">
        <v>0.6</v>
      </c>
      <c r="Q120" s="643">
        <v>21</v>
      </c>
    </row>
    <row r="121" spans="1:17" ht="14.4" customHeight="1" x14ac:dyDescent="0.3">
      <c r="A121" s="638" t="s">
        <v>2071</v>
      </c>
      <c r="B121" s="639" t="s">
        <v>2072</v>
      </c>
      <c r="C121" s="639" t="s">
        <v>1723</v>
      </c>
      <c r="D121" s="639" t="s">
        <v>2243</v>
      </c>
      <c r="E121" s="639" t="s">
        <v>2244</v>
      </c>
      <c r="F121" s="642">
        <v>14</v>
      </c>
      <c r="G121" s="642">
        <v>15246</v>
      </c>
      <c r="H121" s="642">
        <v>1</v>
      </c>
      <c r="I121" s="642">
        <v>1089</v>
      </c>
      <c r="J121" s="642">
        <v>4</v>
      </c>
      <c r="K121" s="642">
        <v>4356</v>
      </c>
      <c r="L121" s="642">
        <v>0.2857142857142857</v>
      </c>
      <c r="M121" s="642">
        <v>1089</v>
      </c>
      <c r="N121" s="642">
        <v>16</v>
      </c>
      <c r="O121" s="642">
        <v>17488</v>
      </c>
      <c r="P121" s="656">
        <v>1.1470549652367834</v>
      </c>
      <c r="Q121" s="643">
        <v>1093</v>
      </c>
    </row>
    <row r="122" spans="1:17" ht="14.4" customHeight="1" x14ac:dyDescent="0.3">
      <c r="A122" s="638" t="s">
        <v>2071</v>
      </c>
      <c r="B122" s="639" t="s">
        <v>2072</v>
      </c>
      <c r="C122" s="639" t="s">
        <v>1723</v>
      </c>
      <c r="D122" s="639" t="s">
        <v>2245</v>
      </c>
      <c r="E122" s="639" t="s">
        <v>2246</v>
      </c>
      <c r="F122" s="642">
        <v>5</v>
      </c>
      <c r="G122" s="642">
        <v>110</v>
      </c>
      <c r="H122" s="642">
        <v>1</v>
      </c>
      <c r="I122" s="642">
        <v>22</v>
      </c>
      <c r="J122" s="642">
        <v>5</v>
      </c>
      <c r="K122" s="642">
        <v>110</v>
      </c>
      <c r="L122" s="642">
        <v>1</v>
      </c>
      <c r="M122" s="642">
        <v>22</v>
      </c>
      <c r="N122" s="642">
        <v>2</v>
      </c>
      <c r="O122" s="642">
        <v>44</v>
      </c>
      <c r="P122" s="656">
        <v>0.4</v>
      </c>
      <c r="Q122" s="643">
        <v>22</v>
      </c>
    </row>
    <row r="123" spans="1:17" ht="14.4" customHeight="1" x14ac:dyDescent="0.3">
      <c r="A123" s="638" t="s">
        <v>2071</v>
      </c>
      <c r="B123" s="639" t="s">
        <v>2072</v>
      </c>
      <c r="C123" s="639" t="s">
        <v>1723</v>
      </c>
      <c r="D123" s="639" t="s">
        <v>2247</v>
      </c>
      <c r="E123" s="639" t="s">
        <v>2248</v>
      </c>
      <c r="F123" s="642">
        <v>8</v>
      </c>
      <c r="G123" s="642">
        <v>4552</v>
      </c>
      <c r="H123" s="642">
        <v>1</v>
      </c>
      <c r="I123" s="642">
        <v>569</v>
      </c>
      <c r="J123" s="642">
        <v>3</v>
      </c>
      <c r="K123" s="642">
        <v>1707</v>
      </c>
      <c r="L123" s="642">
        <v>0.375</v>
      </c>
      <c r="M123" s="642">
        <v>569</v>
      </c>
      <c r="N123" s="642">
        <v>8</v>
      </c>
      <c r="O123" s="642">
        <v>4552</v>
      </c>
      <c r="P123" s="656">
        <v>1</v>
      </c>
      <c r="Q123" s="643">
        <v>569</v>
      </c>
    </row>
    <row r="124" spans="1:17" ht="14.4" customHeight="1" x14ac:dyDescent="0.3">
      <c r="A124" s="638" t="s">
        <v>2071</v>
      </c>
      <c r="B124" s="639" t="s">
        <v>2072</v>
      </c>
      <c r="C124" s="639" t="s">
        <v>1723</v>
      </c>
      <c r="D124" s="639" t="s">
        <v>2249</v>
      </c>
      <c r="E124" s="639" t="s">
        <v>2250</v>
      </c>
      <c r="F124" s="642"/>
      <c r="G124" s="642"/>
      <c r="H124" s="642"/>
      <c r="I124" s="642"/>
      <c r="J124" s="642">
        <v>1</v>
      </c>
      <c r="K124" s="642">
        <v>171</v>
      </c>
      <c r="L124" s="642"/>
      <c r="M124" s="642">
        <v>171</v>
      </c>
      <c r="N124" s="642">
        <v>1</v>
      </c>
      <c r="O124" s="642">
        <v>172</v>
      </c>
      <c r="P124" s="656"/>
      <c r="Q124" s="643">
        <v>172</v>
      </c>
    </row>
    <row r="125" spans="1:17" ht="14.4" customHeight="1" x14ac:dyDescent="0.3">
      <c r="A125" s="638" t="s">
        <v>2071</v>
      </c>
      <c r="B125" s="639" t="s">
        <v>2072</v>
      </c>
      <c r="C125" s="639" t="s">
        <v>1723</v>
      </c>
      <c r="D125" s="639" t="s">
        <v>2251</v>
      </c>
      <c r="E125" s="639" t="s">
        <v>2252</v>
      </c>
      <c r="F125" s="642">
        <v>12</v>
      </c>
      <c r="G125" s="642">
        <v>6834</v>
      </c>
      <c r="H125" s="642">
        <v>1</v>
      </c>
      <c r="I125" s="642">
        <v>569.5</v>
      </c>
      <c r="J125" s="642">
        <v>38</v>
      </c>
      <c r="K125" s="642">
        <v>21736</v>
      </c>
      <c r="L125" s="642">
        <v>3.1805677494878548</v>
      </c>
      <c r="M125" s="642">
        <v>572</v>
      </c>
      <c r="N125" s="642">
        <v>25</v>
      </c>
      <c r="O125" s="642">
        <v>14475</v>
      </c>
      <c r="P125" s="656">
        <v>2.118086040386304</v>
      </c>
      <c r="Q125" s="643">
        <v>579</v>
      </c>
    </row>
    <row r="126" spans="1:17" ht="14.4" customHeight="1" x14ac:dyDescent="0.3">
      <c r="A126" s="638" t="s">
        <v>2071</v>
      </c>
      <c r="B126" s="639" t="s">
        <v>2072</v>
      </c>
      <c r="C126" s="639" t="s">
        <v>1723</v>
      </c>
      <c r="D126" s="639" t="s">
        <v>2026</v>
      </c>
      <c r="E126" s="639" t="s">
        <v>2027</v>
      </c>
      <c r="F126" s="642">
        <v>12</v>
      </c>
      <c r="G126" s="642">
        <v>12068</v>
      </c>
      <c r="H126" s="642">
        <v>1</v>
      </c>
      <c r="I126" s="642">
        <v>1005.6666666666666</v>
      </c>
      <c r="J126" s="642">
        <v>38</v>
      </c>
      <c r="K126" s="642">
        <v>38304</v>
      </c>
      <c r="L126" s="642">
        <v>3.1740139211136893</v>
      </c>
      <c r="M126" s="642">
        <v>1008</v>
      </c>
      <c r="N126" s="642">
        <v>25</v>
      </c>
      <c r="O126" s="642">
        <v>25275</v>
      </c>
      <c r="P126" s="656">
        <v>2.0943818362611868</v>
      </c>
      <c r="Q126" s="643">
        <v>1011</v>
      </c>
    </row>
    <row r="127" spans="1:17" ht="14.4" customHeight="1" x14ac:dyDescent="0.3">
      <c r="A127" s="638" t="s">
        <v>2071</v>
      </c>
      <c r="B127" s="639" t="s">
        <v>2072</v>
      </c>
      <c r="C127" s="639" t="s">
        <v>1723</v>
      </c>
      <c r="D127" s="639" t="s">
        <v>2253</v>
      </c>
      <c r="E127" s="639" t="s">
        <v>2254</v>
      </c>
      <c r="F127" s="642">
        <v>1</v>
      </c>
      <c r="G127" s="642">
        <v>191</v>
      </c>
      <c r="H127" s="642">
        <v>1</v>
      </c>
      <c r="I127" s="642">
        <v>191</v>
      </c>
      <c r="J127" s="642"/>
      <c r="K127" s="642"/>
      <c r="L127" s="642"/>
      <c r="M127" s="642"/>
      <c r="N127" s="642">
        <v>2</v>
      </c>
      <c r="O127" s="642">
        <v>384</v>
      </c>
      <c r="P127" s="656">
        <v>2.0104712041884816</v>
      </c>
      <c r="Q127" s="643">
        <v>192</v>
      </c>
    </row>
    <row r="128" spans="1:17" ht="14.4" customHeight="1" x14ac:dyDescent="0.3">
      <c r="A128" s="638" t="s">
        <v>2071</v>
      </c>
      <c r="B128" s="639" t="s">
        <v>2072</v>
      </c>
      <c r="C128" s="639" t="s">
        <v>1723</v>
      </c>
      <c r="D128" s="639" t="s">
        <v>2255</v>
      </c>
      <c r="E128" s="639" t="s">
        <v>2256</v>
      </c>
      <c r="F128" s="642">
        <v>6</v>
      </c>
      <c r="G128" s="642">
        <v>9910</v>
      </c>
      <c r="H128" s="642">
        <v>1</v>
      </c>
      <c r="I128" s="642">
        <v>1651.6666666666667</v>
      </c>
      <c r="J128" s="642">
        <v>1</v>
      </c>
      <c r="K128" s="642">
        <v>1657</v>
      </c>
      <c r="L128" s="642">
        <v>0.16720484359233098</v>
      </c>
      <c r="M128" s="642">
        <v>1657</v>
      </c>
      <c r="N128" s="642">
        <v>3</v>
      </c>
      <c r="O128" s="642">
        <v>5064</v>
      </c>
      <c r="P128" s="656">
        <v>0.5109989909182644</v>
      </c>
      <c r="Q128" s="643">
        <v>1688</v>
      </c>
    </row>
    <row r="129" spans="1:17" ht="14.4" customHeight="1" x14ac:dyDescent="0.3">
      <c r="A129" s="638" t="s">
        <v>2071</v>
      </c>
      <c r="B129" s="639" t="s">
        <v>2072</v>
      </c>
      <c r="C129" s="639" t="s">
        <v>1723</v>
      </c>
      <c r="D129" s="639" t="s">
        <v>2257</v>
      </c>
      <c r="E129" s="639" t="s">
        <v>2258</v>
      </c>
      <c r="F129" s="642">
        <v>1</v>
      </c>
      <c r="G129" s="642">
        <v>127</v>
      </c>
      <c r="H129" s="642">
        <v>1</v>
      </c>
      <c r="I129" s="642">
        <v>127</v>
      </c>
      <c r="J129" s="642">
        <v>1</v>
      </c>
      <c r="K129" s="642">
        <v>127</v>
      </c>
      <c r="L129" s="642">
        <v>1</v>
      </c>
      <c r="M129" s="642">
        <v>127</v>
      </c>
      <c r="N129" s="642">
        <v>1</v>
      </c>
      <c r="O129" s="642">
        <v>127</v>
      </c>
      <c r="P129" s="656">
        <v>1</v>
      </c>
      <c r="Q129" s="643">
        <v>127</v>
      </c>
    </row>
    <row r="130" spans="1:17" ht="14.4" customHeight="1" x14ac:dyDescent="0.3">
      <c r="A130" s="638" t="s">
        <v>2071</v>
      </c>
      <c r="B130" s="639" t="s">
        <v>2072</v>
      </c>
      <c r="C130" s="639" t="s">
        <v>1723</v>
      </c>
      <c r="D130" s="639" t="s">
        <v>2259</v>
      </c>
      <c r="E130" s="639" t="s">
        <v>2260</v>
      </c>
      <c r="F130" s="642"/>
      <c r="G130" s="642"/>
      <c r="H130" s="642"/>
      <c r="I130" s="642"/>
      <c r="J130" s="642">
        <v>1</v>
      </c>
      <c r="K130" s="642">
        <v>264</v>
      </c>
      <c r="L130" s="642"/>
      <c r="M130" s="642">
        <v>264</v>
      </c>
      <c r="N130" s="642"/>
      <c r="O130" s="642"/>
      <c r="P130" s="656"/>
      <c r="Q130" s="643"/>
    </row>
    <row r="131" spans="1:17" ht="14.4" customHeight="1" x14ac:dyDescent="0.3">
      <c r="A131" s="638" t="s">
        <v>2071</v>
      </c>
      <c r="B131" s="639" t="s">
        <v>2072</v>
      </c>
      <c r="C131" s="639" t="s">
        <v>1723</v>
      </c>
      <c r="D131" s="639" t="s">
        <v>2261</v>
      </c>
      <c r="E131" s="639" t="s">
        <v>2262</v>
      </c>
      <c r="F131" s="642">
        <v>12</v>
      </c>
      <c r="G131" s="642">
        <v>276</v>
      </c>
      <c r="H131" s="642">
        <v>1</v>
      </c>
      <c r="I131" s="642">
        <v>23</v>
      </c>
      <c r="J131" s="642">
        <v>9</v>
      </c>
      <c r="K131" s="642">
        <v>207</v>
      </c>
      <c r="L131" s="642">
        <v>0.75</v>
      </c>
      <c r="M131" s="642">
        <v>23</v>
      </c>
      <c r="N131" s="642">
        <v>5</v>
      </c>
      <c r="O131" s="642">
        <v>115</v>
      </c>
      <c r="P131" s="656">
        <v>0.41666666666666669</v>
      </c>
      <c r="Q131" s="643">
        <v>23</v>
      </c>
    </row>
    <row r="132" spans="1:17" ht="14.4" customHeight="1" x14ac:dyDescent="0.3">
      <c r="A132" s="638" t="s">
        <v>2071</v>
      </c>
      <c r="B132" s="639" t="s">
        <v>2072</v>
      </c>
      <c r="C132" s="639" t="s">
        <v>1723</v>
      </c>
      <c r="D132" s="639" t="s">
        <v>2263</v>
      </c>
      <c r="E132" s="639" t="s">
        <v>2264</v>
      </c>
      <c r="F132" s="642"/>
      <c r="G132" s="642"/>
      <c r="H132" s="642"/>
      <c r="I132" s="642"/>
      <c r="J132" s="642">
        <v>1</v>
      </c>
      <c r="K132" s="642">
        <v>17</v>
      </c>
      <c r="L132" s="642"/>
      <c r="M132" s="642">
        <v>17</v>
      </c>
      <c r="N132" s="642"/>
      <c r="O132" s="642"/>
      <c r="P132" s="656"/>
      <c r="Q132" s="643"/>
    </row>
    <row r="133" spans="1:17" ht="14.4" customHeight="1" x14ac:dyDescent="0.3">
      <c r="A133" s="638" t="s">
        <v>2071</v>
      </c>
      <c r="B133" s="639" t="s">
        <v>2072</v>
      </c>
      <c r="C133" s="639" t="s">
        <v>1723</v>
      </c>
      <c r="D133" s="639" t="s">
        <v>2265</v>
      </c>
      <c r="E133" s="639" t="s">
        <v>2266</v>
      </c>
      <c r="F133" s="642"/>
      <c r="G133" s="642"/>
      <c r="H133" s="642"/>
      <c r="I133" s="642"/>
      <c r="J133" s="642">
        <v>1</v>
      </c>
      <c r="K133" s="642">
        <v>371</v>
      </c>
      <c r="L133" s="642"/>
      <c r="M133" s="642">
        <v>371</v>
      </c>
      <c r="N133" s="642">
        <v>3</v>
      </c>
      <c r="O133" s="642">
        <v>1119</v>
      </c>
      <c r="P133" s="656"/>
      <c r="Q133" s="643">
        <v>373</v>
      </c>
    </row>
    <row r="134" spans="1:17" ht="14.4" customHeight="1" x14ac:dyDescent="0.3">
      <c r="A134" s="638" t="s">
        <v>2071</v>
      </c>
      <c r="B134" s="639" t="s">
        <v>2072</v>
      </c>
      <c r="C134" s="639" t="s">
        <v>1723</v>
      </c>
      <c r="D134" s="639" t="s">
        <v>2267</v>
      </c>
      <c r="E134" s="639" t="s">
        <v>2268</v>
      </c>
      <c r="F134" s="642">
        <v>21</v>
      </c>
      <c r="G134" s="642">
        <v>945</v>
      </c>
      <c r="H134" s="642">
        <v>1</v>
      </c>
      <c r="I134" s="642">
        <v>45</v>
      </c>
      <c r="J134" s="642">
        <v>26</v>
      </c>
      <c r="K134" s="642">
        <v>1170</v>
      </c>
      <c r="L134" s="642">
        <v>1.2380952380952381</v>
      </c>
      <c r="M134" s="642">
        <v>45</v>
      </c>
      <c r="N134" s="642">
        <v>14</v>
      </c>
      <c r="O134" s="642">
        <v>630</v>
      </c>
      <c r="P134" s="656">
        <v>0.66666666666666663</v>
      </c>
      <c r="Q134" s="643">
        <v>45</v>
      </c>
    </row>
    <row r="135" spans="1:17" ht="14.4" customHeight="1" x14ac:dyDescent="0.3">
      <c r="A135" s="638" t="s">
        <v>2071</v>
      </c>
      <c r="B135" s="639" t="s">
        <v>2072</v>
      </c>
      <c r="C135" s="639" t="s">
        <v>1723</v>
      </c>
      <c r="D135" s="639" t="s">
        <v>2269</v>
      </c>
      <c r="E135" s="639" t="s">
        <v>2128</v>
      </c>
      <c r="F135" s="642">
        <v>7</v>
      </c>
      <c r="G135" s="642">
        <v>1302</v>
      </c>
      <c r="H135" s="642">
        <v>1</v>
      </c>
      <c r="I135" s="642">
        <v>186</v>
      </c>
      <c r="J135" s="642">
        <v>3</v>
      </c>
      <c r="K135" s="642">
        <v>558</v>
      </c>
      <c r="L135" s="642">
        <v>0.42857142857142855</v>
      </c>
      <c r="M135" s="642">
        <v>186</v>
      </c>
      <c r="N135" s="642">
        <v>6</v>
      </c>
      <c r="O135" s="642">
        <v>1122</v>
      </c>
      <c r="P135" s="656">
        <v>0.86175115207373276</v>
      </c>
      <c r="Q135" s="643">
        <v>187</v>
      </c>
    </row>
    <row r="136" spans="1:17" ht="14.4" customHeight="1" x14ac:dyDescent="0.3">
      <c r="A136" s="638" t="s">
        <v>2071</v>
      </c>
      <c r="B136" s="639" t="s">
        <v>2072</v>
      </c>
      <c r="C136" s="639" t="s">
        <v>1723</v>
      </c>
      <c r="D136" s="639" t="s">
        <v>2270</v>
      </c>
      <c r="E136" s="639" t="s">
        <v>2271</v>
      </c>
      <c r="F136" s="642">
        <v>3</v>
      </c>
      <c r="G136" s="642">
        <v>435</v>
      </c>
      <c r="H136" s="642">
        <v>1</v>
      </c>
      <c r="I136" s="642">
        <v>145</v>
      </c>
      <c r="J136" s="642"/>
      <c r="K136" s="642"/>
      <c r="L136" s="642"/>
      <c r="M136" s="642"/>
      <c r="N136" s="642">
        <v>1</v>
      </c>
      <c r="O136" s="642">
        <v>146</v>
      </c>
      <c r="P136" s="656">
        <v>0.335632183908046</v>
      </c>
      <c r="Q136" s="643">
        <v>146</v>
      </c>
    </row>
    <row r="137" spans="1:17" ht="14.4" customHeight="1" x14ac:dyDescent="0.3">
      <c r="A137" s="638" t="s">
        <v>2071</v>
      </c>
      <c r="B137" s="639" t="s">
        <v>2072</v>
      </c>
      <c r="C137" s="639" t="s">
        <v>1723</v>
      </c>
      <c r="D137" s="639" t="s">
        <v>2272</v>
      </c>
      <c r="E137" s="639" t="s">
        <v>2273</v>
      </c>
      <c r="F137" s="642">
        <v>100</v>
      </c>
      <c r="G137" s="642">
        <v>4600</v>
      </c>
      <c r="H137" s="642">
        <v>1</v>
      </c>
      <c r="I137" s="642">
        <v>46</v>
      </c>
      <c r="J137" s="642">
        <v>18</v>
      </c>
      <c r="K137" s="642">
        <v>828</v>
      </c>
      <c r="L137" s="642">
        <v>0.18</v>
      </c>
      <c r="M137" s="642">
        <v>46</v>
      </c>
      <c r="N137" s="642">
        <v>6</v>
      </c>
      <c r="O137" s="642">
        <v>276</v>
      </c>
      <c r="P137" s="656">
        <v>0.06</v>
      </c>
      <c r="Q137" s="643">
        <v>46</v>
      </c>
    </row>
    <row r="138" spans="1:17" ht="14.4" customHeight="1" x14ac:dyDescent="0.3">
      <c r="A138" s="638" t="s">
        <v>2071</v>
      </c>
      <c r="B138" s="639" t="s">
        <v>2072</v>
      </c>
      <c r="C138" s="639" t="s">
        <v>1723</v>
      </c>
      <c r="D138" s="639" t="s">
        <v>2274</v>
      </c>
      <c r="E138" s="639" t="s">
        <v>2275</v>
      </c>
      <c r="F138" s="642">
        <v>2</v>
      </c>
      <c r="G138" s="642">
        <v>578</v>
      </c>
      <c r="H138" s="642">
        <v>1</v>
      </c>
      <c r="I138" s="642">
        <v>289</v>
      </c>
      <c r="J138" s="642"/>
      <c r="K138" s="642"/>
      <c r="L138" s="642"/>
      <c r="M138" s="642"/>
      <c r="N138" s="642">
        <v>4</v>
      </c>
      <c r="O138" s="642">
        <v>1180</v>
      </c>
      <c r="P138" s="656">
        <v>2.0415224913494812</v>
      </c>
      <c r="Q138" s="643">
        <v>295</v>
      </c>
    </row>
    <row r="139" spans="1:17" ht="14.4" customHeight="1" x14ac:dyDescent="0.3">
      <c r="A139" s="638" t="s">
        <v>2071</v>
      </c>
      <c r="B139" s="639" t="s">
        <v>2072</v>
      </c>
      <c r="C139" s="639" t="s">
        <v>1723</v>
      </c>
      <c r="D139" s="639" t="s">
        <v>2276</v>
      </c>
      <c r="E139" s="639" t="s">
        <v>2277</v>
      </c>
      <c r="F139" s="642">
        <v>3</v>
      </c>
      <c r="G139" s="642">
        <v>90</v>
      </c>
      <c r="H139" s="642">
        <v>1</v>
      </c>
      <c r="I139" s="642">
        <v>30</v>
      </c>
      <c r="J139" s="642">
        <v>2</v>
      </c>
      <c r="K139" s="642">
        <v>62</v>
      </c>
      <c r="L139" s="642">
        <v>0.68888888888888888</v>
      </c>
      <c r="M139" s="642">
        <v>31</v>
      </c>
      <c r="N139" s="642">
        <v>3</v>
      </c>
      <c r="O139" s="642">
        <v>93</v>
      </c>
      <c r="P139" s="656">
        <v>1.0333333333333334</v>
      </c>
      <c r="Q139" s="643">
        <v>31</v>
      </c>
    </row>
    <row r="140" spans="1:17" ht="14.4" customHeight="1" x14ac:dyDescent="0.3">
      <c r="A140" s="638" t="s">
        <v>2071</v>
      </c>
      <c r="B140" s="639" t="s">
        <v>2072</v>
      </c>
      <c r="C140" s="639" t="s">
        <v>1723</v>
      </c>
      <c r="D140" s="639" t="s">
        <v>2278</v>
      </c>
      <c r="E140" s="639" t="s">
        <v>2279</v>
      </c>
      <c r="F140" s="642">
        <v>4</v>
      </c>
      <c r="G140" s="642">
        <v>2228</v>
      </c>
      <c r="H140" s="642">
        <v>1</v>
      </c>
      <c r="I140" s="642">
        <v>557</v>
      </c>
      <c r="J140" s="642"/>
      <c r="K140" s="642"/>
      <c r="L140" s="642"/>
      <c r="M140" s="642"/>
      <c r="N140" s="642">
        <v>3</v>
      </c>
      <c r="O140" s="642">
        <v>1680</v>
      </c>
      <c r="P140" s="656">
        <v>0.75403949730700182</v>
      </c>
      <c r="Q140" s="643">
        <v>560</v>
      </c>
    </row>
    <row r="141" spans="1:17" ht="14.4" customHeight="1" x14ac:dyDescent="0.3">
      <c r="A141" s="638" t="s">
        <v>2071</v>
      </c>
      <c r="B141" s="639" t="s">
        <v>2072</v>
      </c>
      <c r="C141" s="639" t="s">
        <v>1723</v>
      </c>
      <c r="D141" s="639" t="s">
        <v>2280</v>
      </c>
      <c r="E141" s="639" t="s">
        <v>2281</v>
      </c>
      <c r="F141" s="642">
        <v>4</v>
      </c>
      <c r="G141" s="642">
        <v>731</v>
      </c>
      <c r="H141" s="642">
        <v>1</v>
      </c>
      <c r="I141" s="642">
        <v>182.75</v>
      </c>
      <c r="J141" s="642">
        <v>1</v>
      </c>
      <c r="K141" s="642">
        <v>183</v>
      </c>
      <c r="L141" s="642">
        <v>0.2503419972640219</v>
      </c>
      <c r="M141" s="642">
        <v>183</v>
      </c>
      <c r="N141" s="642">
        <v>1</v>
      </c>
      <c r="O141" s="642">
        <v>184</v>
      </c>
      <c r="P141" s="656">
        <v>0.25170998632010944</v>
      </c>
      <c r="Q141" s="643">
        <v>184</v>
      </c>
    </row>
    <row r="142" spans="1:17" ht="14.4" customHeight="1" x14ac:dyDescent="0.3">
      <c r="A142" s="638" t="s">
        <v>2071</v>
      </c>
      <c r="B142" s="639" t="s">
        <v>2072</v>
      </c>
      <c r="C142" s="639" t="s">
        <v>1723</v>
      </c>
      <c r="D142" s="639" t="s">
        <v>2282</v>
      </c>
      <c r="E142" s="639" t="s">
        <v>2283</v>
      </c>
      <c r="F142" s="642">
        <v>5</v>
      </c>
      <c r="G142" s="642">
        <v>1455</v>
      </c>
      <c r="H142" s="642">
        <v>1</v>
      </c>
      <c r="I142" s="642">
        <v>291</v>
      </c>
      <c r="J142" s="642">
        <v>3</v>
      </c>
      <c r="K142" s="642">
        <v>876</v>
      </c>
      <c r="L142" s="642">
        <v>0.60206185567010306</v>
      </c>
      <c r="M142" s="642">
        <v>292</v>
      </c>
      <c r="N142" s="642"/>
      <c r="O142" s="642"/>
      <c r="P142" s="656"/>
      <c r="Q142" s="643"/>
    </row>
    <row r="143" spans="1:17" ht="14.4" customHeight="1" x14ac:dyDescent="0.3">
      <c r="A143" s="638" t="s">
        <v>2071</v>
      </c>
      <c r="B143" s="639" t="s">
        <v>2072</v>
      </c>
      <c r="C143" s="639" t="s">
        <v>1723</v>
      </c>
      <c r="D143" s="639" t="s">
        <v>2284</v>
      </c>
      <c r="E143" s="639" t="s">
        <v>2285</v>
      </c>
      <c r="F143" s="642"/>
      <c r="G143" s="642"/>
      <c r="H143" s="642"/>
      <c r="I143" s="642"/>
      <c r="J143" s="642">
        <v>1</v>
      </c>
      <c r="K143" s="642">
        <v>354</v>
      </c>
      <c r="L143" s="642"/>
      <c r="M143" s="642">
        <v>354</v>
      </c>
      <c r="N143" s="642"/>
      <c r="O143" s="642"/>
      <c r="P143" s="656"/>
      <c r="Q143" s="643"/>
    </row>
    <row r="144" spans="1:17" ht="14.4" customHeight="1" x14ac:dyDescent="0.3">
      <c r="A144" s="638" t="s">
        <v>2071</v>
      </c>
      <c r="B144" s="639" t="s">
        <v>2072</v>
      </c>
      <c r="C144" s="639" t="s">
        <v>1723</v>
      </c>
      <c r="D144" s="639" t="s">
        <v>2286</v>
      </c>
      <c r="E144" s="639" t="s">
        <v>2287</v>
      </c>
      <c r="F144" s="642"/>
      <c r="G144" s="642"/>
      <c r="H144" s="642"/>
      <c r="I144" s="642"/>
      <c r="J144" s="642">
        <v>2</v>
      </c>
      <c r="K144" s="642">
        <v>812</v>
      </c>
      <c r="L144" s="642"/>
      <c r="M144" s="642">
        <v>406</v>
      </c>
      <c r="N144" s="642">
        <v>2</v>
      </c>
      <c r="O144" s="642">
        <v>814</v>
      </c>
      <c r="P144" s="656"/>
      <c r="Q144" s="643">
        <v>407</v>
      </c>
    </row>
    <row r="145" spans="1:17" ht="14.4" customHeight="1" x14ac:dyDescent="0.3">
      <c r="A145" s="638" t="s">
        <v>2071</v>
      </c>
      <c r="B145" s="639" t="s">
        <v>2072</v>
      </c>
      <c r="C145" s="639" t="s">
        <v>1723</v>
      </c>
      <c r="D145" s="639" t="s">
        <v>2288</v>
      </c>
      <c r="E145" s="639" t="s">
        <v>2289</v>
      </c>
      <c r="F145" s="642"/>
      <c r="G145" s="642"/>
      <c r="H145" s="642"/>
      <c r="I145" s="642"/>
      <c r="J145" s="642">
        <v>1</v>
      </c>
      <c r="K145" s="642">
        <v>189</v>
      </c>
      <c r="L145" s="642"/>
      <c r="M145" s="642">
        <v>189</v>
      </c>
      <c r="N145" s="642">
        <v>3</v>
      </c>
      <c r="O145" s="642">
        <v>570</v>
      </c>
      <c r="P145" s="656"/>
      <c r="Q145" s="643">
        <v>190</v>
      </c>
    </row>
    <row r="146" spans="1:17" ht="14.4" customHeight="1" x14ac:dyDescent="0.3">
      <c r="A146" s="638" t="s">
        <v>2071</v>
      </c>
      <c r="B146" s="639" t="s">
        <v>2072</v>
      </c>
      <c r="C146" s="639" t="s">
        <v>1723</v>
      </c>
      <c r="D146" s="639" t="s">
        <v>2290</v>
      </c>
      <c r="E146" s="639" t="s">
        <v>2291</v>
      </c>
      <c r="F146" s="642"/>
      <c r="G146" s="642"/>
      <c r="H146" s="642"/>
      <c r="I146" s="642"/>
      <c r="J146" s="642">
        <v>2</v>
      </c>
      <c r="K146" s="642">
        <v>582</v>
      </c>
      <c r="L146" s="642"/>
      <c r="M146" s="642">
        <v>291</v>
      </c>
      <c r="N146" s="642"/>
      <c r="O146" s="642"/>
      <c r="P146" s="656"/>
      <c r="Q146" s="643"/>
    </row>
    <row r="147" spans="1:17" ht="14.4" customHeight="1" x14ac:dyDescent="0.3">
      <c r="A147" s="638" t="s">
        <v>2071</v>
      </c>
      <c r="B147" s="639" t="s">
        <v>2072</v>
      </c>
      <c r="C147" s="639" t="s">
        <v>1723</v>
      </c>
      <c r="D147" s="639" t="s">
        <v>2292</v>
      </c>
      <c r="E147" s="639" t="s">
        <v>2293</v>
      </c>
      <c r="F147" s="642"/>
      <c r="G147" s="642"/>
      <c r="H147" s="642"/>
      <c r="I147" s="642"/>
      <c r="J147" s="642"/>
      <c r="K147" s="642"/>
      <c r="L147" s="642"/>
      <c r="M147" s="642"/>
      <c r="N147" s="642">
        <v>1</v>
      </c>
      <c r="O147" s="642">
        <v>133</v>
      </c>
      <c r="P147" s="656"/>
      <c r="Q147" s="643">
        <v>133</v>
      </c>
    </row>
    <row r="148" spans="1:17" ht="14.4" customHeight="1" x14ac:dyDescent="0.3">
      <c r="A148" s="638" t="s">
        <v>2071</v>
      </c>
      <c r="B148" s="639" t="s">
        <v>2072</v>
      </c>
      <c r="C148" s="639" t="s">
        <v>1723</v>
      </c>
      <c r="D148" s="639" t="s">
        <v>2294</v>
      </c>
      <c r="E148" s="639" t="s">
        <v>2295</v>
      </c>
      <c r="F148" s="642"/>
      <c r="G148" s="642"/>
      <c r="H148" s="642"/>
      <c r="I148" s="642"/>
      <c r="J148" s="642"/>
      <c r="K148" s="642"/>
      <c r="L148" s="642"/>
      <c r="M148" s="642"/>
      <c r="N148" s="642">
        <v>157</v>
      </c>
      <c r="O148" s="642">
        <v>5809</v>
      </c>
      <c r="P148" s="656"/>
      <c r="Q148" s="643">
        <v>37</v>
      </c>
    </row>
    <row r="149" spans="1:17" ht="14.4" customHeight="1" x14ac:dyDescent="0.3">
      <c r="A149" s="638" t="s">
        <v>2071</v>
      </c>
      <c r="B149" s="639" t="s">
        <v>2072</v>
      </c>
      <c r="C149" s="639" t="s">
        <v>1723</v>
      </c>
      <c r="D149" s="639" t="s">
        <v>2296</v>
      </c>
      <c r="E149" s="639" t="s">
        <v>2297</v>
      </c>
      <c r="F149" s="642"/>
      <c r="G149" s="642"/>
      <c r="H149" s="642"/>
      <c r="I149" s="642"/>
      <c r="J149" s="642"/>
      <c r="K149" s="642"/>
      <c r="L149" s="642"/>
      <c r="M149" s="642"/>
      <c r="N149" s="642">
        <v>6</v>
      </c>
      <c r="O149" s="642">
        <v>1038</v>
      </c>
      <c r="P149" s="656"/>
      <c r="Q149" s="643">
        <v>173</v>
      </c>
    </row>
    <row r="150" spans="1:17" ht="14.4" customHeight="1" x14ac:dyDescent="0.3">
      <c r="A150" s="638" t="s">
        <v>2071</v>
      </c>
      <c r="B150" s="639" t="s">
        <v>2072</v>
      </c>
      <c r="C150" s="639" t="s">
        <v>1723</v>
      </c>
      <c r="D150" s="639" t="s">
        <v>2298</v>
      </c>
      <c r="E150" s="639" t="s">
        <v>2299</v>
      </c>
      <c r="F150" s="642"/>
      <c r="G150" s="642"/>
      <c r="H150" s="642"/>
      <c r="I150" s="642"/>
      <c r="J150" s="642"/>
      <c r="K150" s="642"/>
      <c r="L150" s="642"/>
      <c r="M150" s="642"/>
      <c r="N150" s="642">
        <v>13</v>
      </c>
      <c r="O150" s="642">
        <v>10842</v>
      </c>
      <c r="P150" s="656"/>
      <c r="Q150" s="643">
        <v>834</v>
      </c>
    </row>
    <row r="151" spans="1:17" ht="14.4" customHeight="1" x14ac:dyDescent="0.3">
      <c r="A151" s="638" t="s">
        <v>2071</v>
      </c>
      <c r="B151" s="639" t="s">
        <v>2072</v>
      </c>
      <c r="C151" s="639" t="s">
        <v>1723</v>
      </c>
      <c r="D151" s="639" t="s">
        <v>2300</v>
      </c>
      <c r="E151" s="639" t="s">
        <v>2301</v>
      </c>
      <c r="F151" s="642"/>
      <c r="G151" s="642"/>
      <c r="H151" s="642"/>
      <c r="I151" s="642"/>
      <c r="J151" s="642"/>
      <c r="K151" s="642"/>
      <c r="L151" s="642"/>
      <c r="M151" s="642"/>
      <c r="N151" s="642">
        <v>390</v>
      </c>
      <c r="O151" s="642">
        <v>36270</v>
      </c>
      <c r="P151" s="656"/>
      <c r="Q151" s="643">
        <v>93</v>
      </c>
    </row>
    <row r="152" spans="1:17" ht="14.4" customHeight="1" x14ac:dyDescent="0.3">
      <c r="A152" s="638" t="s">
        <v>2071</v>
      </c>
      <c r="B152" s="639" t="s">
        <v>2302</v>
      </c>
      <c r="C152" s="639" t="s">
        <v>1723</v>
      </c>
      <c r="D152" s="639" t="s">
        <v>2303</v>
      </c>
      <c r="E152" s="639" t="s">
        <v>2304</v>
      </c>
      <c r="F152" s="642">
        <v>285</v>
      </c>
      <c r="G152" s="642">
        <v>295319</v>
      </c>
      <c r="H152" s="642">
        <v>1</v>
      </c>
      <c r="I152" s="642">
        <v>1036.2070175438596</v>
      </c>
      <c r="J152" s="642">
        <v>285</v>
      </c>
      <c r="K152" s="642">
        <v>295545</v>
      </c>
      <c r="L152" s="642">
        <v>1.0007652741611612</v>
      </c>
      <c r="M152" s="642">
        <v>1037</v>
      </c>
      <c r="N152" s="642">
        <v>322</v>
      </c>
      <c r="O152" s="642">
        <v>334236</v>
      </c>
      <c r="P152" s="656">
        <v>1.1317795333182084</v>
      </c>
      <c r="Q152" s="643">
        <v>1038</v>
      </c>
    </row>
    <row r="153" spans="1:17" ht="14.4" customHeight="1" x14ac:dyDescent="0.3">
      <c r="A153" s="638" t="s">
        <v>2071</v>
      </c>
      <c r="B153" s="639" t="s">
        <v>2302</v>
      </c>
      <c r="C153" s="639" t="s">
        <v>1723</v>
      </c>
      <c r="D153" s="639" t="s">
        <v>2173</v>
      </c>
      <c r="E153" s="639" t="s">
        <v>2174</v>
      </c>
      <c r="F153" s="642"/>
      <c r="G153" s="642"/>
      <c r="H153" s="642"/>
      <c r="I153" s="642"/>
      <c r="J153" s="642"/>
      <c r="K153" s="642"/>
      <c r="L153" s="642"/>
      <c r="M153" s="642"/>
      <c r="N153" s="642">
        <v>4</v>
      </c>
      <c r="O153" s="642">
        <v>596</v>
      </c>
      <c r="P153" s="656"/>
      <c r="Q153" s="643">
        <v>149</v>
      </c>
    </row>
    <row r="154" spans="1:17" ht="14.4" customHeight="1" x14ac:dyDescent="0.3">
      <c r="A154" s="638" t="s">
        <v>2305</v>
      </c>
      <c r="B154" s="639" t="s">
        <v>2306</v>
      </c>
      <c r="C154" s="639" t="s">
        <v>1730</v>
      </c>
      <c r="D154" s="639" t="s">
        <v>2307</v>
      </c>
      <c r="E154" s="639" t="s">
        <v>2308</v>
      </c>
      <c r="F154" s="642"/>
      <c r="G154" s="642"/>
      <c r="H154" s="642"/>
      <c r="I154" s="642"/>
      <c r="J154" s="642">
        <v>0.09</v>
      </c>
      <c r="K154" s="642">
        <v>444.93</v>
      </c>
      <c r="L154" s="642"/>
      <c r="M154" s="642">
        <v>4943.666666666667</v>
      </c>
      <c r="N154" s="642">
        <v>0.02</v>
      </c>
      <c r="O154" s="642">
        <v>98.86</v>
      </c>
      <c r="P154" s="656"/>
      <c r="Q154" s="643">
        <v>4943</v>
      </c>
    </row>
    <row r="155" spans="1:17" ht="14.4" customHeight="1" x14ac:dyDescent="0.3">
      <c r="A155" s="638" t="s">
        <v>2305</v>
      </c>
      <c r="B155" s="639" t="s">
        <v>2306</v>
      </c>
      <c r="C155" s="639" t="s">
        <v>1730</v>
      </c>
      <c r="D155" s="639" t="s">
        <v>2309</v>
      </c>
      <c r="E155" s="639" t="s">
        <v>2310</v>
      </c>
      <c r="F155" s="642">
        <v>0.2</v>
      </c>
      <c r="G155" s="642">
        <v>197.8</v>
      </c>
      <c r="H155" s="642">
        <v>1</v>
      </c>
      <c r="I155" s="642">
        <v>989</v>
      </c>
      <c r="J155" s="642"/>
      <c r="K155" s="642"/>
      <c r="L155" s="642"/>
      <c r="M155" s="642"/>
      <c r="N155" s="642"/>
      <c r="O155" s="642"/>
      <c r="P155" s="656"/>
      <c r="Q155" s="643"/>
    </row>
    <row r="156" spans="1:17" ht="14.4" customHeight="1" x14ac:dyDescent="0.3">
      <c r="A156" s="638" t="s">
        <v>2305</v>
      </c>
      <c r="B156" s="639" t="s">
        <v>2306</v>
      </c>
      <c r="C156" s="639" t="s">
        <v>1730</v>
      </c>
      <c r="D156" s="639" t="s">
        <v>2311</v>
      </c>
      <c r="E156" s="639" t="s">
        <v>2308</v>
      </c>
      <c r="F156" s="642">
        <v>0.05</v>
      </c>
      <c r="G156" s="642">
        <v>516.86</v>
      </c>
      <c r="H156" s="642">
        <v>1</v>
      </c>
      <c r="I156" s="642">
        <v>10337.199999999999</v>
      </c>
      <c r="J156" s="642"/>
      <c r="K156" s="642"/>
      <c r="L156" s="642"/>
      <c r="M156" s="642"/>
      <c r="N156" s="642">
        <v>0.02</v>
      </c>
      <c r="O156" s="642">
        <v>197.74</v>
      </c>
      <c r="P156" s="656">
        <v>0.382579421893743</v>
      </c>
      <c r="Q156" s="643">
        <v>9887</v>
      </c>
    </row>
    <row r="157" spans="1:17" ht="14.4" customHeight="1" x14ac:dyDescent="0.3">
      <c r="A157" s="638" t="s">
        <v>2305</v>
      </c>
      <c r="B157" s="639" t="s">
        <v>2306</v>
      </c>
      <c r="C157" s="639" t="s">
        <v>1730</v>
      </c>
      <c r="D157" s="639" t="s">
        <v>2312</v>
      </c>
      <c r="E157" s="639" t="s">
        <v>2313</v>
      </c>
      <c r="F157" s="642">
        <v>7.0000000000000007E-2</v>
      </c>
      <c r="G157" s="642">
        <v>371.75</v>
      </c>
      <c r="H157" s="642">
        <v>1</v>
      </c>
      <c r="I157" s="642">
        <v>5310.7142857142853</v>
      </c>
      <c r="J157" s="642"/>
      <c r="K157" s="642"/>
      <c r="L157" s="642"/>
      <c r="M157" s="642"/>
      <c r="N157" s="642"/>
      <c r="O157" s="642"/>
      <c r="P157" s="656"/>
      <c r="Q157" s="643"/>
    </row>
    <row r="158" spans="1:17" ht="14.4" customHeight="1" x14ac:dyDescent="0.3">
      <c r="A158" s="638" t="s">
        <v>2305</v>
      </c>
      <c r="B158" s="639" t="s">
        <v>2306</v>
      </c>
      <c r="C158" s="639" t="s">
        <v>1730</v>
      </c>
      <c r="D158" s="639" t="s">
        <v>2314</v>
      </c>
      <c r="E158" s="639" t="s">
        <v>2308</v>
      </c>
      <c r="F158" s="642">
        <v>0.05</v>
      </c>
      <c r="G158" s="642">
        <v>325.32</v>
      </c>
      <c r="H158" s="642">
        <v>1</v>
      </c>
      <c r="I158" s="642">
        <v>6506.4</v>
      </c>
      <c r="J158" s="642">
        <v>0.02</v>
      </c>
      <c r="K158" s="642">
        <v>98.87</v>
      </c>
      <c r="L158" s="642">
        <v>0.30391614410426659</v>
      </c>
      <c r="M158" s="642">
        <v>4943.5</v>
      </c>
      <c r="N158" s="642"/>
      <c r="O158" s="642"/>
      <c r="P158" s="656"/>
      <c r="Q158" s="643"/>
    </row>
    <row r="159" spans="1:17" ht="14.4" customHeight="1" x14ac:dyDescent="0.3">
      <c r="A159" s="638" t="s">
        <v>2305</v>
      </c>
      <c r="B159" s="639" t="s">
        <v>2306</v>
      </c>
      <c r="C159" s="639" t="s">
        <v>1730</v>
      </c>
      <c r="D159" s="639" t="s">
        <v>2315</v>
      </c>
      <c r="E159" s="639"/>
      <c r="F159" s="642">
        <v>0.02</v>
      </c>
      <c r="G159" s="642">
        <v>172.84</v>
      </c>
      <c r="H159" s="642">
        <v>1</v>
      </c>
      <c r="I159" s="642">
        <v>8642</v>
      </c>
      <c r="J159" s="642"/>
      <c r="K159" s="642"/>
      <c r="L159" s="642"/>
      <c r="M159" s="642"/>
      <c r="N159" s="642"/>
      <c r="O159" s="642"/>
      <c r="P159" s="656"/>
      <c r="Q159" s="643"/>
    </row>
    <row r="160" spans="1:17" ht="14.4" customHeight="1" x14ac:dyDescent="0.3">
      <c r="A160" s="638" t="s">
        <v>2305</v>
      </c>
      <c r="B160" s="639" t="s">
        <v>2306</v>
      </c>
      <c r="C160" s="639" t="s">
        <v>1730</v>
      </c>
      <c r="D160" s="639" t="s">
        <v>2316</v>
      </c>
      <c r="E160" s="639" t="s">
        <v>2317</v>
      </c>
      <c r="F160" s="642"/>
      <c r="G160" s="642"/>
      <c r="H160" s="642"/>
      <c r="I160" s="642"/>
      <c r="J160" s="642">
        <v>0.02</v>
      </c>
      <c r="K160" s="642">
        <v>88.54</v>
      </c>
      <c r="L160" s="642"/>
      <c r="M160" s="642">
        <v>4427</v>
      </c>
      <c r="N160" s="642"/>
      <c r="O160" s="642"/>
      <c r="P160" s="656"/>
      <c r="Q160" s="643"/>
    </row>
    <row r="161" spans="1:17" ht="14.4" customHeight="1" x14ac:dyDescent="0.3">
      <c r="A161" s="638" t="s">
        <v>2305</v>
      </c>
      <c r="B161" s="639" t="s">
        <v>2306</v>
      </c>
      <c r="C161" s="639" t="s">
        <v>1730</v>
      </c>
      <c r="D161" s="639" t="s">
        <v>2318</v>
      </c>
      <c r="E161" s="639" t="s">
        <v>2317</v>
      </c>
      <c r="F161" s="642">
        <v>0.04</v>
      </c>
      <c r="G161" s="642">
        <v>382.24</v>
      </c>
      <c r="H161" s="642">
        <v>1</v>
      </c>
      <c r="I161" s="642">
        <v>9556</v>
      </c>
      <c r="J161" s="642">
        <v>0.09</v>
      </c>
      <c r="K161" s="642">
        <v>796.86</v>
      </c>
      <c r="L161" s="642">
        <v>2.0847111762243618</v>
      </c>
      <c r="M161" s="642">
        <v>8854</v>
      </c>
      <c r="N161" s="642">
        <v>7.9999999999999988E-2</v>
      </c>
      <c r="O161" s="642">
        <v>664.05</v>
      </c>
      <c r="P161" s="656">
        <v>1.7372593135203012</v>
      </c>
      <c r="Q161" s="643">
        <v>8300.625</v>
      </c>
    </row>
    <row r="162" spans="1:17" ht="14.4" customHeight="1" x14ac:dyDescent="0.3">
      <c r="A162" s="638" t="s">
        <v>2305</v>
      </c>
      <c r="B162" s="639" t="s">
        <v>2306</v>
      </c>
      <c r="C162" s="639" t="s">
        <v>1730</v>
      </c>
      <c r="D162" s="639" t="s">
        <v>2319</v>
      </c>
      <c r="E162" s="639" t="s">
        <v>2320</v>
      </c>
      <c r="F162" s="642">
        <v>0.05</v>
      </c>
      <c r="G162" s="642">
        <v>97.8</v>
      </c>
      <c r="H162" s="642">
        <v>1</v>
      </c>
      <c r="I162" s="642">
        <v>1955.9999999999998</v>
      </c>
      <c r="J162" s="642">
        <v>0.30000000000000004</v>
      </c>
      <c r="K162" s="642">
        <v>584.79</v>
      </c>
      <c r="L162" s="642">
        <v>5.9794478527607362</v>
      </c>
      <c r="M162" s="642">
        <v>1949.2999999999995</v>
      </c>
      <c r="N162" s="642">
        <v>0.05</v>
      </c>
      <c r="O162" s="642">
        <v>97.46</v>
      </c>
      <c r="P162" s="656">
        <v>0.99652351738241307</v>
      </c>
      <c r="Q162" s="643">
        <v>1949.1999999999998</v>
      </c>
    </row>
    <row r="163" spans="1:17" ht="14.4" customHeight="1" x14ac:dyDescent="0.3">
      <c r="A163" s="638" t="s">
        <v>2305</v>
      </c>
      <c r="B163" s="639" t="s">
        <v>2306</v>
      </c>
      <c r="C163" s="639" t="s">
        <v>1730</v>
      </c>
      <c r="D163" s="639" t="s">
        <v>2321</v>
      </c>
      <c r="E163" s="639" t="s">
        <v>2317</v>
      </c>
      <c r="F163" s="642"/>
      <c r="G163" s="642"/>
      <c r="H163" s="642"/>
      <c r="I163" s="642"/>
      <c r="J163" s="642">
        <v>0.25</v>
      </c>
      <c r="K163" s="642">
        <v>442.70000000000005</v>
      </c>
      <c r="L163" s="642"/>
      <c r="M163" s="642">
        <v>1770.8000000000002</v>
      </c>
      <c r="N163" s="642"/>
      <c r="O163" s="642"/>
      <c r="P163" s="656"/>
      <c r="Q163" s="643"/>
    </row>
    <row r="164" spans="1:17" ht="14.4" customHeight="1" x14ac:dyDescent="0.3">
      <c r="A164" s="638" t="s">
        <v>2305</v>
      </c>
      <c r="B164" s="639" t="s">
        <v>2306</v>
      </c>
      <c r="C164" s="639" t="s">
        <v>1730</v>
      </c>
      <c r="D164" s="639" t="s">
        <v>2322</v>
      </c>
      <c r="E164" s="639" t="s">
        <v>2317</v>
      </c>
      <c r="F164" s="642"/>
      <c r="G164" s="642"/>
      <c r="H164" s="642"/>
      <c r="I164" s="642"/>
      <c r="J164" s="642">
        <v>0</v>
      </c>
      <c r="K164" s="642">
        <v>212.48</v>
      </c>
      <c r="L164" s="642"/>
      <c r="M164" s="642"/>
      <c r="N164" s="642"/>
      <c r="O164" s="642"/>
      <c r="P164" s="656"/>
      <c r="Q164" s="643"/>
    </row>
    <row r="165" spans="1:17" ht="14.4" customHeight="1" x14ac:dyDescent="0.3">
      <c r="A165" s="638" t="s">
        <v>2305</v>
      </c>
      <c r="B165" s="639" t="s">
        <v>2306</v>
      </c>
      <c r="C165" s="639" t="s">
        <v>1850</v>
      </c>
      <c r="D165" s="639" t="s">
        <v>2323</v>
      </c>
      <c r="E165" s="639" t="s">
        <v>2324</v>
      </c>
      <c r="F165" s="642">
        <v>2</v>
      </c>
      <c r="G165" s="642">
        <v>3414.62</v>
      </c>
      <c r="H165" s="642">
        <v>1</v>
      </c>
      <c r="I165" s="642">
        <v>1707.31</v>
      </c>
      <c r="J165" s="642"/>
      <c r="K165" s="642"/>
      <c r="L165" s="642"/>
      <c r="M165" s="642"/>
      <c r="N165" s="642"/>
      <c r="O165" s="642"/>
      <c r="P165" s="656"/>
      <c r="Q165" s="643"/>
    </row>
    <row r="166" spans="1:17" ht="14.4" customHeight="1" x14ac:dyDescent="0.3">
      <c r="A166" s="638" t="s">
        <v>2305</v>
      </c>
      <c r="B166" s="639" t="s">
        <v>2306</v>
      </c>
      <c r="C166" s="639" t="s">
        <v>1850</v>
      </c>
      <c r="D166" s="639" t="s">
        <v>2325</v>
      </c>
      <c r="E166" s="639" t="s">
        <v>2326</v>
      </c>
      <c r="F166" s="642">
        <v>4</v>
      </c>
      <c r="G166" s="642">
        <v>27563.119999999999</v>
      </c>
      <c r="H166" s="642">
        <v>1</v>
      </c>
      <c r="I166" s="642">
        <v>6890.78</v>
      </c>
      <c r="J166" s="642"/>
      <c r="K166" s="642"/>
      <c r="L166" s="642"/>
      <c r="M166" s="642"/>
      <c r="N166" s="642"/>
      <c r="O166" s="642"/>
      <c r="P166" s="656"/>
      <c r="Q166" s="643"/>
    </row>
    <row r="167" spans="1:17" ht="14.4" customHeight="1" x14ac:dyDescent="0.3">
      <c r="A167" s="638" t="s">
        <v>2305</v>
      </c>
      <c r="B167" s="639" t="s">
        <v>2306</v>
      </c>
      <c r="C167" s="639" t="s">
        <v>1850</v>
      </c>
      <c r="D167" s="639" t="s">
        <v>2327</v>
      </c>
      <c r="E167" s="639" t="s">
        <v>2328</v>
      </c>
      <c r="F167" s="642">
        <v>2</v>
      </c>
      <c r="G167" s="642">
        <v>2005.6</v>
      </c>
      <c r="H167" s="642">
        <v>1</v>
      </c>
      <c r="I167" s="642">
        <v>1002.8</v>
      </c>
      <c r="J167" s="642"/>
      <c r="K167" s="642"/>
      <c r="L167" s="642"/>
      <c r="M167" s="642"/>
      <c r="N167" s="642"/>
      <c r="O167" s="642"/>
      <c r="P167" s="656"/>
      <c r="Q167" s="643"/>
    </row>
    <row r="168" spans="1:17" ht="14.4" customHeight="1" x14ac:dyDescent="0.3">
      <c r="A168" s="638" t="s">
        <v>2305</v>
      </c>
      <c r="B168" s="639" t="s">
        <v>2306</v>
      </c>
      <c r="C168" s="639" t="s">
        <v>1850</v>
      </c>
      <c r="D168" s="639" t="s">
        <v>2329</v>
      </c>
      <c r="E168" s="639" t="s">
        <v>2330</v>
      </c>
      <c r="F168" s="642">
        <v>2</v>
      </c>
      <c r="G168" s="642">
        <v>2611.64</v>
      </c>
      <c r="H168" s="642">
        <v>1</v>
      </c>
      <c r="I168" s="642">
        <v>1305.82</v>
      </c>
      <c r="J168" s="642"/>
      <c r="K168" s="642"/>
      <c r="L168" s="642"/>
      <c r="M168" s="642"/>
      <c r="N168" s="642"/>
      <c r="O168" s="642"/>
      <c r="P168" s="656"/>
      <c r="Q168" s="643"/>
    </row>
    <row r="169" spans="1:17" ht="14.4" customHeight="1" x14ac:dyDescent="0.3">
      <c r="A169" s="638" t="s">
        <v>2305</v>
      </c>
      <c r="B169" s="639" t="s">
        <v>2306</v>
      </c>
      <c r="C169" s="639" t="s">
        <v>1723</v>
      </c>
      <c r="D169" s="639" t="s">
        <v>2331</v>
      </c>
      <c r="E169" s="639" t="s">
        <v>2332</v>
      </c>
      <c r="F169" s="642">
        <v>1</v>
      </c>
      <c r="G169" s="642">
        <v>151</v>
      </c>
      <c r="H169" s="642">
        <v>1</v>
      </c>
      <c r="I169" s="642">
        <v>151</v>
      </c>
      <c r="J169" s="642"/>
      <c r="K169" s="642"/>
      <c r="L169" s="642"/>
      <c r="M169" s="642"/>
      <c r="N169" s="642"/>
      <c r="O169" s="642"/>
      <c r="P169" s="656"/>
      <c r="Q169" s="643"/>
    </row>
    <row r="170" spans="1:17" ht="14.4" customHeight="1" x14ac:dyDescent="0.3">
      <c r="A170" s="638" t="s">
        <v>2305</v>
      </c>
      <c r="B170" s="639" t="s">
        <v>2306</v>
      </c>
      <c r="C170" s="639" t="s">
        <v>1723</v>
      </c>
      <c r="D170" s="639" t="s">
        <v>2333</v>
      </c>
      <c r="E170" s="639" t="s">
        <v>2334</v>
      </c>
      <c r="F170" s="642">
        <v>3</v>
      </c>
      <c r="G170" s="642">
        <v>549</v>
      </c>
      <c r="H170" s="642">
        <v>1</v>
      </c>
      <c r="I170" s="642">
        <v>183</v>
      </c>
      <c r="J170" s="642"/>
      <c r="K170" s="642"/>
      <c r="L170" s="642"/>
      <c r="M170" s="642"/>
      <c r="N170" s="642"/>
      <c r="O170" s="642"/>
      <c r="P170" s="656"/>
      <c r="Q170" s="643"/>
    </row>
    <row r="171" spans="1:17" ht="14.4" customHeight="1" x14ac:dyDescent="0.3">
      <c r="A171" s="638" t="s">
        <v>2305</v>
      </c>
      <c r="B171" s="639" t="s">
        <v>2306</v>
      </c>
      <c r="C171" s="639" t="s">
        <v>1723</v>
      </c>
      <c r="D171" s="639" t="s">
        <v>2335</v>
      </c>
      <c r="E171" s="639" t="s">
        <v>2336</v>
      </c>
      <c r="F171" s="642">
        <v>1</v>
      </c>
      <c r="G171" s="642">
        <v>125</v>
      </c>
      <c r="H171" s="642">
        <v>1</v>
      </c>
      <c r="I171" s="642">
        <v>125</v>
      </c>
      <c r="J171" s="642"/>
      <c r="K171" s="642"/>
      <c r="L171" s="642"/>
      <c r="M171" s="642"/>
      <c r="N171" s="642">
        <v>1</v>
      </c>
      <c r="O171" s="642">
        <v>128</v>
      </c>
      <c r="P171" s="656">
        <v>1.024</v>
      </c>
      <c r="Q171" s="643">
        <v>128</v>
      </c>
    </row>
    <row r="172" spans="1:17" ht="14.4" customHeight="1" x14ac:dyDescent="0.3">
      <c r="A172" s="638" t="s">
        <v>2305</v>
      </c>
      <c r="B172" s="639" t="s">
        <v>2306</v>
      </c>
      <c r="C172" s="639" t="s">
        <v>1723</v>
      </c>
      <c r="D172" s="639" t="s">
        <v>2337</v>
      </c>
      <c r="E172" s="639" t="s">
        <v>2338</v>
      </c>
      <c r="F172" s="642">
        <v>50</v>
      </c>
      <c r="G172" s="642">
        <v>10877</v>
      </c>
      <c r="H172" s="642">
        <v>1</v>
      </c>
      <c r="I172" s="642">
        <v>217.54</v>
      </c>
      <c r="J172" s="642">
        <v>21</v>
      </c>
      <c r="K172" s="642">
        <v>4599</v>
      </c>
      <c r="L172" s="642">
        <v>0.42281879194630873</v>
      </c>
      <c r="M172" s="642">
        <v>219</v>
      </c>
      <c r="N172" s="642">
        <v>27</v>
      </c>
      <c r="O172" s="642">
        <v>6021</v>
      </c>
      <c r="P172" s="656">
        <v>0.55355336949526524</v>
      </c>
      <c r="Q172" s="643">
        <v>223</v>
      </c>
    </row>
    <row r="173" spans="1:17" ht="14.4" customHeight="1" x14ac:dyDescent="0.3">
      <c r="A173" s="638" t="s">
        <v>2305</v>
      </c>
      <c r="B173" s="639" t="s">
        <v>2306</v>
      </c>
      <c r="C173" s="639" t="s">
        <v>1723</v>
      </c>
      <c r="D173" s="639" t="s">
        <v>2339</v>
      </c>
      <c r="E173" s="639" t="s">
        <v>2340</v>
      </c>
      <c r="F173" s="642">
        <v>16</v>
      </c>
      <c r="G173" s="642">
        <v>3515</v>
      </c>
      <c r="H173" s="642">
        <v>1</v>
      </c>
      <c r="I173" s="642">
        <v>219.6875</v>
      </c>
      <c r="J173" s="642">
        <v>25</v>
      </c>
      <c r="K173" s="642">
        <v>5525</v>
      </c>
      <c r="L173" s="642">
        <v>1.5718349928876245</v>
      </c>
      <c r="M173" s="642">
        <v>221</v>
      </c>
      <c r="N173" s="642">
        <v>22</v>
      </c>
      <c r="O173" s="642">
        <v>4950</v>
      </c>
      <c r="P173" s="656">
        <v>1.4082503556187767</v>
      </c>
      <c r="Q173" s="643">
        <v>225</v>
      </c>
    </row>
    <row r="174" spans="1:17" ht="14.4" customHeight="1" x14ac:dyDescent="0.3">
      <c r="A174" s="638" t="s">
        <v>2305</v>
      </c>
      <c r="B174" s="639" t="s">
        <v>2306</v>
      </c>
      <c r="C174" s="639" t="s">
        <v>1723</v>
      </c>
      <c r="D174" s="639" t="s">
        <v>2341</v>
      </c>
      <c r="E174" s="639" t="s">
        <v>2342</v>
      </c>
      <c r="F174" s="642">
        <v>1</v>
      </c>
      <c r="G174" s="642">
        <v>609</v>
      </c>
      <c r="H174" s="642">
        <v>1</v>
      </c>
      <c r="I174" s="642">
        <v>609</v>
      </c>
      <c r="J174" s="642"/>
      <c r="K174" s="642"/>
      <c r="L174" s="642"/>
      <c r="M174" s="642"/>
      <c r="N174" s="642">
        <v>1</v>
      </c>
      <c r="O174" s="642">
        <v>625</v>
      </c>
      <c r="P174" s="656">
        <v>1.0262725779967159</v>
      </c>
      <c r="Q174" s="643">
        <v>625</v>
      </c>
    </row>
    <row r="175" spans="1:17" ht="14.4" customHeight="1" x14ac:dyDescent="0.3">
      <c r="A175" s="638" t="s">
        <v>2305</v>
      </c>
      <c r="B175" s="639" t="s">
        <v>2306</v>
      </c>
      <c r="C175" s="639" t="s">
        <v>1723</v>
      </c>
      <c r="D175" s="639" t="s">
        <v>2343</v>
      </c>
      <c r="E175" s="639" t="s">
        <v>2344</v>
      </c>
      <c r="F175" s="642"/>
      <c r="G175" s="642"/>
      <c r="H175" s="642"/>
      <c r="I175" s="642"/>
      <c r="J175" s="642">
        <v>1</v>
      </c>
      <c r="K175" s="642">
        <v>452</v>
      </c>
      <c r="L175" s="642"/>
      <c r="M175" s="642">
        <v>452</v>
      </c>
      <c r="N175" s="642">
        <v>2</v>
      </c>
      <c r="O175" s="642">
        <v>920</v>
      </c>
      <c r="P175" s="656"/>
      <c r="Q175" s="643">
        <v>460</v>
      </c>
    </row>
    <row r="176" spans="1:17" ht="14.4" customHeight="1" x14ac:dyDescent="0.3">
      <c r="A176" s="638" t="s">
        <v>2305</v>
      </c>
      <c r="B176" s="639" t="s">
        <v>2306</v>
      </c>
      <c r="C176" s="639" t="s">
        <v>1723</v>
      </c>
      <c r="D176" s="639" t="s">
        <v>2345</v>
      </c>
      <c r="E176" s="639" t="s">
        <v>2346</v>
      </c>
      <c r="F176" s="642">
        <v>2</v>
      </c>
      <c r="G176" s="642">
        <v>3046</v>
      </c>
      <c r="H176" s="642">
        <v>1</v>
      </c>
      <c r="I176" s="642">
        <v>1523</v>
      </c>
      <c r="J176" s="642"/>
      <c r="K176" s="642"/>
      <c r="L176" s="642"/>
      <c r="M176" s="642"/>
      <c r="N176" s="642"/>
      <c r="O176" s="642"/>
      <c r="P176" s="656"/>
      <c r="Q176" s="643"/>
    </row>
    <row r="177" spans="1:17" ht="14.4" customHeight="1" x14ac:dyDescent="0.3">
      <c r="A177" s="638" t="s">
        <v>2305</v>
      </c>
      <c r="B177" s="639" t="s">
        <v>2306</v>
      </c>
      <c r="C177" s="639" t="s">
        <v>1723</v>
      </c>
      <c r="D177" s="639" t="s">
        <v>2347</v>
      </c>
      <c r="E177" s="639" t="s">
        <v>2348</v>
      </c>
      <c r="F177" s="642">
        <v>11</v>
      </c>
      <c r="G177" s="642">
        <v>55796</v>
      </c>
      <c r="H177" s="642">
        <v>1</v>
      </c>
      <c r="I177" s="642">
        <v>5072.363636363636</v>
      </c>
      <c r="J177" s="642">
        <v>13</v>
      </c>
      <c r="K177" s="642">
        <v>65988</v>
      </c>
      <c r="L177" s="642">
        <v>1.1826654240447343</v>
      </c>
      <c r="M177" s="642">
        <v>5076</v>
      </c>
      <c r="N177" s="642">
        <v>8</v>
      </c>
      <c r="O177" s="642">
        <v>41256</v>
      </c>
      <c r="P177" s="656">
        <v>0.73940784285611871</v>
      </c>
      <c r="Q177" s="643">
        <v>5157</v>
      </c>
    </row>
    <row r="178" spans="1:17" ht="14.4" customHeight="1" x14ac:dyDescent="0.3">
      <c r="A178" s="638" t="s">
        <v>2305</v>
      </c>
      <c r="B178" s="639" t="s">
        <v>2306</v>
      </c>
      <c r="C178" s="639" t="s">
        <v>1723</v>
      </c>
      <c r="D178" s="639" t="s">
        <v>2349</v>
      </c>
      <c r="E178" s="639" t="s">
        <v>2350</v>
      </c>
      <c r="F178" s="642">
        <v>1</v>
      </c>
      <c r="G178" s="642">
        <v>5514</v>
      </c>
      <c r="H178" s="642">
        <v>1</v>
      </c>
      <c r="I178" s="642">
        <v>5514</v>
      </c>
      <c r="J178" s="642"/>
      <c r="K178" s="642"/>
      <c r="L178" s="642"/>
      <c r="M178" s="642"/>
      <c r="N178" s="642">
        <v>1</v>
      </c>
      <c r="O178" s="642">
        <v>5620</v>
      </c>
      <c r="P178" s="656">
        <v>1.0192237939789626</v>
      </c>
      <c r="Q178" s="643">
        <v>5620</v>
      </c>
    </row>
    <row r="179" spans="1:17" ht="14.4" customHeight="1" x14ac:dyDescent="0.3">
      <c r="A179" s="638" t="s">
        <v>2305</v>
      </c>
      <c r="B179" s="639" t="s">
        <v>2306</v>
      </c>
      <c r="C179" s="639" t="s">
        <v>1723</v>
      </c>
      <c r="D179" s="639" t="s">
        <v>2351</v>
      </c>
      <c r="E179" s="639" t="s">
        <v>2352</v>
      </c>
      <c r="F179" s="642">
        <v>218</v>
      </c>
      <c r="G179" s="642">
        <v>37825</v>
      </c>
      <c r="H179" s="642">
        <v>1</v>
      </c>
      <c r="I179" s="642">
        <v>173.50917431192661</v>
      </c>
      <c r="J179" s="642">
        <v>280</v>
      </c>
      <c r="K179" s="642">
        <v>49000</v>
      </c>
      <c r="L179" s="642">
        <v>1.2954395241242564</v>
      </c>
      <c r="M179" s="642">
        <v>175</v>
      </c>
      <c r="N179" s="642">
        <v>244</v>
      </c>
      <c r="O179" s="642">
        <v>43188</v>
      </c>
      <c r="P179" s="656">
        <v>1.1417845340383344</v>
      </c>
      <c r="Q179" s="643">
        <v>177</v>
      </c>
    </row>
    <row r="180" spans="1:17" ht="14.4" customHeight="1" x14ac:dyDescent="0.3">
      <c r="A180" s="638" t="s">
        <v>2305</v>
      </c>
      <c r="B180" s="639" t="s">
        <v>2306</v>
      </c>
      <c r="C180" s="639" t="s">
        <v>1723</v>
      </c>
      <c r="D180" s="639" t="s">
        <v>2353</v>
      </c>
      <c r="E180" s="639" t="s">
        <v>2354</v>
      </c>
      <c r="F180" s="642"/>
      <c r="G180" s="642"/>
      <c r="H180" s="642"/>
      <c r="I180" s="642"/>
      <c r="J180" s="642">
        <v>1</v>
      </c>
      <c r="K180" s="642">
        <v>2001</v>
      </c>
      <c r="L180" s="642"/>
      <c r="M180" s="642">
        <v>2001</v>
      </c>
      <c r="N180" s="642">
        <v>1</v>
      </c>
      <c r="O180" s="642">
        <v>2048</v>
      </c>
      <c r="P180" s="656"/>
      <c r="Q180" s="643">
        <v>2048</v>
      </c>
    </row>
    <row r="181" spans="1:17" ht="14.4" customHeight="1" x14ac:dyDescent="0.3">
      <c r="A181" s="638" t="s">
        <v>2305</v>
      </c>
      <c r="B181" s="639" t="s">
        <v>2306</v>
      </c>
      <c r="C181" s="639" t="s">
        <v>1723</v>
      </c>
      <c r="D181" s="639" t="s">
        <v>2355</v>
      </c>
      <c r="E181" s="639" t="s">
        <v>2356</v>
      </c>
      <c r="F181" s="642">
        <v>7</v>
      </c>
      <c r="G181" s="642">
        <v>18862</v>
      </c>
      <c r="H181" s="642">
        <v>1</v>
      </c>
      <c r="I181" s="642">
        <v>2694.5714285714284</v>
      </c>
      <c r="J181" s="642">
        <v>6</v>
      </c>
      <c r="K181" s="642">
        <v>16176</v>
      </c>
      <c r="L181" s="642">
        <v>0.85759728554766201</v>
      </c>
      <c r="M181" s="642">
        <v>2696</v>
      </c>
      <c r="N181" s="642">
        <v>11</v>
      </c>
      <c r="O181" s="642">
        <v>30096</v>
      </c>
      <c r="P181" s="656">
        <v>1.5955890149506946</v>
      </c>
      <c r="Q181" s="643">
        <v>2736</v>
      </c>
    </row>
    <row r="182" spans="1:17" ht="14.4" customHeight="1" x14ac:dyDescent="0.3">
      <c r="A182" s="638" t="s">
        <v>2305</v>
      </c>
      <c r="B182" s="639" t="s">
        <v>2306</v>
      </c>
      <c r="C182" s="639" t="s">
        <v>1723</v>
      </c>
      <c r="D182" s="639" t="s">
        <v>2357</v>
      </c>
      <c r="E182" s="639" t="s">
        <v>2358</v>
      </c>
      <c r="F182" s="642"/>
      <c r="G182" s="642"/>
      <c r="H182" s="642"/>
      <c r="I182" s="642"/>
      <c r="J182" s="642"/>
      <c r="K182" s="642"/>
      <c r="L182" s="642"/>
      <c r="M182" s="642"/>
      <c r="N182" s="642">
        <v>4</v>
      </c>
      <c r="O182" s="642">
        <v>21076</v>
      </c>
      <c r="P182" s="656"/>
      <c r="Q182" s="643">
        <v>5269</v>
      </c>
    </row>
    <row r="183" spans="1:17" ht="14.4" customHeight="1" x14ac:dyDescent="0.3">
      <c r="A183" s="638" t="s">
        <v>2305</v>
      </c>
      <c r="B183" s="639" t="s">
        <v>2306</v>
      </c>
      <c r="C183" s="639" t="s">
        <v>1723</v>
      </c>
      <c r="D183" s="639" t="s">
        <v>2359</v>
      </c>
      <c r="E183" s="639" t="s">
        <v>2360</v>
      </c>
      <c r="F183" s="642">
        <v>7</v>
      </c>
      <c r="G183" s="642">
        <v>4618</v>
      </c>
      <c r="H183" s="642">
        <v>1</v>
      </c>
      <c r="I183" s="642">
        <v>659.71428571428567</v>
      </c>
      <c r="J183" s="642">
        <v>9</v>
      </c>
      <c r="K183" s="642">
        <v>5958</v>
      </c>
      <c r="L183" s="642">
        <v>1.2901689042875704</v>
      </c>
      <c r="M183" s="642">
        <v>662</v>
      </c>
      <c r="N183" s="642">
        <v>6</v>
      </c>
      <c r="O183" s="642">
        <v>4044</v>
      </c>
      <c r="P183" s="656">
        <v>0.87570376786487658</v>
      </c>
      <c r="Q183" s="643">
        <v>674</v>
      </c>
    </row>
    <row r="184" spans="1:17" ht="14.4" customHeight="1" x14ac:dyDescent="0.3">
      <c r="A184" s="638" t="s">
        <v>2305</v>
      </c>
      <c r="B184" s="639" t="s">
        <v>2306</v>
      </c>
      <c r="C184" s="639" t="s">
        <v>1723</v>
      </c>
      <c r="D184" s="639" t="s">
        <v>2361</v>
      </c>
      <c r="E184" s="639" t="s">
        <v>2362</v>
      </c>
      <c r="F184" s="642"/>
      <c r="G184" s="642"/>
      <c r="H184" s="642"/>
      <c r="I184" s="642"/>
      <c r="J184" s="642">
        <v>1</v>
      </c>
      <c r="K184" s="642">
        <v>558</v>
      </c>
      <c r="L184" s="642"/>
      <c r="M184" s="642">
        <v>558</v>
      </c>
      <c r="N184" s="642">
        <v>2</v>
      </c>
      <c r="O184" s="642">
        <v>1136</v>
      </c>
      <c r="P184" s="656"/>
      <c r="Q184" s="643">
        <v>568</v>
      </c>
    </row>
    <row r="185" spans="1:17" ht="14.4" customHeight="1" x14ac:dyDescent="0.3">
      <c r="A185" s="638" t="s">
        <v>2305</v>
      </c>
      <c r="B185" s="639" t="s">
        <v>2306</v>
      </c>
      <c r="C185" s="639" t="s">
        <v>1723</v>
      </c>
      <c r="D185" s="639" t="s">
        <v>2363</v>
      </c>
      <c r="E185" s="639" t="s">
        <v>2364</v>
      </c>
      <c r="F185" s="642">
        <v>1</v>
      </c>
      <c r="G185" s="642">
        <v>151</v>
      </c>
      <c r="H185" s="642">
        <v>1</v>
      </c>
      <c r="I185" s="642">
        <v>151</v>
      </c>
      <c r="J185" s="642"/>
      <c r="K185" s="642"/>
      <c r="L185" s="642"/>
      <c r="M185" s="642"/>
      <c r="N185" s="642">
        <v>1</v>
      </c>
      <c r="O185" s="642">
        <v>155</v>
      </c>
      <c r="P185" s="656">
        <v>1.0264900662251655</v>
      </c>
      <c r="Q185" s="643">
        <v>155</v>
      </c>
    </row>
    <row r="186" spans="1:17" ht="14.4" customHeight="1" x14ac:dyDescent="0.3">
      <c r="A186" s="638" t="s">
        <v>2305</v>
      </c>
      <c r="B186" s="639" t="s">
        <v>2306</v>
      </c>
      <c r="C186" s="639" t="s">
        <v>1723</v>
      </c>
      <c r="D186" s="639" t="s">
        <v>2365</v>
      </c>
      <c r="E186" s="639" t="s">
        <v>2366</v>
      </c>
      <c r="F186" s="642">
        <v>2</v>
      </c>
      <c r="G186" s="642">
        <v>386</v>
      </c>
      <c r="H186" s="642">
        <v>1</v>
      </c>
      <c r="I186" s="642">
        <v>193</v>
      </c>
      <c r="J186" s="642">
        <v>1</v>
      </c>
      <c r="K186" s="642">
        <v>195</v>
      </c>
      <c r="L186" s="642">
        <v>0.50518134715025909</v>
      </c>
      <c r="M186" s="642">
        <v>195</v>
      </c>
      <c r="N186" s="642">
        <v>2</v>
      </c>
      <c r="O186" s="642">
        <v>398</v>
      </c>
      <c r="P186" s="656">
        <v>1.0310880829015545</v>
      </c>
      <c r="Q186" s="643">
        <v>199</v>
      </c>
    </row>
    <row r="187" spans="1:17" ht="14.4" customHeight="1" x14ac:dyDescent="0.3">
      <c r="A187" s="638" t="s">
        <v>2305</v>
      </c>
      <c r="B187" s="639" t="s">
        <v>2306</v>
      </c>
      <c r="C187" s="639" t="s">
        <v>1723</v>
      </c>
      <c r="D187" s="639" t="s">
        <v>2367</v>
      </c>
      <c r="E187" s="639" t="s">
        <v>2368</v>
      </c>
      <c r="F187" s="642"/>
      <c r="G187" s="642"/>
      <c r="H187" s="642"/>
      <c r="I187" s="642"/>
      <c r="J187" s="642">
        <v>1</v>
      </c>
      <c r="K187" s="642">
        <v>200</v>
      </c>
      <c r="L187" s="642"/>
      <c r="M187" s="642">
        <v>200</v>
      </c>
      <c r="N187" s="642"/>
      <c r="O187" s="642"/>
      <c r="P187" s="656"/>
      <c r="Q187" s="643"/>
    </row>
    <row r="188" spans="1:17" ht="14.4" customHeight="1" x14ac:dyDescent="0.3">
      <c r="A188" s="638" t="s">
        <v>2305</v>
      </c>
      <c r="B188" s="639" t="s">
        <v>2306</v>
      </c>
      <c r="C188" s="639" t="s">
        <v>1723</v>
      </c>
      <c r="D188" s="639" t="s">
        <v>2369</v>
      </c>
      <c r="E188" s="639" t="s">
        <v>2370</v>
      </c>
      <c r="F188" s="642">
        <v>5</v>
      </c>
      <c r="G188" s="642">
        <v>2081</v>
      </c>
      <c r="H188" s="642">
        <v>1</v>
      </c>
      <c r="I188" s="642">
        <v>416.2</v>
      </c>
      <c r="J188" s="642"/>
      <c r="K188" s="642"/>
      <c r="L188" s="642"/>
      <c r="M188" s="642"/>
      <c r="N188" s="642">
        <v>1</v>
      </c>
      <c r="O188" s="642">
        <v>426</v>
      </c>
      <c r="P188" s="656">
        <v>0.20470927438731379</v>
      </c>
      <c r="Q188" s="643">
        <v>426</v>
      </c>
    </row>
    <row r="189" spans="1:17" ht="14.4" customHeight="1" x14ac:dyDescent="0.3">
      <c r="A189" s="638" t="s">
        <v>2305</v>
      </c>
      <c r="B189" s="639" t="s">
        <v>2306</v>
      </c>
      <c r="C189" s="639" t="s">
        <v>1723</v>
      </c>
      <c r="D189" s="639" t="s">
        <v>2371</v>
      </c>
      <c r="E189" s="639" t="s">
        <v>2372</v>
      </c>
      <c r="F189" s="642">
        <v>2</v>
      </c>
      <c r="G189" s="642">
        <v>318</v>
      </c>
      <c r="H189" s="642">
        <v>1</v>
      </c>
      <c r="I189" s="642">
        <v>159</v>
      </c>
      <c r="J189" s="642"/>
      <c r="K189" s="642"/>
      <c r="L189" s="642"/>
      <c r="M189" s="642"/>
      <c r="N189" s="642">
        <v>2</v>
      </c>
      <c r="O189" s="642">
        <v>326</v>
      </c>
      <c r="P189" s="656">
        <v>1.0251572327044025</v>
      </c>
      <c r="Q189" s="643">
        <v>163</v>
      </c>
    </row>
    <row r="190" spans="1:17" ht="14.4" customHeight="1" x14ac:dyDescent="0.3">
      <c r="A190" s="638" t="s">
        <v>2305</v>
      </c>
      <c r="B190" s="639" t="s">
        <v>2306</v>
      </c>
      <c r="C190" s="639" t="s">
        <v>1723</v>
      </c>
      <c r="D190" s="639" t="s">
        <v>2373</v>
      </c>
      <c r="E190" s="639" t="s">
        <v>2374</v>
      </c>
      <c r="F190" s="642"/>
      <c r="G190" s="642"/>
      <c r="H190" s="642"/>
      <c r="I190" s="642"/>
      <c r="J190" s="642">
        <v>2</v>
      </c>
      <c r="K190" s="642">
        <v>4246</v>
      </c>
      <c r="L190" s="642"/>
      <c r="M190" s="642">
        <v>2123</v>
      </c>
      <c r="N190" s="642"/>
      <c r="O190" s="642"/>
      <c r="P190" s="656"/>
      <c r="Q190" s="643"/>
    </row>
    <row r="191" spans="1:17" ht="14.4" customHeight="1" x14ac:dyDescent="0.3">
      <c r="A191" s="638" t="s">
        <v>2305</v>
      </c>
      <c r="B191" s="639" t="s">
        <v>2306</v>
      </c>
      <c r="C191" s="639" t="s">
        <v>1723</v>
      </c>
      <c r="D191" s="639" t="s">
        <v>2375</v>
      </c>
      <c r="E191" s="639" t="s">
        <v>2376</v>
      </c>
      <c r="F191" s="642">
        <v>1</v>
      </c>
      <c r="G191" s="642">
        <v>915</v>
      </c>
      <c r="H191" s="642">
        <v>1</v>
      </c>
      <c r="I191" s="642">
        <v>915</v>
      </c>
      <c r="J191" s="642">
        <v>4</v>
      </c>
      <c r="K191" s="642">
        <v>3668</v>
      </c>
      <c r="L191" s="642">
        <v>4.0087431693989073</v>
      </c>
      <c r="M191" s="642">
        <v>917</v>
      </c>
      <c r="N191" s="642">
        <v>1</v>
      </c>
      <c r="O191" s="642">
        <v>933</v>
      </c>
      <c r="P191" s="656">
        <v>1.019672131147541</v>
      </c>
      <c r="Q191" s="643">
        <v>933</v>
      </c>
    </row>
    <row r="192" spans="1:17" ht="14.4" customHeight="1" x14ac:dyDescent="0.3">
      <c r="A192" s="638" t="s">
        <v>2377</v>
      </c>
      <c r="B192" s="639" t="s">
        <v>2378</v>
      </c>
      <c r="C192" s="639" t="s">
        <v>1723</v>
      </c>
      <c r="D192" s="639" t="s">
        <v>2379</v>
      </c>
      <c r="E192" s="639" t="s">
        <v>2380</v>
      </c>
      <c r="F192" s="642">
        <v>13</v>
      </c>
      <c r="G192" s="642">
        <v>2655</v>
      </c>
      <c r="H192" s="642">
        <v>1</v>
      </c>
      <c r="I192" s="642">
        <v>204.23076923076923</v>
      </c>
      <c r="J192" s="642">
        <v>17</v>
      </c>
      <c r="K192" s="642">
        <v>3502</v>
      </c>
      <c r="L192" s="642">
        <v>1.3190207156308851</v>
      </c>
      <c r="M192" s="642">
        <v>206</v>
      </c>
      <c r="N192" s="642">
        <v>11</v>
      </c>
      <c r="O192" s="642">
        <v>2321</v>
      </c>
      <c r="P192" s="656">
        <v>0.87419962335216572</v>
      </c>
      <c r="Q192" s="643">
        <v>211</v>
      </c>
    </row>
    <row r="193" spans="1:17" ht="14.4" customHeight="1" x14ac:dyDescent="0.3">
      <c r="A193" s="638" t="s">
        <v>2377</v>
      </c>
      <c r="B193" s="639" t="s">
        <v>2378</v>
      </c>
      <c r="C193" s="639" t="s">
        <v>1723</v>
      </c>
      <c r="D193" s="639" t="s">
        <v>2381</v>
      </c>
      <c r="E193" s="639" t="s">
        <v>2380</v>
      </c>
      <c r="F193" s="642">
        <v>3</v>
      </c>
      <c r="G193" s="642">
        <v>255</v>
      </c>
      <c r="H193" s="642">
        <v>1</v>
      </c>
      <c r="I193" s="642">
        <v>85</v>
      </c>
      <c r="J193" s="642">
        <v>3</v>
      </c>
      <c r="K193" s="642">
        <v>255</v>
      </c>
      <c r="L193" s="642">
        <v>1</v>
      </c>
      <c r="M193" s="642">
        <v>85</v>
      </c>
      <c r="N193" s="642"/>
      <c r="O193" s="642"/>
      <c r="P193" s="656"/>
      <c r="Q193" s="643"/>
    </row>
    <row r="194" spans="1:17" ht="14.4" customHeight="1" x14ac:dyDescent="0.3">
      <c r="A194" s="638" t="s">
        <v>2377</v>
      </c>
      <c r="B194" s="639" t="s">
        <v>2378</v>
      </c>
      <c r="C194" s="639" t="s">
        <v>1723</v>
      </c>
      <c r="D194" s="639" t="s">
        <v>2382</v>
      </c>
      <c r="E194" s="639" t="s">
        <v>2383</v>
      </c>
      <c r="F194" s="642">
        <v>28</v>
      </c>
      <c r="G194" s="642">
        <v>8218</v>
      </c>
      <c r="H194" s="642">
        <v>1</v>
      </c>
      <c r="I194" s="642">
        <v>293.5</v>
      </c>
      <c r="J194" s="642">
        <v>13</v>
      </c>
      <c r="K194" s="642">
        <v>3835</v>
      </c>
      <c r="L194" s="642">
        <v>0.4666585543927963</v>
      </c>
      <c r="M194" s="642">
        <v>295</v>
      </c>
      <c r="N194" s="642">
        <v>29</v>
      </c>
      <c r="O194" s="642">
        <v>8729</v>
      </c>
      <c r="P194" s="656">
        <v>1.0621805792163543</v>
      </c>
      <c r="Q194" s="643">
        <v>301</v>
      </c>
    </row>
    <row r="195" spans="1:17" ht="14.4" customHeight="1" x14ac:dyDescent="0.3">
      <c r="A195" s="638" t="s">
        <v>2377</v>
      </c>
      <c r="B195" s="639" t="s">
        <v>2378</v>
      </c>
      <c r="C195" s="639" t="s">
        <v>1723</v>
      </c>
      <c r="D195" s="639" t="s">
        <v>2384</v>
      </c>
      <c r="E195" s="639" t="s">
        <v>2385</v>
      </c>
      <c r="F195" s="642">
        <v>8</v>
      </c>
      <c r="G195" s="642">
        <v>752</v>
      </c>
      <c r="H195" s="642">
        <v>1</v>
      </c>
      <c r="I195" s="642">
        <v>94</v>
      </c>
      <c r="J195" s="642">
        <v>13</v>
      </c>
      <c r="K195" s="642">
        <v>1235</v>
      </c>
      <c r="L195" s="642">
        <v>1.6422872340425532</v>
      </c>
      <c r="M195" s="642">
        <v>95</v>
      </c>
      <c r="N195" s="642">
        <v>6</v>
      </c>
      <c r="O195" s="642">
        <v>594</v>
      </c>
      <c r="P195" s="656">
        <v>0.78989361702127658</v>
      </c>
      <c r="Q195" s="643">
        <v>99</v>
      </c>
    </row>
    <row r="196" spans="1:17" ht="14.4" customHeight="1" x14ac:dyDescent="0.3">
      <c r="A196" s="638" t="s">
        <v>2377</v>
      </c>
      <c r="B196" s="639" t="s">
        <v>2378</v>
      </c>
      <c r="C196" s="639" t="s">
        <v>1723</v>
      </c>
      <c r="D196" s="639" t="s">
        <v>2386</v>
      </c>
      <c r="E196" s="639" t="s">
        <v>2387</v>
      </c>
      <c r="F196" s="642">
        <v>5</v>
      </c>
      <c r="G196" s="642">
        <v>1112</v>
      </c>
      <c r="H196" s="642">
        <v>1</v>
      </c>
      <c r="I196" s="642">
        <v>222.4</v>
      </c>
      <c r="J196" s="642">
        <v>4</v>
      </c>
      <c r="K196" s="642">
        <v>896</v>
      </c>
      <c r="L196" s="642">
        <v>0.80575539568345322</v>
      </c>
      <c r="M196" s="642">
        <v>224</v>
      </c>
      <c r="N196" s="642">
        <v>3</v>
      </c>
      <c r="O196" s="642">
        <v>693</v>
      </c>
      <c r="P196" s="656">
        <v>0.62320143884892087</v>
      </c>
      <c r="Q196" s="643">
        <v>231</v>
      </c>
    </row>
    <row r="197" spans="1:17" ht="14.4" customHeight="1" x14ac:dyDescent="0.3">
      <c r="A197" s="638" t="s">
        <v>2377</v>
      </c>
      <c r="B197" s="639" t="s">
        <v>2378</v>
      </c>
      <c r="C197" s="639" t="s">
        <v>1723</v>
      </c>
      <c r="D197" s="639" t="s">
        <v>2388</v>
      </c>
      <c r="E197" s="639" t="s">
        <v>2389</v>
      </c>
      <c r="F197" s="642">
        <v>16</v>
      </c>
      <c r="G197" s="642">
        <v>2156</v>
      </c>
      <c r="H197" s="642">
        <v>1</v>
      </c>
      <c r="I197" s="642">
        <v>134.75</v>
      </c>
      <c r="J197" s="642">
        <v>15</v>
      </c>
      <c r="K197" s="642">
        <v>2025</v>
      </c>
      <c r="L197" s="642">
        <v>0.93923933209647492</v>
      </c>
      <c r="M197" s="642">
        <v>135</v>
      </c>
      <c r="N197" s="642">
        <v>12</v>
      </c>
      <c r="O197" s="642">
        <v>1644</v>
      </c>
      <c r="P197" s="656">
        <v>0.76252319109461963</v>
      </c>
      <c r="Q197" s="643">
        <v>137</v>
      </c>
    </row>
    <row r="198" spans="1:17" ht="14.4" customHeight="1" x14ac:dyDescent="0.3">
      <c r="A198" s="638" t="s">
        <v>2377</v>
      </c>
      <c r="B198" s="639" t="s">
        <v>2378</v>
      </c>
      <c r="C198" s="639" t="s">
        <v>1723</v>
      </c>
      <c r="D198" s="639" t="s">
        <v>2390</v>
      </c>
      <c r="E198" s="639" t="s">
        <v>2391</v>
      </c>
      <c r="F198" s="642">
        <v>7</v>
      </c>
      <c r="G198" s="642">
        <v>1978</v>
      </c>
      <c r="H198" s="642">
        <v>1</v>
      </c>
      <c r="I198" s="642">
        <v>282.57142857142856</v>
      </c>
      <c r="J198" s="642">
        <v>6</v>
      </c>
      <c r="K198" s="642">
        <v>1710</v>
      </c>
      <c r="L198" s="642">
        <v>0.86450960566228519</v>
      </c>
      <c r="M198" s="642">
        <v>285</v>
      </c>
      <c r="N198" s="642">
        <v>6</v>
      </c>
      <c r="O198" s="642">
        <v>1782</v>
      </c>
      <c r="P198" s="656">
        <v>0.9009100101112234</v>
      </c>
      <c r="Q198" s="643">
        <v>297</v>
      </c>
    </row>
    <row r="199" spans="1:17" ht="14.4" customHeight="1" x14ac:dyDescent="0.3">
      <c r="A199" s="638" t="s">
        <v>2377</v>
      </c>
      <c r="B199" s="639" t="s">
        <v>2378</v>
      </c>
      <c r="C199" s="639" t="s">
        <v>1723</v>
      </c>
      <c r="D199" s="639" t="s">
        <v>2392</v>
      </c>
      <c r="E199" s="639" t="s">
        <v>2393</v>
      </c>
      <c r="F199" s="642"/>
      <c r="G199" s="642"/>
      <c r="H199" s="642"/>
      <c r="I199" s="642"/>
      <c r="J199" s="642">
        <v>1</v>
      </c>
      <c r="K199" s="642">
        <v>593</v>
      </c>
      <c r="L199" s="642"/>
      <c r="M199" s="642">
        <v>593</v>
      </c>
      <c r="N199" s="642">
        <v>1</v>
      </c>
      <c r="O199" s="642">
        <v>608</v>
      </c>
      <c r="P199" s="656"/>
      <c r="Q199" s="643">
        <v>608</v>
      </c>
    </row>
    <row r="200" spans="1:17" ht="14.4" customHeight="1" x14ac:dyDescent="0.3">
      <c r="A200" s="638" t="s">
        <v>2377</v>
      </c>
      <c r="B200" s="639" t="s">
        <v>2378</v>
      </c>
      <c r="C200" s="639" t="s">
        <v>1723</v>
      </c>
      <c r="D200" s="639" t="s">
        <v>2394</v>
      </c>
      <c r="E200" s="639" t="s">
        <v>2395</v>
      </c>
      <c r="F200" s="642">
        <v>18</v>
      </c>
      <c r="G200" s="642">
        <v>2874</v>
      </c>
      <c r="H200" s="642">
        <v>1</v>
      </c>
      <c r="I200" s="642">
        <v>159.66666666666666</v>
      </c>
      <c r="J200" s="642">
        <v>12</v>
      </c>
      <c r="K200" s="642">
        <v>1932</v>
      </c>
      <c r="L200" s="642">
        <v>0.67223382045929014</v>
      </c>
      <c r="M200" s="642">
        <v>161</v>
      </c>
      <c r="N200" s="642">
        <v>6</v>
      </c>
      <c r="O200" s="642">
        <v>1038</v>
      </c>
      <c r="P200" s="656">
        <v>0.36116910229645094</v>
      </c>
      <c r="Q200" s="643">
        <v>173</v>
      </c>
    </row>
    <row r="201" spans="1:17" ht="14.4" customHeight="1" x14ac:dyDescent="0.3">
      <c r="A201" s="638" t="s">
        <v>2377</v>
      </c>
      <c r="B201" s="639" t="s">
        <v>2378</v>
      </c>
      <c r="C201" s="639" t="s">
        <v>1723</v>
      </c>
      <c r="D201" s="639" t="s">
        <v>2396</v>
      </c>
      <c r="E201" s="639" t="s">
        <v>2397</v>
      </c>
      <c r="F201" s="642">
        <v>1</v>
      </c>
      <c r="G201" s="642">
        <v>382</v>
      </c>
      <c r="H201" s="642">
        <v>1</v>
      </c>
      <c r="I201" s="642">
        <v>382</v>
      </c>
      <c r="J201" s="642"/>
      <c r="K201" s="642"/>
      <c r="L201" s="642"/>
      <c r="M201" s="642"/>
      <c r="N201" s="642"/>
      <c r="O201" s="642"/>
      <c r="P201" s="656"/>
      <c r="Q201" s="643"/>
    </row>
    <row r="202" spans="1:17" ht="14.4" customHeight="1" x14ac:dyDescent="0.3">
      <c r="A202" s="638" t="s">
        <v>2377</v>
      </c>
      <c r="B202" s="639" t="s">
        <v>2378</v>
      </c>
      <c r="C202" s="639" t="s">
        <v>1723</v>
      </c>
      <c r="D202" s="639" t="s">
        <v>2398</v>
      </c>
      <c r="E202" s="639" t="s">
        <v>2399</v>
      </c>
      <c r="F202" s="642"/>
      <c r="G202" s="642"/>
      <c r="H202" s="642"/>
      <c r="I202" s="642"/>
      <c r="J202" s="642">
        <v>1</v>
      </c>
      <c r="K202" s="642">
        <v>266</v>
      </c>
      <c r="L202" s="642"/>
      <c r="M202" s="642">
        <v>266</v>
      </c>
      <c r="N202" s="642">
        <v>2</v>
      </c>
      <c r="O202" s="642">
        <v>546</v>
      </c>
      <c r="P202" s="656"/>
      <c r="Q202" s="643">
        <v>273</v>
      </c>
    </row>
    <row r="203" spans="1:17" ht="14.4" customHeight="1" x14ac:dyDescent="0.3">
      <c r="A203" s="638" t="s">
        <v>2377</v>
      </c>
      <c r="B203" s="639" t="s">
        <v>2378</v>
      </c>
      <c r="C203" s="639" t="s">
        <v>1723</v>
      </c>
      <c r="D203" s="639" t="s">
        <v>2400</v>
      </c>
      <c r="E203" s="639" t="s">
        <v>2401</v>
      </c>
      <c r="F203" s="642">
        <v>1</v>
      </c>
      <c r="G203" s="642">
        <v>141</v>
      </c>
      <c r="H203" s="642">
        <v>1</v>
      </c>
      <c r="I203" s="642">
        <v>141</v>
      </c>
      <c r="J203" s="642">
        <v>1</v>
      </c>
      <c r="K203" s="642">
        <v>141</v>
      </c>
      <c r="L203" s="642">
        <v>1</v>
      </c>
      <c r="M203" s="642">
        <v>141</v>
      </c>
      <c r="N203" s="642">
        <v>1</v>
      </c>
      <c r="O203" s="642">
        <v>142</v>
      </c>
      <c r="P203" s="656">
        <v>1.0070921985815602</v>
      </c>
      <c r="Q203" s="643">
        <v>142</v>
      </c>
    </row>
    <row r="204" spans="1:17" ht="14.4" customHeight="1" x14ac:dyDescent="0.3">
      <c r="A204" s="638" t="s">
        <v>2377</v>
      </c>
      <c r="B204" s="639" t="s">
        <v>2378</v>
      </c>
      <c r="C204" s="639" t="s">
        <v>1723</v>
      </c>
      <c r="D204" s="639" t="s">
        <v>2402</v>
      </c>
      <c r="E204" s="639" t="s">
        <v>2401</v>
      </c>
      <c r="F204" s="642">
        <v>17</v>
      </c>
      <c r="G204" s="642">
        <v>1326</v>
      </c>
      <c r="H204" s="642">
        <v>1</v>
      </c>
      <c r="I204" s="642">
        <v>78</v>
      </c>
      <c r="J204" s="642">
        <v>15</v>
      </c>
      <c r="K204" s="642">
        <v>1170</v>
      </c>
      <c r="L204" s="642">
        <v>0.88235294117647056</v>
      </c>
      <c r="M204" s="642">
        <v>78</v>
      </c>
      <c r="N204" s="642">
        <v>11</v>
      </c>
      <c r="O204" s="642">
        <v>858</v>
      </c>
      <c r="P204" s="656">
        <v>0.6470588235294118</v>
      </c>
      <c r="Q204" s="643">
        <v>78</v>
      </c>
    </row>
    <row r="205" spans="1:17" ht="14.4" customHeight="1" x14ac:dyDescent="0.3">
      <c r="A205" s="638" t="s">
        <v>2377</v>
      </c>
      <c r="B205" s="639" t="s">
        <v>2378</v>
      </c>
      <c r="C205" s="639" t="s">
        <v>1723</v>
      </c>
      <c r="D205" s="639" t="s">
        <v>2403</v>
      </c>
      <c r="E205" s="639" t="s">
        <v>2404</v>
      </c>
      <c r="F205" s="642">
        <v>2</v>
      </c>
      <c r="G205" s="642">
        <v>609</v>
      </c>
      <c r="H205" s="642">
        <v>1</v>
      </c>
      <c r="I205" s="642">
        <v>304.5</v>
      </c>
      <c r="J205" s="642">
        <v>1</v>
      </c>
      <c r="K205" s="642">
        <v>307</v>
      </c>
      <c r="L205" s="642">
        <v>0.50410509031198691</v>
      </c>
      <c r="M205" s="642">
        <v>307</v>
      </c>
      <c r="N205" s="642">
        <v>1</v>
      </c>
      <c r="O205" s="642">
        <v>313</v>
      </c>
      <c r="P205" s="656">
        <v>0.51395730706075538</v>
      </c>
      <c r="Q205" s="643">
        <v>313</v>
      </c>
    </row>
    <row r="206" spans="1:17" ht="14.4" customHeight="1" x14ac:dyDescent="0.3">
      <c r="A206" s="638" t="s">
        <v>2377</v>
      </c>
      <c r="B206" s="639" t="s">
        <v>2378</v>
      </c>
      <c r="C206" s="639" t="s">
        <v>1723</v>
      </c>
      <c r="D206" s="639" t="s">
        <v>2405</v>
      </c>
      <c r="E206" s="639" t="s">
        <v>2406</v>
      </c>
      <c r="F206" s="642">
        <v>1376</v>
      </c>
      <c r="G206" s="642">
        <v>669616</v>
      </c>
      <c r="H206" s="642">
        <v>1</v>
      </c>
      <c r="I206" s="642">
        <v>486.63953488372096</v>
      </c>
      <c r="J206" s="642">
        <v>1325</v>
      </c>
      <c r="K206" s="642">
        <v>645275</v>
      </c>
      <c r="L206" s="642">
        <v>0.96364931542854415</v>
      </c>
      <c r="M206" s="642">
        <v>487</v>
      </c>
      <c r="N206" s="642">
        <v>1382</v>
      </c>
      <c r="O206" s="642">
        <v>674416</v>
      </c>
      <c r="P206" s="656">
        <v>1.0071682874961172</v>
      </c>
      <c r="Q206" s="643">
        <v>488</v>
      </c>
    </row>
    <row r="207" spans="1:17" ht="14.4" customHeight="1" x14ac:dyDescent="0.3">
      <c r="A207" s="638" t="s">
        <v>2377</v>
      </c>
      <c r="B207" s="639" t="s">
        <v>2378</v>
      </c>
      <c r="C207" s="639" t="s">
        <v>1723</v>
      </c>
      <c r="D207" s="639" t="s">
        <v>2407</v>
      </c>
      <c r="E207" s="639" t="s">
        <v>2408</v>
      </c>
      <c r="F207" s="642">
        <v>20</v>
      </c>
      <c r="G207" s="642">
        <v>3215</v>
      </c>
      <c r="H207" s="642">
        <v>1</v>
      </c>
      <c r="I207" s="642">
        <v>160.75</v>
      </c>
      <c r="J207" s="642">
        <v>14</v>
      </c>
      <c r="K207" s="642">
        <v>2254</v>
      </c>
      <c r="L207" s="642">
        <v>0.70108864696734063</v>
      </c>
      <c r="M207" s="642">
        <v>161</v>
      </c>
      <c r="N207" s="642">
        <v>14</v>
      </c>
      <c r="O207" s="642">
        <v>2282</v>
      </c>
      <c r="P207" s="656">
        <v>0.70979782270606528</v>
      </c>
      <c r="Q207" s="643">
        <v>163</v>
      </c>
    </row>
    <row r="208" spans="1:17" ht="14.4" customHeight="1" x14ac:dyDescent="0.3">
      <c r="A208" s="638" t="s">
        <v>2377</v>
      </c>
      <c r="B208" s="639" t="s">
        <v>2378</v>
      </c>
      <c r="C208" s="639" t="s">
        <v>1723</v>
      </c>
      <c r="D208" s="639" t="s">
        <v>2409</v>
      </c>
      <c r="E208" s="639" t="s">
        <v>2380</v>
      </c>
      <c r="F208" s="642">
        <v>55</v>
      </c>
      <c r="G208" s="642">
        <v>3882</v>
      </c>
      <c r="H208" s="642">
        <v>1</v>
      </c>
      <c r="I208" s="642">
        <v>70.581818181818178</v>
      </c>
      <c r="J208" s="642">
        <v>65</v>
      </c>
      <c r="K208" s="642">
        <v>4615</v>
      </c>
      <c r="L208" s="642">
        <v>1.1888201957753735</v>
      </c>
      <c r="M208" s="642">
        <v>71</v>
      </c>
      <c r="N208" s="642">
        <v>56</v>
      </c>
      <c r="O208" s="642">
        <v>4032</v>
      </c>
      <c r="P208" s="656">
        <v>1.0386398763523956</v>
      </c>
      <c r="Q208" s="643">
        <v>72</v>
      </c>
    </row>
    <row r="209" spans="1:17" ht="14.4" customHeight="1" x14ac:dyDescent="0.3">
      <c r="A209" s="638" t="s">
        <v>2377</v>
      </c>
      <c r="B209" s="639" t="s">
        <v>2378</v>
      </c>
      <c r="C209" s="639" t="s">
        <v>1723</v>
      </c>
      <c r="D209" s="639" t="s">
        <v>2410</v>
      </c>
      <c r="E209" s="639" t="s">
        <v>2411</v>
      </c>
      <c r="F209" s="642">
        <v>5</v>
      </c>
      <c r="G209" s="642">
        <v>5957</v>
      </c>
      <c r="H209" s="642">
        <v>1</v>
      </c>
      <c r="I209" s="642">
        <v>1191.4000000000001</v>
      </c>
      <c r="J209" s="642">
        <v>4</v>
      </c>
      <c r="K209" s="642">
        <v>4780</v>
      </c>
      <c r="L209" s="642">
        <v>0.80241732415645461</v>
      </c>
      <c r="M209" s="642">
        <v>1195</v>
      </c>
      <c r="N209" s="642">
        <v>6</v>
      </c>
      <c r="O209" s="642">
        <v>7266</v>
      </c>
      <c r="P209" s="656">
        <v>1.2197414806110458</v>
      </c>
      <c r="Q209" s="643">
        <v>1211</v>
      </c>
    </row>
    <row r="210" spans="1:17" ht="14.4" customHeight="1" x14ac:dyDescent="0.3">
      <c r="A210" s="638" t="s">
        <v>2377</v>
      </c>
      <c r="B210" s="639" t="s">
        <v>2378</v>
      </c>
      <c r="C210" s="639" t="s">
        <v>1723</v>
      </c>
      <c r="D210" s="639" t="s">
        <v>2412</v>
      </c>
      <c r="E210" s="639" t="s">
        <v>2413</v>
      </c>
      <c r="F210" s="642">
        <v>266</v>
      </c>
      <c r="G210" s="642">
        <v>28894</v>
      </c>
      <c r="H210" s="642">
        <v>1</v>
      </c>
      <c r="I210" s="642">
        <v>108.62406015037594</v>
      </c>
      <c r="J210" s="642">
        <v>272</v>
      </c>
      <c r="K210" s="642">
        <v>29920</v>
      </c>
      <c r="L210" s="642">
        <v>1.0355091022357583</v>
      </c>
      <c r="M210" s="642">
        <v>110</v>
      </c>
      <c r="N210" s="642">
        <v>225</v>
      </c>
      <c r="O210" s="642">
        <v>25650</v>
      </c>
      <c r="P210" s="656">
        <v>0.88772755589395724</v>
      </c>
      <c r="Q210" s="643">
        <v>114</v>
      </c>
    </row>
    <row r="211" spans="1:17" ht="14.4" customHeight="1" x14ac:dyDescent="0.3">
      <c r="A211" s="638" t="s">
        <v>2377</v>
      </c>
      <c r="B211" s="639" t="s">
        <v>2378</v>
      </c>
      <c r="C211" s="639" t="s">
        <v>1723</v>
      </c>
      <c r="D211" s="639" t="s">
        <v>2414</v>
      </c>
      <c r="E211" s="639" t="s">
        <v>2415</v>
      </c>
      <c r="F211" s="642">
        <v>1</v>
      </c>
      <c r="G211" s="642">
        <v>322</v>
      </c>
      <c r="H211" s="642">
        <v>1</v>
      </c>
      <c r="I211" s="642">
        <v>322</v>
      </c>
      <c r="J211" s="642"/>
      <c r="K211" s="642"/>
      <c r="L211" s="642"/>
      <c r="M211" s="642"/>
      <c r="N211" s="642"/>
      <c r="O211" s="642"/>
      <c r="P211" s="656"/>
      <c r="Q211" s="643"/>
    </row>
    <row r="212" spans="1:17" ht="14.4" customHeight="1" x14ac:dyDescent="0.3">
      <c r="A212" s="638" t="s">
        <v>2377</v>
      </c>
      <c r="B212" s="639" t="s">
        <v>2378</v>
      </c>
      <c r="C212" s="639" t="s">
        <v>1723</v>
      </c>
      <c r="D212" s="639" t="s">
        <v>2416</v>
      </c>
      <c r="E212" s="639" t="s">
        <v>2417</v>
      </c>
      <c r="F212" s="642">
        <v>630</v>
      </c>
      <c r="G212" s="642">
        <v>91112</v>
      </c>
      <c r="H212" s="642">
        <v>1</v>
      </c>
      <c r="I212" s="642">
        <v>144.62222222222223</v>
      </c>
      <c r="J212" s="642">
        <v>622</v>
      </c>
      <c r="K212" s="642">
        <v>90812</v>
      </c>
      <c r="L212" s="642">
        <v>0.99670734919659321</v>
      </c>
      <c r="M212" s="642">
        <v>146</v>
      </c>
      <c r="N212" s="642">
        <v>604</v>
      </c>
      <c r="O212" s="642">
        <v>90600</v>
      </c>
      <c r="P212" s="656">
        <v>0.99438054262885245</v>
      </c>
      <c r="Q212" s="643">
        <v>150</v>
      </c>
    </row>
    <row r="213" spans="1:17" ht="14.4" customHeight="1" x14ac:dyDescent="0.3">
      <c r="A213" s="638" t="s">
        <v>2377</v>
      </c>
      <c r="B213" s="639" t="s">
        <v>2378</v>
      </c>
      <c r="C213" s="639" t="s">
        <v>1723</v>
      </c>
      <c r="D213" s="639" t="s">
        <v>2418</v>
      </c>
      <c r="E213" s="639" t="s">
        <v>2419</v>
      </c>
      <c r="F213" s="642">
        <v>2</v>
      </c>
      <c r="G213" s="642">
        <v>586</v>
      </c>
      <c r="H213" s="642">
        <v>1</v>
      </c>
      <c r="I213" s="642">
        <v>293</v>
      </c>
      <c r="J213" s="642">
        <v>7</v>
      </c>
      <c r="K213" s="642">
        <v>2058</v>
      </c>
      <c r="L213" s="642">
        <v>3.5119453924914676</v>
      </c>
      <c r="M213" s="642">
        <v>294</v>
      </c>
      <c r="N213" s="642">
        <v>2</v>
      </c>
      <c r="O213" s="642">
        <v>602</v>
      </c>
      <c r="P213" s="656">
        <v>1.0273037542662116</v>
      </c>
      <c r="Q213" s="643">
        <v>301</v>
      </c>
    </row>
    <row r="214" spans="1:17" ht="14.4" customHeight="1" x14ac:dyDescent="0.3">
      <c r="A214" s="638" t="s">
        <v>2420</v>
      </c>
      <c r="B214" s="639" t="s">
        <v>2421</v>
      </c>
      <c r="C214" s="639" t="s">
        <v>1723</v>
      </c>
      <c r="D214" s="639" t="s">
        <v>2422</v>
      </c>
      <c r="E214" s="639" t="s">
        <v>2423</v>
      </c>
      <c r="F214" s="642">
        <v>6</v>
      </c>
      <c r="G214" s="642">
        <v>318</v>
      </c>
      <c r="H214" s="642">
        <v>1</v>
      </c>
      <c r="I214" s="642">
        <v>53</v>
      </c>
      <c r="J214" s="642">
        <v>6</v>
      </c>
      <c r="K214" s="642">
        <v>324</v>
      </c>
      <c r="L214" s="642">
        <v>1.0188679245283019</v>
      </c>
      <c r="M214" s="642">
        <v>54</v>
      </c>
      <c r="N214" s="642">
        <v>18</v>
      </c>
      <c r="O214" s="642">
        <v>1044</v>
      </c>
      <c r="P214" s="656">
        <v>3.2830188679245285</v>
      </c>
      <c r="Q214" s="643">
        <v>58</v>
      </c>
    </row>
    <row r="215" spans="1:17" ht="14.4" customHeight="1" x14ac:dyDescent="0.3">
      <c r="A215" s="638" t="s">
        <v>2420</v>
      </c>
      <c r="B215" s="639" t="s">
        <v>2421</v>
      </c>
      <c r="C215" s="639" t="s">
        <v>1723</v>
      </c>
      <c r="D215" s="639" t="s">
        <v>2424</v>
      </c>
      <c r="E215" s="639" t="s">
        <v>2425</v>
      </c>
      <c r="F215" s="642">
        <v>12</v>
      </c>
      <c r="G215" s="642">
        <v>1462</v>
      </c>
      <c r="H215" s="642">
        <v>1</v>
      </c>
      <c r="I215" s="642">
        <v>121.83333333333333</v>
      </c>
      <c r="J215" s="642">
        <v>24</v>
      </c>
      <c r="K215" s="642">
        <v>2952</v>
      </c>
      <c r="L215" s="642">
        <v>2.0191518467852259</v>
      </c>
      <c r="M215" s="642">
        <v>123</v>
      </c>
      <c r="N215" s="642">
        <v>34</v>
      </c>
      <c r="O215" s="642">
        <v>4454</v>
      </c>
      <c r="P215" s="656">
        <v>3.0465116279069768</v>
      </c>
      <c r="Q215" s="643">
        <v>131</v>
      </c>
    </row>
    <row r="216" spans="1:17" ht="14.4" customHeight="1" x14ac:dyDescent="0.3">
      <c r="A216" s="638" t="s">
        <v>2420</v>
      </c>
      <c r="B216" s="639" t="s">
        <v>2421</v>
      </c>
      <c r="C216" s="639" t="s">
        <v>1723</v>
      </c>
      <c r="D216" s="639" t="s">
        <v>2426</v>
      </c>
      <c r="E216" s="639" t="s">
        <v>2427</v>
      </c>
      <c r="F216" s="642">
        <v>1</v>
      </c>
      <c r="G216" s="642">
        <v>176</v>
      </c>
      <c r="H216" s="642">
        <v>1</v>
      </c>
      <c r="I216" s="642">
        <v>176</v>
      </c>
      <c r="J216" s="642">
        <v>1</v>
      </c>
      <c r="K216" s="642">
        <v>177</v>
      </c>
      <c r="L216" s="642">
        <v>1.0056818181818181</v>
      </c>
      <c r="M216" s="642">
        <v>177</v>
      </c>
      <c r="N216" s="642">
        <v>1</v>
      </c>
      <c r="O216" s="642">
        <v>189</v>
      </c>
      <c r="P216" s="656">
        <v>1.0738636363636365</v>
      </c>
      <c r="Q216" s="643">
        <v>189</v>
      </c>
    </row>
    <row r="217" spans="1:17" ht="14.4" customHeight="1" x14ac:dyDescent="0.3">
      <c r="A217" s="638" t="s">
        <v>2420</v>
      </c>
      <c r="B217" s="639" t="s">
        <v>2421</v>
      </c>
      <c r="C217" s="639" t="s">
        <v>1723</v>
      </c>
      <c r="D217" s="639" t="s">
        <v>2428</v>
      </c>
      <c r="E217" s="639" t="s">
        <v>2429</v>
      </c>
      <c r="F217" s="642"/>
      <c r="G217" s="642"/>
      <c r="H217" s="642"/>
      <c r="I217" s="642"/>
      <c r="J217" s="642"/>
      <c r="K217" s="642"/>
      <c r="L217" s="642"/>
      <c r="M217" s="642"/>
      <c r="N217" s="642">
        <v>2</v>
      </c>
      <c r="O217" s="642">
        <v>814</v>
      </c>
      <c r="P217" s="656"/>
      <c r="Q217" s="643">
        <v>407</v>
      </c>
    </row>
    <row r="218" spans="1:17" ht="14.4" customHeight="1" x14ac:dyDescent="0.3">
      <c r="A218" s="638" t="s">
        <v>2420</v>
      </c>
      <c r="B218" s="639" t="s">
        <v>2421</v>
      </c>
      <c r="C218" s="639" t="s">
        <v>1723</v>
      </c>
      <c r="D218" s="639" t="s">
        <v>2430</v>
      </c>
      <c r="E218" s="639" t="s">
        <v>2431</v>
      </c>
      <c r="F218" s="642"/>
      <c r="G218" s="642"/>
      <c r="H218" s="642"/>
      <c r="I218" s="642"/>
      <c r="J218" s="642">
        <v>4</v>
      </c>
      <c r="K218" s="642">
        <v>688</v>
      </c>
      <c r="L218" s="642"/>
      <c r="M218" s="642">
        <v>172</v>
      </c>
      <c r="N218" s="642"/>
      <c r="O218" s="642"/>
      <c r="P218" s="656"/>
      <c r="Q218" s="643"/>
    </row>
    <row r="219" spans="1:17" ht="14.4" customHeight="1" x14ac:dyDescent="0.3">
      <c r="A219" s="638" t="s">
        <v>2420</v>
      </c>
      <c r="B219" s="639" t="s">
        <v>2421</v>
      </c>
      <c r="C219" s="639" t="s">
        <v>1723</v>
      </c>
      <c r="D219" s="639" t="s">
        <v>2432</v>
      </c>
      <c r="E219" s="639" t="s">
        <v>2433</v>
      </c>
      <c r="F219" s="642"/>
      <c r="G219" s="642"/>
      <c r="H219" s="642"/>
      <c r="I219" s="642"/>
      <c r="J219" s="642">
        <v>1</v>
      </c>
      <c r="K219" s="642">
        <v>533</v>
      </c>
      <c r="L219" s="642"/>
      <c r="M219" s="642">
        <v>533</v>
      </c>
      <c r="N219" s="642"/>
      <c r="O219" s="642"/>
      <c r="P219" s="656"/>
      <c r="Q219" s="643"/>
    </row>
    <row r="220" spans="1:17" ht="14.4" customHeight="1" x14ac:dyDescent="0.3">
      <c r="A220" s="638" t="s">
        <v>2420</v>
      </c>
      <c r="B220" s="639" t="s">
        <v>2421</v>
      </c>
      <c r="C220" s="639" t="s">
        <v>1723</v>
      </c>
      <c r="D220" s="639" t="s">
        <v>2434</v>
      </c>
      <c r="E220" s="639" t="s">
        <v>2435</v>
      </c>
      <c r="F220" s="642">
        <v>5</v>
      </c>
      <c r="G220" s="642">
        <v>1592</v>
      </c>
      <c r="H220" s="642">
        <v>1</v>
      </c>
      <c r="I220" s="642">
        <v>318.39999999999998</v>
      </c>
      <c r="J220" s="642">
        <v>3</v>
      </c>
      <c r="K220" s="642">
        <v>966</v>
      </c>
      <c r="L220" s="642">
        <v>0.60678391959798994</v>
      </c>
      <c r="M220" s="642">
        <v>322</v>
      </c>
      <c r="N220" s="642"/>
      <c r="O220" s="642"/>
      <c r="P220" s="656"/>
      <c r="Q220" s="643"/>
    </row>
    <row r="221" spans="1:17" ht="14.4" customHeight="1" x14ac:dyDescent="0.3">
      <c r="A221" s="638" t="s">
        <v>2420</v>
      </c>
      <c r="B221" s="639" t="s">
        <v>2421</v>
      </c>
      <c r="C221" s="639" t="s">
        <v>1723</v>
      </c>
      <c r="D221" s="639" t="s">
        <v>2436</v>
      </c>
      <c r="E221" s="639" t="s">
        <v>2437</v>
      </c>
      <c r="F221" s="642">
        <v>9</v>
      </c>
      <c r="G221" s="642">
        <v>3044</v>
      </c>
      <c r="H221" s="642">
        <v>1</v>
      </c>
      <c r="I221" s="642">
        <v>338.22222222222223</v>
      </c>
      <c r="J221" s="642">
        <v>23</v>
      </c>
      <c r="K221" s="642">
        <v>7843</v>
      </c>
      <c r="L221" s="642">
        <v>2.5765440210249673</v>
      </c>
      <c r="M221" s="642">
        <v>341</v>
      </c>
      <c r="N221" s="642">
        <v>39</v>
      </c>
      <c r="O221" s="642">
        <v>13611</v>
      </c>
      <c r="P221" s="656">
        <v>4.4714191852825227</v>
      </c>
      <c r="Q221" s="643">
        <v>349</v>
      </c>
    </row>
    <row r="222" spans="1:17" ht="14.4" customHeight="1" x14ac:dyDescent="0.3">
      <c r="A222" s="638" t="s">
        <v>2420</v>
      </c>
      <c r="B222" s="639" t="s">
        <v>2421</v>
      </c>
      <c r="C222" s="639" t="s">
        <v>1723</v>
      </c>
      <c r="D222" s="639" t="s">
        <v>2438</v>
      </c>
      <c r="E222" s="639" t="s">
        <v>2439</v>
      </c>
      <c r="F222" s="642"/>
      <c r="G222" s="642"/>
      <c r="H222" s="642"/>
      <c r="I222" s="642"/>
      <c r="J222" s="642"/>
      <c r="K222" s="642"/>
      <c r="L222" s="642"/>
      <c r="M222" s="642"/>
      <c r="N222" s="642">
        <v>2</v>
      </c>
      <c r="O222" s="642">
        <v>234</v>
      </c>
      <c r="P222" s="656"/>
      <c r="Q222" s="643">
        <v>117</v>
      </c>
    </row>
    <row r="223" spans="1:17" ht="14.4" customHeight="1" x14ac:dyDescent="0.3">
      <c r="A223" s="638" t="s">
        <v>2420</v>
      </c>
      <c r="B223" s="639" t="s">
        <v>2421</v>
      </c>
      <c r="C223" s="639" t="s">
        <v>1723</v>
      </c>
      <c r="D223" s="639" t="s">
        <v>2440</v>
      </c>
      <c r="E223" s="639" t="s">
        <v>2441</v>
      </c>
      <c r="F223" s="642"/>
      <c r="G223" s="642"/>
      <c r="H223" s="642"/>
      <c r="I223" s="642"/>
      <c r="J223" s="642"/>
      <c r="K223" s="642"/>
      <c r="L223" s="642"/>
      <c r="M223" s="642"/>
      <c r="N223" s="642">
        <v>2</v>
      </c>
      <c r="O223" s="642">
        <v>76</v>
      </c>
      <c r="P223" s="656"/>
      <c r="Q223" s="643">
        <v>38</v>
      </c>
    </row>
    <row r="224" spans="1:17" ht="14.4" customHeight="1" x14ac:dyDescent="0.3">
      <c r="A224" s="638" t="s">
        <v>2420</v>
      </c>
      <c r="B224" s="639" t="s">
        <v>2421</v>
      </c>
      <c r="C224" s="639" t="s">
        <v>1723</v>
      </c>
      <c r="D224" s="639" t="s">
        <v>2442</v>
      </c>
      <c r="E224" s="639" t="s">
        <v>2443</v>
      </c>
      <c r="F224" s="642">
        <v>7</v>
      </c>
      <c r="G224" s="642">
        <v>1985</v>
      </c>
      <c r="H224" s="642">
        <v>1</v>
      </c>
      <c r="I224" s="642">
        <v>283.57142857142856</v>
      </c>
      <c r="J224" s="642">
        <v>13</v>
      </c>
      <c r="K224" s="642">
        <v>3705</v>
      </c>
      <c r="L224" s="642">
        <v>1.8664987405541562</v>
      </c>
      <c r="M224" s="642">
        <v>285</v>
      </c>
      <c r="N224" s="642">
        <v>22</v>
      </c>
      <c r="O224" s="642">
        <v>6688</v>
      </c>
      <c r="P224" s="656">
        <v>3.3692695214105792</v>
      </c>
      <c r="Q224" s="643">
        <v>304</v>
      </c>
    </row>
    <row r="225" spans="1:17" ht="14.4" customHeight="1" x14ac:dyDescent="0.3">
      <c r="A225" s="638" t="s">
        <v>2420</v>
      </c>
      <c r="B225" s="639" t="s">
        <v>2421</v>
      </c>
      <c r="C225" s="639" t="s">
        <v>1723</v>
      </c>
      <c r="D225" s="639" t="s">
        <v>2444</v>
      </c>
      <c r="E225" s="639" t="s">
        <v>2445</v>
      </c>
      <c r="F225" s="642">
        <v>5</v>
      </c>
      <c r="G225" s="642">
        <v>2284</v>
      </c>
      <c r="H225" s="642">
        <v>1</v>
      </c>
      <c r="I225" s="642">
        <v>456.8</v>
      </c>
      <c r="J225" s="642">
        <v>5</v>
      </c>
      <c r="K225" s="642">
        <v>2310</v>
      </c>
      <c r="L225" s="642">
        <v>1.0113835376532399</v>
      </c>
      <c r="M225" s="642">
        <v>462</v>
      </c>
      <c r="N225" s="642">
        <v>5</v>
      </c>
      <c r="O225" s="642">
        <v>2470</v>
      </c>
      <c r="P225" s="656">
        <v>1.0814360770577933</v>
      </c>
      <c r="Q225" s="643">
        <v>494</v>
      </c>
    </row>
    <row r="226" spans="1:17" ht="14.4" customHeight="1" x14ac:dyDescent="0.3">
      <c r="A226" s="638" t="s">
        <v>2420</v>
      </c>
      <c r="B226" s="639" t="s">
        <v>2421</v>
      </c>
      <c r="C226" s="639" t="s">
        <v>1723</v>
      </c>
      <c r="D226" s="639" t="s">
        <v>2446</v>
      </c>
      <c r="E226" s="639" t="s">
        <v>2447</v>
      </c>
      <c r="F226" s="642">
        <v>11</v>
      </c>
      <c r="G226" s="642">
        <v>3870</v>
      </c>
      <c r="H226" s="642">
        <v>1</v>
      </c>
      <c r="I226" s="642">
        <v>351.81818181818181</v>
      </c>
      <c r="J226" s="642">
        <v>19</v>
      </c>
      <c r="K226" s="642">
        <v>6764</v>
      </c>
      <c r="L226" s="642">
        <v>1.7478036175710594</v>
      </c>
      <c r="M226" s="642">
        <v>356</v>
      </c>
      <c r="N226" s="642">
        <v>27</v>
      </c>
      <c r="O226" s="642">
        <v>9990</v>
      </c>
      <c r="P226" s="656">
        <v>2.5813953488372094</v>
      </c>
      <c r="Q226" s="643">
        <v>370</v>
      </c>
    </row>
    <row r="227" spans="1:17" ht="14.4" customHeight="1" x14ac:dyDescent="0.3">
      <c r="A227" s="638" t="s">
        <v>2420</v>
      </c>
      <c r="B227" s="639" t="s">
        <v>2421</v>
      </c>
      <c r="C227" s="639" t="s">
        <v>1723</v>
      </c>
      <c r="D227" s="639" t="s">
        <v>2448</v>
      </c>
      <c r="E227" s="639" t="s">
        <v>2449</v>
      </c>
      <c r="F227" s="642"/>
      <c r="G227" s="642"/>
      <c r="H227" s="642"/>
      <c r="I227" s="642"/>
      <c r="J227" s="642"/>
      <c r="K227" s="642"/>
      <c r="L227" s="642"/>
      <c r="M227" s="642"/>
      <c r="N227" s="642">
        <v>2</v>
      </c>
      <c r="O227" s="642">
        <v>990</v>
      </c>
      <c r="P227" s="656"/>
      <c r="Q227" s="643">
        <v>495</v>
      </c>
    </row>
    <row r="228" spans="1:17" ht="14.4" customHeight="1" x14ac:dyDescent="0.3">
      <c r="A228" s="638" t="s">
        <v>2420</v>
      </c>
      <c r="B228" s="639" t="s">
        <v>2421</v>
      </c>
      <c r="C228" s="639" t="s">
        <v>1723</v>
      </c>
      <c r="D228" s="639" t="s">
        <v>2450</v>
      </c>
      <c r="E228" s="639" t="s">
        <v>2451</v>
      </c>
      <c r="F228" s="642"/>
      <c r="G228" s="642"/>
      <c r="H228" s="642"/>
      <c r="I228" s="642"/>
      <c r="J228" s="642">
        <v>1</v>
      </c>
      <c r="K228" s="642">
        <v>437</v>
      </c>
      <c r="L228" s="642"/>
      <c r="M228" s="642">
        <v>437</v>
      </c>
      <c r="N228" s="642"/>
      <c r="O228" s="642"/>
      <c r="P228" s="656"/>
      <c r="Q228" s="643"/>
    </row>
    <row r="229" spans="1:17" ht="14.4" customHeight="1" x14ac:dyDescent="0.3">
      <c r="A229" s="638" t="s">
        <v>2420</v>
      </c>
      <c r="B229" s="639" t="s">
        <v>2421</v>
      </c>
      <c r="C229" s="639" t="s">
        <v>1723</v>
      </c>
      <c r="D229" s="639" t="s">
        <v>2452</v>
      </c>
      <c r="E229" s="639" t="s">
        <v>2453</v>
      </c>
      <c r="F229" s="642">
        <v>2</v>
      </c>
      <c r="G229" s="642">
        <v>108</v>
      </c>
      <c r="H229" s="642">
        <v>1</v>
      </c>
      <c r="I229" s="642">
        <v>54</v>
      </c>
      <c r="J229" s="642">
        <v>2</v>
      </c>
      <c r="K229" s="642">
        <v>108</v>
      </c>
      <c r="L229" s="642">
        <v>1</v>
      </c>
      <c r="M229" s="642">
        <v>54</v>
      </c>
      <c r="N229" s="642"/>
      <c r="O229" s="642"/>
      <c r="P229" s="656"/>
      <c r="Q229" s="643"/>
    </row>
    <row r="230" spans="1:17" ht="14.4" customHeight="1" x14ac:dyDescent="0.3">
      <c r="A230" s="638" t="s">
        <v>2420</v>
      </c>
      <c r="B230" s="639" t="s">
        <v>2421</v>
      </c>
      <c r="C230" s="639" t="s">
        <v>1723</v>
      </c>
      <c r="D230" s="639" t="s">
        <v>2454</v>
      </c>
      <c r="E230" s="639" t="s">
        <v>2455</v>
      </c>
      <c r="F230" s="642">
        <v>89</v>
      </c>
      <c r="G230" s="642">
        <v>14862</v>
      </c>
      <c r="H230" s="642">
        <v>1</v>
      </c>
      <c r="I230" s="642">
        <v>166.98876404494382</v>
      </c>
      <c r="J230" s="642">
        <v>139</v>
      </c>
      <c r="K230" s="642">
        <v>23491</v>
      </c>
      <c r="L230" s="642">
        <v>1.5806082626833535</v>
      </c>
      <c r="M230" s="642">
        <v>169</v>
      </c>
      <c r="N230" s="642">
        <v>222</v>
      </c>
      <c r="O230" s="642">
        <v>38850</v>
      </c>
      <c r="P230" s="656">
        <v>2.6140492531287847</v>
      </c>
      <c r="Q230" s="643">
        <v>175</v>
      </c>
    </row>
    <row r="231" spans="1:17" ht="14.4" customHeight="1" x14ac:dyDescent="0.3">
      <c r="A231" s="638" t="s">
        <v>2420</v>
      </c>
      <c r="B231" s="639" t="s">
        <v>2421</v>
      </c>
      <c r="C231" s="639" t="s">
        <v>1723</v>
      </c>
      <c r="D231" s="639" t="s">
        <v>2456</v>
      </c>
      <c r="E231" s="639" t="s">
        <v>2457</v>
      </c>
      <c r="F231" s="642">
        <v>1</v>
      </c>
      <c r="G231" s="642">
        <v>160</v>
      </c>
      <c r="H231" s="642">
        <v>1</v>
      </c>
      <c r="I231" s="642">
        <v>160</v>
      </c>
      <c r="J231" s="642">
        <v>1</v>
      </c>
      <c r="K231" s="642">
        <v>163</v>
      </c>
      <c r="L231" s="642">
        <v>1.01875</v>
      </c>
      <c r="M231" s="642">
        <v>163</v>
      </c>
      <c r="N231" s="642">
        <v>1</v>
      </c>
      <c r="O231" s="642">
        <v>169</v>
      </c>
      <c r="P231" s="656">
        <v>1.0562499999999999</v>
      </c>
      <c r="Q231" s="643">
        <v>169</v>
      </c>
    </row>
    <row r="232" spans="1:17" ht="14.4" customHeight="1" x14ac:dyDescent="0.3">
      <c r="A232" s="638" t="s">
        <v>2420</v>
      </c>
      <c r="B232" s="639" t="s">
        <v>2421</v>
      </c>
      <c r="C232" s="639" t="s">
        <v>1723</v>
      </c>
      <c r="D232" s="639" t="s">
        <v>2458</v>
      </c>
      <c r="E232" s="639" t="s">
        <v>2459</v>
      </c>
      <c r="F232" s="642"/>
      <c r="G232" s="642"/>
      <c r="H232" s="642"/>
      <c r="I232" s="642"/>
      <c r="J232" s="642"/>
      <c r="K232" s="642"/>
      <c r="L232" s="642"/>
      <c r="M232" s="642"/>
      <c r="N232" s="642">
        <v>2</v>
      </c>
      <c r="O232" s="642">
        <v>484</v>
      </c>
      <c r="P232" s="656"/>
      <c r="Q232" s="643">
        <v>242</v>
      </c>
    </row>
    <row r="233" spans="1:17" ht="14.4" customHeight="1" x14ac:dyDescent="0.3">
      <c r="A233" s="638" t="s">
        <v>2420</v>
      </c>
      <c r="B233" s="639" t="s">
        <v>2421</v>
      </c>
      <c r="C233" s="639" t="s">
        <v>1723</v>
      </c>
      <c r="D233" s="639" t="s">
        <v>2460</v>
      </c>
      <c r="E233" s="639" t="s">
        <v>2461</v>
      </c>
      <c r="F233" s="642">
        <v>4</v>
      </c>
      <c r="G233" s="642">
        <v>1636</v>
      </c>
      <c r="H233" s="642">
        <v>1</v>
      </c>
      <c r="I233" s="642">
        <v>409</v>
      </c>
      <c r="J233" s="642">
        <v>4</v>
      </c>
      <c r="K233" s="642">
        <v>1672</v>
      </c>
      <c r="L233" s="642">
        <v>1.0220048899755501</v>
      </c>
      <c r="M233" s="642">
        <v>418</v>
      </c>
      <c r="N233" s="642">
        <v>4</v>
      </c>
      <c r="O233" s="642">
        <v>1692</v>
      </c>
      <c r="P233" s="656">
        <v>1.0342298288508558</v>
      </c>
      <c r="Q233" s="643">
        <v>423</v>
      </c>
    </row>
    <row r="234" spans="1:17" ht="14.4" customHeight="1" x14ac:dyDescent="0.3">
      <c r="A234" s="638" t="s">
        <v>2462</v>
      </c>
      <c r="B234" s="639" t="s">
        <v>2463</v>
      </c>
      <c r="C234" s="639" t="s">
        <v>1723</v>
      </c>
      <c r="D234" s="639" t="s">
        <v>2464</v>
      </c>
      <c r="E234" s="639" t="s">
        <v>2465</v>
      </c>
      <c r="F234" s="642">
        <v>119</v>
      </c>
      <c r="G234" s="642">
        <v>18982</v>
      </c>
      <c r="H234" s="642">
        <v>1</v>
      </c>
      <c r="I234" s="642">
        <v>159.51260504201682</v>
      </c>
      <c r="J234" s="642">
        <v>136</v>
      </c>
      <c r="K234" s="642">
        <v>21896</v>
      </c>
      <c r="L234" s="642">
        <v>1.1535138552312718</v>
      </c>
      <c r="M234" s="642">
        <v>161</v>
      </c>
      <c r="N234" s="642">
        <v>151</v>
      </c>
      <c r="O234" s="642">
        <v>26123</v>
      </c>
      <c r="P234" s="656">
        <v>1.3761985038457487</v>
      </c>
      <c r="Q234" s="643">
        <v>173</v>
      </c>
    </row>
    <row r="235" spans="1:17" ht="14.4" customHeight="1" x14ac:dyDescent="0.3">
      <c r="A235" s="638" t="s">
        <v>2462</v>
      </c>
      <c r="B235" s="639" t="s">
        <v>2463</v>
      </c>
      <c r="C235" s="639" t="s">
        <v>1723</v>
      </c>
      <c r="D235" s="639" t="s">
        <v>2466</v>
      </c>
      <c r="E235" s="639" t="s">
        <v>2467</v>
      </c>
      <c r="F235" s="642">
        <v>20</v>
      </c>
      <c r="G235" s="642">
        <v>23327</v>
      </c>
      <c r="H235" s="642">
        <v>1</v>
      </c>
      <c r="I235" s="642">
        <v>1166.3499999999999</v>
      </c>
      <c r="J235" s="642">
        <v>16</v>
      </c>
      <c r="K235" s="642">
        <v>18704</v>
      </c>
      <c r="L235" s="642">
        <v>0.80181763621554425</v>
      </c>
      <c r="M235" s="642">
        <v>1169</v>
      </c>
      <c r="N235" s="642">
        <v>10</v>
      </c>
      <c r="O235" s="642">
        <v>11730</v>
      </c>
      <c r="P235" s="656">
        <v>0.50285077378145493</v>
      </c>
      <c r="Q235" s="643">
        <v>1173</v>
      </c>
    </row>
    <row r="236" spans="1:17" ht="14.4" customHeight="1" x14ac:dyDescent="0.3">
      <c r="A236" s="638" t="s">
        <v>2462</v>
      </c>
      <c r="B236" s="639" t="s">
        <v>2463</v>
      </c>
      <c r="C236" s="639" t="s">
        <v>1723</v>
      </c>
      <c r="D236" s="639" t="s">
        <v>2468</v>
      </c>
      <c r="E236" s="639" t="s">
        <v>2469</v>
      </c>
      <c r="F236" s="642">
        <v>1559</v>
      </c>
      <c r="G236" s="642">
        <v>61887</v>
      </c>
      <c r="H236" s="642">
        <v>1</v>
      </c>
      <c r="I236" s="642">
        <v>39.696600384862094</v>
      </c>
      <c r="J236" s="642">
        <v>1093</v>
      </c>
      <c r="K236" s="642">
        <v>43720</v>
      </c>
      <c r="L236" s="642">
        <v>0.70644885032397753</v>
      </c>
      <c r="M236" s="642">
        <v>40</v>
      </c>
      <c r="N236" s="642">
        <v>1928</v>
      </c>
      <c r="O236" s="642">
        <v>79048</v>
      </c>
      <c r="P236" s="656">
        <v>1.277295716386317</v>
      </c>
      <c r="Q236" s="643">
        <v>41</v>
      </c>
    </row>
    <row r="237" spans="1:17" ht="14.4" customHeight="1" x14ac:dyDescent="0.3">
      <c r="A237" s="638" t="s">
        <v>2462</v>
      </c>
      <c r="B237" s="639" t="s">
        <v>2463</v>
      </c>
      <c r="C237" s="639" t="s">
        <v>1723</v>
      </c>
      <c r="D237" s="639" t="s">
        <v>2396</v>
      </c>
      <c r="E237" s="639" t="s">
        <v>2397</v>
      </c>
      <c r="F237" s="642">
        <v>3</v>
      </c>
      <c r="G237" s="642">
        <v>1149</v>
      </c>
      <c r="H237" s="642">
        <v>1</v>
      </c>
      <c r="I237" s="642">
        <v>383</v>
      </c>
      <c r="J237" s="642">
        <v>1</v>
      </c>
      <c r="K237" s="642">
        <v>383</v>
      </c>
      <c r="L237" s="642">
        <v>0.33333333333333331</v>
      </c>
      <c r="M237" s="642">
        <v>383</v>
      </c>
      <c r="N237" s="642">
        <v>2</v>
      </c>
      <c r="O237" s="642">
        <v>768</v>
      </c>
      <c r="P237" s="656">
        <v>0.66840731070496084</v>
      </c>
      <c r="Q237" s="643">
        <v>384</v>
      </c>
    </row>
    <row r="238" spans="1:17" ht="14.4" customHeight="1" x14ac:dyDescent="0.3">
      <c r="A238" s="638" t="s">
        <v>2462</v>
      </c>
      <c r="B238" s="639" t="s">
        <v>2463</v>
      </c>
      <c r="C238" s="639" t="s">
        <v>1723</v>
      </c>
      <c r="D238" s="639" t="s">
        <v>2470</v>
      </c>
      <c r="E238" s="639" t="s">
        <v>2471</v>
      </c>
      <c r="F238" s="642">
        <v>12</v>
      </c>
      <c r="G238" s="642">
        <v>444</v>
      </c>
      <c r="H238" s="642">
        <v>1</v>
      </c>
      <c r="I238" s="642">
        <v>37</v>
      </c>
      <c r="J238" s="642">
        <v>8</v>
      </c>
      <c r="K238" s="642">
        <v>296</v>
      </c>
      <c r="L238" s="642">
        <v>0.66666666666666663</v>
      </c>
      <c r="M238" s="642">
        <v>37</v>
      </c>
      <c r="N238" s="642">
        <v>8</v>
      </c>
      <c r="O238" s="642">
        <v>296</v>
      </c>
      <c r="P238" s="656">
        <v>0.66666666666666663</v>
      </c>
      <c r="Q238" s="643">
        <v>37</v>
      </c>
    </row>
    <row r="239" spans="1:17" ht="14.4" customHeight="1" x14ac:dyDescent="0.3">
      <c r="A239" s="638" t="s">
        <v>2462</v>
      </c>
      <c r="B239" s="639" t="s">
        <v>2463</v>
      </c>
      <c r="C239" s="639" t="s">
        <v>1723</v>
      </c>
      <c r="D239" s="639" t="s">
        <v>2472</v>
      </c>
      <c r="E239" s="639" t="s">
        <v>2473</v>
      </c>
      <c r="F239" s="642">
        <v>3</v>
      </c>
      <c r="G239" s="642">
        <v>1335</v>
      </c>
      <c r="H239" s="642">
        <v>1</v>
      </c>
      <c r="I239" s="642">
        <v>445</v>
      </c>
      <c r="J239" s="642">
        <v>9</v>
      </c>
      <c r="K239" s="642">
        <v>4005</v>
      </c>
      <c r="L239" s="642">
        <v>3</v>
      </c>
      <c r="M239" s="642">
        <v>445</v>
      </c>
      <c r="N239" s="642">
        <v>6</v>
      </c>
      <c r="O239" s="642">
        <v>2676</v>
      </c>
      <c r="P239" s="656">
        <v>2.0044943820224721</v>
      </c>
      <c r="Q239" s="643">
        <v>446</v>
      </c>
    </row>
    <row r="240" spans="1:17" ht="14.4" customHeight="1" x14ac:dyDescent="0.3">
      <c r="A240" s="638" t="s">
        <v>2462</v>
      </c>
      <c r="B240" s="639" t="s">
        <v>2463</v>
      </c>
      <c r="C240" s="639" t="s">
        <v>1723</v>
      </c>
      <c r="D240" s="639" t="s">
        <v>2474</v>
      </c>
      <c r="E240" s="639" t="s">
        <v>2475</v>
      </c>
      <c r="F240" s="642">
        <v>1</v>
      </c>
      <c r="G240" s="642">
        <v>491</v>
      </c>
      <c r="H240" s="642">
        <v>1</v>
      </c>
      <c r="I240" s="642">
        <v>491</v>
      </c>
      <c r="J240" s="642">
        <v>9</v>
      </c>
      <c r="K240" s="642">
        <v>4419</v>
      </c>
      <c r="L240" s="642">
        <v>9</v>
      </c>
      <c r="M240" s="642">
        <v>491</v>
      </c>
      <c r="N240" s="642">
        <v>13</v>
      </c>
      <c r="O240" s="642">
        <v>6396</v>
      </c>
      <c r="P240" s="656">
        <v>13.026476578411405</v>
      </c>
      <c r="Q240" s="643">
        <v>492</v>
      </c>
    </row>
    <row r="241" spans="1:17" ht="14.4" customHeight="1" x14ac:dyDescent="0.3">
      <c r="A241" s="638" t="s">
        <v>2462</v>
      </c>
      <c r="B241" s="639" t="s">
        <v>2463</v>
      </c>
      <c r="C241" s="639" t="s">
        <v>1723</v>
      </c>
      <c r="D241" s="639" t="s">
        <v>2476</v>
      </c>
      <c r="E241" s="639" t="s">
        <v>2477</v>
      </c>
      <c r="F241" s="642">
        <v>5</v>
      </c>
      <c r="G241" s="642">
        <v>155</v>
      </c>
      <c r="H241" s="642">
        <v>1</v>
      </c>
      <c r="I241" s="642">
        <v>31</v>
      </c>
      <c r="J241" s="642">
        <v>4</v>
      </c>
      <c r="K241" s="642">
        <v>124</v>
      </c>
      <c r="L241" s="642">
        <v>0.8</v>
      </c>
      <c r="M241" s="642">
        <v>31</v>
      </c>
      <c r="N241" s="642">
        <v>15</v>
      </c>
      <c r="O241" s="642">
        <v>465</v>
      </c>
      <c r="P241" s="656">
        <v>3</v>
      </c>
      <c r="Q241" s="643">
        <v>31</v>
      </c>
    </row>
    <row r="242" spans="1:17" ht="14.4" customHeight="1" x14ac:dyDescent="0.3">
      <c r="A242" s="638" t="s">
        <v>2462</v>
      </c>
      <c r="B242" s="639" t="s">
        <v>2463</v>
      </c>
      <c r="C242" s="639" t="s">
        <v>1723</v>
      </c>
      <c r="D242" s="639" t="s">
        <v>2478</v>
      </c>
      <c r="E242" s="639" t="s">
        <v>2479</v>
      </c>
      <c r="F242" s="642">
        <v>4</v>
      </c>
      <c r="G242" s="642">
        <v>926</v>
      </c>
      <c r="H242" s="642">
        <v>1</v>
      </c>
      <c r="I242" s="642">
        <v>231.5</v>
      </c>
      <c r="J242" s="642">
        <v>6</v>
      </c>
      <c r="K242" s="642">
        <v>1404</v>
      </c>
      <c r="L242" s="642">
        <v>1.5161987041036717</v>
      </c>
      <c r="M242" s="642">
        <v>234</v>
      </c>
      <c r="N242" s="642">
        <v>10</v>
      </c>
      <c r="O242" s="642">
        <v>2360</v>
      </c>
      <c r="P242" s="656">
        <v>2.548596112311015</v>
      </c>
      <c r="Q242" s="643">
        <v>236</v>
      </c>
    </row>
    <row r="243" spans="1:17" ht="14.4" customHeight="1" x14ac:dyDescent="0.3">
      <c r="A243" s="638" t="s">
        <v>2462</v>
      </c>
      <c r="B243" s="639" t="s">
        <v>2463</v>
      </c>
      <c r="C243" s="639" t="s">
        <v>1723</v>
      </c>
      <c r="D243" s="639" t="s">
        <v>2480</v>
      </c>
      <c r="E243" s="639" t="s">
        <v>2481</v>
      </c>
      <c r="F243" s="642">
        <v>1208</v>
      </c>
      <c r="G243" s="642">
        <v>138164</v>
      </c>
      <c r="H243" s="642">
        <v>1</v>
      </c>
      <c r="I243" s="642">
        <v>114.37417218543047</v>
      </c>
      <c r="J243" s="642">
        <v>919</v>
      </c>
      <c r="K243" s="642">
        <v>106604</v>
      </c>
      <c r="L243" s="642">
        <v>0.7715758084595119</v>
      </c>
      <c r="M243" s="642">
        <v>116</v>
      </c>
      <c r="N243" s="642">
        <v>1373</v>
      </c>
      <c r="O243" s="642">
        <v>160641</v>
      </c>
      <c r="P243" s="656">
        <v>1.1626834776063228</v>
      </c>
      <c r="Q243" s="643">
        <v>117</v>
      </c>
    </row>
    <row r="244" spans="1:17" ht="14.4" customHeight="1" x14ac:dyDescent="0.3">
      <c r="A244" s="638" t="s">
        <v>2462</v>
      </c>
      <c r="B244" s="639" t="s">
        <v>2463</v>
      </c>
      <c r="C244" s="639" t="s">
        <v>1723</v>
      </c>
      <c r="D244" s="639" t="s">
        <v>2482</v>
      </c>
      <c r="E244" s="639" t="s">
        <v>2483</v>
      </c>
      <c r="F244" s="642">
        <v>74</v>
      </c>
      <c r="G244" s="642">
        <v>6267</v>
      </c>
      <c r="H244" s="642">
        <v>1</v>
      </c>
      <c r="I244" s="642">
        <v>84.689189189189193</v>
      </c>
      <c r="J244" s="642">
        <v>66</v>
      </c>
      <c r="K244" s="642">
        <v>5610</v>
      </c>
      <c r="L244" s="642">
        <v>0.89516515078985159</v>
      </c>
      <c r="M244" s="642">
        <v>85</v>
      </c>
      <c r="N244" s="642">
        <v>108</v>
      </c>
      <c r="O244" s="642">
        <v>9828</v>
      </c>
      <c r="P244" s="656">
        <v>1.5682144566778362</v>
      </c>
      <c r="Q244" s="643">
        <v>91</v>
      </c>
    </row>
    <row r="245" spans="1:17" ht="14.4" customHeight="1" x14ac:dyDescent="0.3">
      <c r="A245" s="638" t="s">
        <v>2462</v>
      </c>
      <c r="B245" s="639" t="s">
        <v>2463</v>
      </c>
      <c r="C245" s="639" t="s">
        <v>1723</v>
      </c>
      <c r="D245" s="639" t="s">
        <v>2484</v>
      </c>
      <c r="E245" s="639" t="s">
        <v>2485</v>
      </c>
      <c r="F245" s="642">
        <v>10</v>
      </c>
      <c r="G245" s="642">
        <v>969</v>
      </c>
      <c r="H245" s="642">
        <v>1</v>
      </c>
      <c r="I245" s="642">
        <v>96.9</v>
      </c>
      <c r="J245" s="642">
        <v>12</v>
      </c>
      <c r="K245" s="642">
        <v>1176</v>
      </c>
      <c r="L245" s="642">
        <v>1.2136222910216719</v>
      </c>
      <c r="M245" s="642">
        <v>98</v>
      </c>
      <c r="N245" s="642">
        <v>16</v>
      </c>
      <c r="O245" s="642">
        <v>1584</v>
      </c>
      <c r="P245" s="656">
        <v>1.6346749226006192</v>
      </c>
      <c r="Q245" s="643">
        <v>99</v>
      </c>
    </row>
    <row r="246" spans="1:17" ht="14.4" customHeight="1" x14ac:dyDescent="0.3">
      <c r="A246" s="638" t="s">
        <v>2462</v>
      </c>
      <c r="B246" s="639" t="s">
        <v>2463</v>
      </c>
      <c r="C246" s="639" t="s">
        <v>1723</v>
      </c>
      <c r="D246" s="639" t="s">
        <v>2486</v>
      </c>
      <c r="E246" s="639" t="s">
        <v>2487</v>
      </c>
      <c r="F246" s="642">
        <v>171</v>
      </c>
      <c r="G246" s="642">
        <v>3591</v>
      </c>
      <c r="H246" s="642">
        <v>1</v>
      </c>
      <c r="I246" s="642">
        <v>21</v>
      </c>
      <c r="J246" s="642">
        <v>34</v>
      </c>
      <c r="K246" s="642">
        <v>714</v>
      </c>
      <c r="L246" s="642">
        <v>0.19883040935672514</v>
      </c>
      <c r="M246" s="642">
        <v>21</v>
      </c>
      <c r="N246" s="642">
        <v>37</v>
      </c>
      <c r="O246" s="642">
        <v>777</v>
      </c>
      <c r="P246" s="656">
        <v>0.21637426900584794</v>
      </c>
      <c r="Q246" s="643">
        <v>21</v>
      </c>
    </row>
    <row r="247" spans="1:17" ht="14.4" customHeight="1" x14ac:dyDescent="0.3">
      <c r="A247" s="638" t="s">
        <v>2462</v>
      </c>
      <c r="B247" s="639" t="s">
        <v>2463</v>
      </c>
      <c r="C247" s="639" t="s">
        <v>1723</v>
      </c>
      <c r="D247" s="639" t="s">
        <v>2405</v>
      </c>
      <c r="E247" s="639" t="s">
        <v>2406</v>
      </c>
      <c r="F247" s="642">
        <v>166</v>
      </c>
      <c r="G247" s="642">
        <v>80790</v>
      </c>
      <c r="H247" s="642">
        <v>1</v>
      </c>
      <c r="I247" s="642">
        <v>486.68674698795184</v>
      </c>
      <c r="J247" s="642">
        <v>223</v>
      </c>
      <c r="K247" s="642">
        <v>108601</v>
      </c>
      <c r="L247" s="642">
        <v>1.3442381482856789</v>
      </c>
      <c r="M247" s="642">
        <v>487</v>
      </c>
      <c r="N247" s="642">
        <v>127</v>
      </c>
      <c r="O247" s="642">
        <v>61976</v>
      </c>
      <c r="P247" s="656">
        <v>0.76712464413912618</v>
      </c>
      <c r="Q247" s="643">
        <v>488</v>
      </c>
    </row>
    <row r="248" spans="1:17" ht="14.4" customHeight="1" x14ac:dyDescent="0.3">
      <c r="A248" s="638" t="s">
        <v>2462</v>
      </c>
      <c r="B248" s="639" t="s">
        <v>2463</v>
      </c>
      <c r="C248" s="639" t="s">
        <v>1723</v>
      </c>
      <c r="D248" s="639" t="s">
        <v>2488</v>
      </c>
      <c r="E248" s="639" t="s">
        <v>2489</v>
      </c>
      <c r="F248" s="642"/>
      <c r="G248" s="642"/>
      <c r="H248" s="642"/>
      <c r="I248" s="642"/>
      <c r="J248" s="642">
        <v>2</v>
      </c>
      <c r="K248" s="642">
        <v>646</v>
      </c>
      <c r="L248" s="642"/>
      <c r="M248" s="642">
        <v>323</v>
      </c>
      <c r="N248" s="642"/>
      <c r="O248" s="642"/>
      <c r="P248" s="656"/>
      <c r="Q248" s="643"/>
    </row>
    <row r="249" spans="1:17" ht="14.4" customHeight="1" x14ac:dyDescent="0.3">
      <c r="A249" s="638" t="s">
        <v>2462</v>
      </c>
      <c r="B249" s="639" t="s">
        <v>2463</v>
      </c>
      <c r="C249" s="639" t="s">
        <v>1723</v>
      </c>
      <c r="D249" s="639" t="s">
        <v>2490</v>
      </c>
      <c r="E249" s="639" t="s">
        <v>2491</v>
      </c>
      <c r="F249" s="642"/>
      <c r="G249" s="642"/>
      <c r="H249" s="642"/>
      <c r="I249" s="642"/>
      <c r="J249" s="642">
        <v>1</v>
      </c>
      <c r="K249" s="642">
        <v>67</v>
      </c>
      <c r="L249" s="642"/>
      <c r="M249" s="642">
        <v>67</v>
      </c>
      <c r="N249" s="642"/>
      <c r="O249" s="642"/>
      <c r="P249" s="656"/>
      <c r="Q249" s="643"/>
    </row>
    <row r="250" spans="1:17" ht="14.4" customHeight="1" x14ac:dyDescent="0.3">
      <c r="A250" s="638" t="s">
        <v>2462</v>
      </c>
      <c r="B250" s="639" t="s">
        <v>2463</v>
      </c>
      <c r="C250" s="639" t="s">
        <v>1723</v>
      </c>
      <c r="D250" s="639" t="s">
        <v>2492</v>
      </c>
      <c r="E250" s="639" t="s">
        <v>2493</v>
      </c>
      <c r="F250" s="642">
        <v>44</v>
      </c>
      <c r="G250" s="642">
        <v>1792</v>
      </c>
      <c r="H250" s="642">
        <v>1</v>
      </c>
      <c r="I250" s="642">
        <v>40.727272727272727</v>
      </c>
      <c r="J250" s="642">
        <v>80</v>
      </c>
      <c r="K250" s="642">
        <v>3280</v>
      </c>
      <c r="L250" s="642">
        <v>1.8303571428571428</v>
      </c>
      <c r="M250" s="642">
        <v>41</v>
      </c>
      <c r="N250" s="642">
        <v>92</v>
      </c>
      <c r="O250" s="642">
        <v>3772</v>
      </c>
      <c r="P250" s="656">
        <v>2.1049107142857144</v>
      </c>
      <c r="Q250" s="643">
        <v>41</v>
      </c>
    </row>
    <row r="251" spans="1:17" ht="14.4" customHeight="1" x14ac:dyDescent="0.3">
      <c r="A251" s="638" t="s">
        <v>2462</v>
      </c>
      <c r="B251" s="639" t="s">
        <v>2463</v>
      </c>
      <c r="C251" s="639" t="s">
        <v>1723</v>
      </c>
      <c r="D251" s="639" t="s">
        <v>2494</v>
      </c>
      <c r="E251" s="639" t="s">
        <v>2495</v>
      </c>
      <c r="F251" s="642">
        <v>3</v>
      </c>
      <c r="G251" s="642">
        <v>1818</v>
      </c>
      <c r="H251" s="642">
        <v>1</v>
      </c>
      <c r="I251" s="642">
        <v>606</v>
      </c>
      <c r="J251" s="642">
        <v>9</v>
      </c>
      <c r="K251" s="642">
        <v>5472</v>
      </c>
      <c r="L251" s="642">
        <v>3.0099009900990099</v>
      </c>
      <c r="M251" s="642">
        <v>608</v>
      </c>
      <c r="N251" s="642">
        <v>15</v>
      </c>
      <c r="O251" s="642">
        <v>9210</v>
      </c>
      <c r="P251" s="656">
        <v>5.0660066006600664</v>
      </c>
      <c r="Q251" s="643">
        <v>614</v>
      </c>
    </row>
    <row r="252" spans="1:17" ht="14.4" customHeight="1" x14ac:dyDescent="0.3">
      <c r="A252" s="638" t="s">
        <v>2462</v>
      </c>
      <c r="B252" s="639" t="s">
        <v>2463</v>
      </c>
      <c r="C252" s="639" t="s">
        <v>1723</v>
      </c>
      <c r="D252" s="639" t="s">
        <v>2496</v>
      </c>
      <c r="E252" s="639" t="s">
        <v>2497</v>
      </c>
      <c r="F252" s="642">
        <v>4</v>
      </c>
      <c r="G252" s="642">
        <v>982</v>
      </c>
      <c r="H252" s="642">
        <v>1</v>
      </c>
      <c r="I252" s="642">
        <v>245.5</v>
      </c>
      <c r="J252" s="642">
        <v>6</v>
      </c>
      <c r="K252" s="642">
        <v>1488</v>
      </c>
      <c r="L252" s="642">
        <v>1.5152749490835031</v>
      </c>
      <c r="M252" s="642">
        <v>248</v>
      </c>
      <c r="N252" s="642">
        <v>10</v>
      </c>
      <c r="O252" s="642">
        <v>2490</v>
      </c>
      <c r="P252" s="656">
        <v>2.5356415478615073</v>
      </c>
      <c r="Q252" s="643">
        <v>249</v>
      </c>
    </row>
    <row r="253" spans="1:17" ht="14.4" customHeight="1" x14ac:dyDescent="0.3">
      <c r="A253" s="638" t="s">
        <v>2462</v>
      </c>
      <c r="B253" s="639" t="s">
        <v>2463</v>
      </c>
      <c r="C253" s="639" t="s">
        <v>1723</v>
      </c>
      <c r="D253" s="639" t="s">
        <v>2498</v>
      </c>
      <c r="E253" s="639" t="s">
        <v>2499</v>
      </c>
      <c r="F253" s="642">
        <v>161</v>
      </c>
      <c r="G253" s="642">
        <v>4347</v>
      </c>
      <c r="H253" s="642">
        <v>1</v>
      </c>
      <c r="I253" s="642">
        <v>27</v>
      </c>
      <c r="J253" s="642">
        <v>159</v>
      </c>
      <c r="K253" s="642">
        <v>4293</v>
      </c>
      <c r="L253" s="642">
        <v>0.98757763975155277</v>
      </c>
      <c r="M253" s="642">
        <v>27</v>
      </c>
      <c r="N253" s="642">
        <v>254</v>
      </c>
      <c r="O253" s="642">
        <v>6858</v>
      </c>
      <c r="P253" s="656">
        <v>1.5776397515527951</v>
      </c>
      <c r="Q253" s="643">
        <v>27</v>
      </c>
    </row>
    <row r="254" spans="1:17" ht="14.4" customHeight="1" x14ac:dyDescent="0.3">
      <c r="A254" s="638" t="s">
        <v>2500</v>
      </c>
      <c r="B254" s="639" t="s">
        <v>2302</v>
      </c>
      <c r="C254" s="639" t="s">
        <v>1723</v>
      </c>
      <c r="D254" s="639" t="s">
        <v>2501</v>
      </c>
      <c r="E254" s="639" t="s">
        <v>2502</v>
      </c>
      <c r="F254" s="642"/>
      <c r="G254" s="642"/>
      <c r="H254" s="642"/>
      <c r="I254" s="642"/>
      <c r="J254" s="642">
        <v>1</v>
      </c>
      <c r="K254" s="642">
        <v>167</v>
      </c>
      <c r="L254" s="642"/>
      <c r="M254" s="642">
        <v>167</v>
      </c>
      <c r="N254" s="642"/>
      <c r="O254" s="642"/>
      <c r="P254" s="656"/>
      <c r="Q254" s="643"/>
    </row>
    <row r="255" spans="1:17" ht="14.4" customHeight="1" x14ac:dyDescent="0.3">
      <c r="A255" s="638" t="s">
        <v>2500</v>
      </c>
      <c r="B255" s="639" t="s">
        <v>2302</v>
      </c>
      <c r="C255" s="639" t="s">
        <v>1723</v>
      </c>
      <c r="D255" s="639" t="s">
        <v>2503</v>
      </c>
      <c r="E255" s="639" t="s">
        <v>2504</v>
      </c>
      <c r="F255" s="642"/>
      <c r="G255" s="642"/>
      <c r="H255" s="642"/>
      <c r="I255" s="642"/>
      <c r="J255" s="642">
        <v>1</v>
      </c>
      <c r="K255" s="642">
        <v>173</v>
      </c>
      <c r="L255" s="642"/>
      <c r="M255" s="642">
        <v>173</v>
      </c>
      <c r="N255" s="642"/>
      <c r="O255" s="642"/>
      <c r="P255" s="656"/>
      <c r="Q255" s="643"/>
    </row>
    <row r="256" spans="1:17" ht="14.4" customHeight="1" x14ac:dyDescent="0.3">
      <c r="A256" s="638" t="s">
        <v>2500</v>
      </c>
      <c r="B256" s="639" t="s">
        <v>2302</v>
      </c>
      <c r="C256" s="639" t="s">
        <v>1723</v>
      </c>
      <c r="D256" s="639" t="s">
        <v>2505</v>
      </c>
      <c r="E256" s="639" t="s">
        <v>2506</v>
      </c>
      <c r="F256" s="642">
        <v>3</v>
      </c>
      <c r="G256" s="642">
        <v>1637</v>
      </c>
      <c r="H256" s="642">
        <v>1</v>
      </c>
      <c r="I256" s="642">
        <v>545.66666666666663</v>
      </c>
      <c r="J256" s="642">
        <v>8</v>
      </c>
      <c r="K256" s="642">
        <v>4376</v>
      </c>
      <c r="L256" s="642">
        <v>2.6731826511912034</v>
      </c>
      <c r="M256" s="642">
        <v>547</v>
      </c>
      <c r="N256" s="642">
        <v>1</v>
      </c>
      <c r="O256" s="642">
        <v>549</v>
      </c>
      <c r="P256" s="656">
        <v>0.33536957849725108</v>
      </c>
      <c r="Q256" s="643">
        <v>549</v>
      </c>
    </row>
    <row r="257" spans="1:17" ht="14.4" customHeight="1" x14ac:dyDescent="0.3">
      <c r="A257" s="638" t="s">
        <v>2500</v>
      </c>
      <c r="B257" s="639" t="s">
        <v>2302</v>
      </c>
      <c r="C257" s="639" t="s">
        <v>1723</v>
      </c>
      <c r="D257" s="639" t="s">
        <v>2507</v>
      </c>
      <c r="E257" s="639" t="s">
        <v>2508</v>
      </c>
      <c r="F257" s="642">
        <v>5</v>
      </c>
      <c r="G257" s="642">
        <v>3253</v>
      </c>
      <c r="H257" s="642">
        <v>1</v>
      </c>
      <c r="I257" s="642">
        <v>650.6</v>
      </c>
      <c r="J257" s="642">
        <v>8</v>
      </c>
      <c r="K257" s="642">
        <v>5216</v>
      </c>
      <c r="L257" s="642">
        <v>1.6034429757147248</v>
      </c>
      <c r="M257" s="642">
        <v>652</v>
      </c>
      <c r="N257" s="642">
        <v>5</v>
      </c>
      <c r="O257" s="642">
        <v>3270</v>
      </c>
      <c r="P257" s="656">
        <v>1.0052259452812788</v>
      </c>
      <c r="Q257" s="643">
        <v>654</v>
      </c>
    </row>
    <row r="258" spans="1:17" ht="14.4" customHeight="1" x14ac:dyDescent="0.3">
      <c r="A258" s="638" t="s">
        <v>2500</v>
      </c>
      <c r="B258" s="639" t="s">
        <v>2302</v>
      </c>
      <c r="C258" s="639" t="s">
        <v>1723</v>
      </c>
      <c r="D258" s="639" t="s">
        <v>2509</v>
      </c>
      <c r="E258" s="639" t="s">
        <v>2510</v>
      </c>
      <c r="F258" s="642">
        <v>5</v>
      </c>
      <c r="G258" s="642">
        <v>3253</v>
      </c>
      <c r="H258" s="642">
        <v>1</v>
      </c>
      <c r="I258" s="642">
        <v>650.6</v>
      </c>
      <c r="J258" s="642">
        <v>8</v>
      </c>
      <c r="K258" s="642">
        <v>5216</v>
      </c>
      <c r="L258" s="642">
        <v>1.6034429757147248</v>
      </c>
      <c r="M258" s="642">
        <v>652</v>
      </c>
      <c r="N258" s="642">
        <v>5</v>
      </c>
      <c r="O258" s="642">
        <v>3270</v>
      </c>
      <c r="P258" s="656">
        <v>1.0052259452812788</v>
      </c>
      <c r="Q258" s="643">
        <v>654</v>
      </c>
    </row>
    <row r="259" spans="1:17" ht="14.4" customHeight="1" x14ac:dyDescent="0.3">
      <c r="A259" s="638" t="s">
        <v>2500</v>
      </c>
      <c r="B259" s="639" t="s">
        <v>2302</v>
      </c>
      <c r="C259" s="639" t="s">
        <v>1723</v>
      </c>
      <c r="D259" s="639" t="s">
        <v>2511</v>
      </c>
      <c r="E259" s="639" t="s">
        <v>2512</v>
      </c>
      <c r="F259" s="642"/>
      <c r="G259" s="642"/>
      <c r="H259" s="642"/>
      <c r="I259" s="642"/>
      <c r="J259" s="642">
        <v>1</v>
      </c>
      <c r="K259" s="642">
        <v>347</v>
      </c>
      <c r="L259" s="642"/>
      <c r="M259" s="642">
        <v>347</v>
      </c>
      <c r="N259" s="642"/>
      <c r="O259" s="642"/>
      <c r="P259" s="656"/>
      <c r="Q259" s="643"/>
    </row>
    <row r="260" spans="1:17" ht="14.4" customHeight="1" x14ac:dyDescent="0.3">
      <c r="A260" s="638" t="s">
        <v>2500</v>
      </c>
      <c r="B260" s="639" t="s">
        <v>2302</v>
      </c>
      <c r="C260" s="639" t="s">
        <v>1723</v>
      </c>
      <c r="D260" s="639" t="s">
        <v>2513</v>
      </c>
      <c r="E260" s="639" t="s">
        <v>2514</v>
      </c>
      <c r="F260" s="642">
        <v>5</v>
      </c>
      <c r="G260" s="642">
        <v>1553</v>
      </c>
      <c r="H260" s="642">
        <v>1</v>
      </c>
      <c r="I260" s="642">
        <v>310.60000000000002</v>
      </c>
      <c r="J260" s="642">
        <v>15</v>
      </c>
      <c r="K260" s="642">
        <v>4665</v>
      </c>
      <c r="L260" s="642">
        <v>3.0038634900193175</v>
      </c>
      <c r="M260" s="642">
        <v>311</v>
      </c>
      <c r="N260" s="642">
        <v>5</v>
      </c>
      <c r="O260" s="642">
        <v>1560</v>
      </c>
      <c r="P260" s="656">
        <v>1.0045074050225371</v>
      </c>
      <c r="Q260" s="643">
        <v>312</v>
      </c>
    </row>
    <row r="261" spans="1:17" ht="14.4" customHeight="1" x14ac:dyDescent="0.3">
      <c r="A261" s="638" t="s">
        <v>2500</v>
      </c>
      <c r="B261" s="639" t="s">
        <v>2302</v>
      </c>
      <c r="C261" s="639" t="s">
        <v>1723</v>
      </c>
      <c r="D261" s="639" t="s">
        <v>2022</v>
      </c>
      <c r="E261" s="639" t="s">
        <v>2023</v>
      </c>
      <c r="F261" s="642">
        <v>3</v>
      </c>
      <c r="G261" s="642">
        <v>69</v>
      </c>
      <c r="H261" s="642">
        <v>1</v>
      </c>
      <c r="I261" s="642">
        <v>23</v>
      </c>
      <c r="J261" s="642">
        <v>5</v>
      </c>
      <c r="K261" s="642">
        <v>115</v>
      </c>
      <c r="L261" s="642">
        <v>1.6666666666666667</v>
      </c>
      <c r="M261" s="642">
        <v>23</v>
      </c>
      <c r="N261" s="642">
        <v>4</v>
      </c>
      <c r="O261" s="642">
        <v>92</v>
      </c>
      <c r="P261" s="656">
        <v>1.3333333333333333</v>
      </c>
      <c r="Q261" s="643">
        <v>23</v>
      </c>
    </row>
    <row r="262" spans="1:17" ht="14.4" customHeight="1" x14ac:dyDescent="0.3">
      <c r="A262" s="638" t="s">
        <v>2500</v>
      </c>
      <c r="B262" s="639" t="s">
        <v>2302</v>
      </c>
      <c r="C262" s="639" t="s">
        <v>1723</v>
      </c>
      <c r="D262" s="639" t="s">
        <v>2047</v>
      </c>
      <c r="E262" s="639" t="s">
        <v>2048</v>
      </c>
      <c r="F262" s="642"/>
      <c r="G262" s="642"/>
      <c r="H262" s="642"/>
      <c r="I262" s="642"/>
      <c r="J262" s="642">
        <v>5</v>
      </c>
      <c r="K262" s="642">
        <v>1745</v>
      </c>
      <c r="L262" s="642"/>
      <c r="M262" s="642">
        <v>349</v>
      </c>
      <c r="N262" s="642">
        <v>9</v>
      </c>
      <c r="O262" s="642">
        <v>3150</v>
      </c>
      <c r="P262" s="656"/>
      <c r="Q262" s="643">
        <v>350</v>
      </c>
    </row>
    <row r="263" spans="1:17" ht="14.4" customHeight="1" x14ac:dyDescent="0.3">
      <c r="A263" s="638" t="s">
        <v>2500</v>
      </c>
      <c r="B263" s="639" t="s">
        <v>2302</v>
      </c>
      <c r="C263" s="639" t="s">
        <v>1723</v>
      </c>
      <c r="D263" s="639" t="s">
        <v>2015</v>
      </c>
      <c r="E263" s="639" t="s">
        <v>2016</v>
      </c>
      <c r="F263" s="642">
        <v>3</v>
      </c>
      <c r="G263" s="642">
        <v>3783</v>
      </c>
      <c r="H263" s="642">
        <v>1</v>
      </c>
      <c r="I263" s="642">
        <v>1261</v>
      </c>
      <c r="J263" s="642">
        <v>5</v>
      </c>
      <c r="K263" s="642">
        <v>6340</v>
      </c>
      <c r="L263" s="642">
        <v>1.675918583135078</v>
      </c>
      <c r="M263" s="642">
        <v>1268</v>
      </c>
      <c r="N263" s="642">
        <v>4</v>
      </c>
      <c r="O263" s="642">
        <v>5132</v>
      </c>
      <c r="P263" s="656">
        <v>1.3565952947396247</v>
      </c>
      <c r="Q263" s="643">
        <v>1283</v>
      </c>
    </row>
    <row r="264" spans="1:17" ht="14.4" customHeight="1" x14ac:dyDescent="0.3">
      <c r="A264" s="638" t="s">
        <v>2500</v>
      </c>
      <c r="B264" s="639" t="s">
        <v>2302</v>
      </c>
      <c r="C264" s="639" t="s">
        <v>1723</v>
      </c>
      <c r="D264" s="639" t="s">
        <v>2515</v>
      </c>
      <c r="E264" s="639" t="s">
        <v>2516</v>
      </c>
      <c r="F264" s="642"/>
      <c r="G264" s="642"/>
      <c r="H264" s="642"/>
      <c r="I264" s="642"/>
      <c r="J264" s="642">
        <v>1</v>
      </c>
      <c r="K264" s="642">
        <v>39</v>
      </c>
      <c r="L264" s="642"/>
      <c r="M264" s="642">
        <v>39</v>
      </c>
      <c r="N264" s="642"/>
      <c r="O264" s="642"/>
      <c r="P264" s="656"/>
      <c r="Q264" s="643"/>
    </row>
    <row r="265" spans="1:17" ht="14.4" customHeight="1" x14ac:dyDescent="0.3">
      <c r="A265" s="638" t="s">
        <v>2500</v>
      </c>
      <c r="B265" s="639" t="s">
        <v>2302</v>
      </c>
      <c r="C265" s="639" t="s">
        <v>1723</v>
      </c>
      <c r="D265" s="639" t="s">
        <v>2517</v>
      </c>
      <c r="E265" s="639" t="s">
        <v>2518</v>
      </c>
      <c r="F265" s="642">
        <v>1</v>
      </c>
      <c r="G265" s="642">
        <v>5000</v>
      </c>
      <c r="H265" s="642">
        <v>1</v>
      </c>
      <c r="I265" s="642">
        <v>5000</v>
      </c>
      <c r="J265" s="642">
        <v>2</v>
      </c>
      <c r="K265" s="642">
        <v>10006</v>
      </c>
      <c r="L265" s="642">
        <v>2.0011999999999999</v>
      </c>
      <c r="M265" s="642">
        <v>5003</v>
      </c>
      <c r="N265" s="642">
        <v>1</v>
      </c>
      <c r="O265" s="642">
        <v>5022</v>
      </c>
      <c r="P265" s="656">
        <v>1.0044</v>
      </c>
      <c r="Q265" s="643">
        <v>5022</v>
      </c>
    </row>
    <row r="266" spans="1:17" ht="14.4" customHeight="1" x14ac:dyDescent="0.3">
      <c r="A266" s="638" t="s">
        <v>2500</v>
      </c>
      <c r="B266" s="639" t="s">
        <v>2302</v>
      </c>
      <c r="C266" s="639" t="s">
        <v>1723</v>
      </c>
      <c r="D266" s="639" t="s">
        <v>2209</v>
      </c>
      <c r="E266" s="639" t="s">
        <v>2210</v>
      </c>
      <c r="F266" s="642">
        <v>2</v>
      </c>
      <c r="G266" s="642">
        <v>340</v>
      </c>
      <c r="H266" s="642">
        <v>1</v>
      </c>
      <c r="I266" s="642">
        <v>170</v>
      </c>
      <c r="J266" s="642">
        <v>3</v>
      </c>
      <c r="K266" s="642">
        <v>510</v>
      </c>
      <c r="L266" s="642">
        <v>1.5</v>
      </c>
      <c r="M266" s="642">
        <v>170</v>
      </c>
      <c r="N266" s="642"/>
      <c r="O266" s="642"/>
      <c r="P266" s="656"/>
      <c r="Q266" s="643"/>
    </row>
    <row r="267" spans="1:17" ht="14.4" customHeight="1" x14ac:dyDescent="0.3">
      <c r="A267" s="638" t="s">
        <v>2500</v>
      </c>
      <c r="B267" s="639" t="s">
        <v>2302</v>
      </c>
      <c r="C267" s="639" t="s">
        <v>1723</v>
      </c>
      <c r="D267" s="639" t="s">
        <v>2519</v>
      </c>
      <c r="E267" s="639" t="s">
        <v>2520</v>
      </c>
      <c r="F267" s="642">
        <v>5</v>
      </c>
      <c r="G267" s="642">
        <v>3433</v>
      </c>
      <c r="H267" s="642">
        <v>1</v>
      </c>
      <c r="I267" s="642">
        <v>686.6</v>
      </c>
      <c r="J267" s="642">
        <v>8</v>
      </c>
      <c r="K267" s="642">
        <v>5504</v>
      </c>
      <c r="L267" s="642">
        <v>1.6032624526653072</v>
      </c>
      <c r="M267" s="642">
        <v>688</v>
      </c>
      <c r="N267" s="642">
        <v>5</v>
      </c>
      <c r="O267" s="642">
        <v>3450</v>
      </c>
      <c r="P267" s="656">
        <v>1.0049519370812701</v>
      </c>
      <c r="Q267" s="643">
        <v>690</v>
      </c>
    </row>
    <row r="268" spans="1:17" ht="14.4" customHeight="1" x14ac:dyDescent="0.3">
      <c r="A268" s="638" t="s">
        <v>2500</v>
      </c>
      <c r="B268" s="639" t="s">
        <v>2302</v>
      </c>
      <c r="C268" s="639" t="s">
        <v>1723</v>
      </c>
      <c r="D268" s="639" t="s">
        <v>2521</v>
      </c>
      <c r="E268" s="639" t="s">
        <v>2522</v>
      </c>
      <c r="F268" s="642"/>
      <c r="G268" s="642"/>
      <c r="H268" s="642"/>
      <c r="I268" s="642"/>
      <c r="J268" s="642">
        <v>1</v>
      </c>
      <c r="K268" s="642">
        <v>348</v>
      </c>
      <c r="L268" s="642"/>
      <c r="M268" s="642">
        <v>348</v>
      </c>
      <c r="N268" s="642"/>
      <c r="O268" s="642"/>
      <c r="P268" s="656"/>
      <c r="Q268" s="643"/>
    </row>
    <row r="269" spans="1:17" ht="14.4" customHeight="1" x14ac:dyDescent="0.3">
      <c r="A269" s="638" t="s">
        <v>2500</v>
      </c>
      <c r="B269" s="639" t="s">
        <v>2302</v>
      </c>
      <c r="C269" s="639" t="s">
        <v>1723</v>
      </c>
      <c r="D269" s="639" t="s">
        <v>2523</v>
      </c>
      <c r="E269" s="639" t="s">
        <v>2524</v>
      </c>
      <c r="F269" s="642">
        <v>1</v>
      </c>
      <c r="G269" s="642">
        <v>173</v>
      </c>
      <c r="H269" s="642">
        <v>1</v>
      </c>
      <c r="I269" s="642">
        <v>173</v>
      </c>
      <c r="J269" s="642">
        <v>1</v>
      </c>
      <c r="K269" s="642">
        <v>173</v>
      </c>
      <c r="L269" s="642">
        <v>1</v>
      </c>
      <c r="M269" s="642">
        <v>173</v>
      </c>
      <c r="N269" s="642">
        <v>1</v>
      </c>
      <c r="O269" s="642">
        <v>174</v>
      </c>
      <c r="P269" s="656">
        <v>1.0057803468208093</v>
      </c>
      <c r="Q269" s="643">
        <v>174</v>
      </c>
    </row>
    <row r="270" spans="1:17" ht="14.4" customHeight="1" x14ac:dyDescent="0.3">
      <c r="A270" s="638" t="s">
        <v>2500</v>
      </c>
      <c r="B270" s="639" t="s">
        <v>2302</v>
      </c>
      <c r="C270" s="639" t="s">
        <v>1723</v>
      </c>
      <c r="D270" s="639" t="s">
        <v>2525</v>
      </c>
      <c r="E270" s="639" t="s">
        <v>2526</v>
      </c>
      <c r="F270" s="642">
        <v>5</v>
      </c>
      <c r="G270" s="642">
        <v>3253</v>
      </c>
      <c r="H270" s="642">
        <v>1</v>
      </c>
      <c r="I270" s="642">
        <v>650.6</v>
      </c>
      <c r="J270" s="642">
        <v>8</v>
      </c>
      <c r="K270" s="642">
        <v>5216</v>
      </c>
      <c r="L270" s="642">
        <v>1.6034429757147248</v>
      </c>
      <c r="M270" s="642">
        <v>652</v>
      </c>
      <c r="N270" s="642">
        <v>5</v>
      </c>
      <c r="O270" s="642">
        <v>3270</v>
      </c>
      <c r="P270" s="656">
        <v>1.0052259452812788</v>
      </c>
      <c r="Q270" s="643">
        <v>654</v>
      </c>
    </row>
    <row r="271" spans="1:17" ht="14.4" customHeight="1" x14ac:dyDescent="0.3">
      <c r="A271" s="638" t="s">
        <v>2500</v>
      </c>
      <c r="B271" s="639" t="s">
        <v>2302</v>
      </c>
      <c r="C271" s="639" t="s">
        <v>1723</v>
      </c>
      <c r="D271" s="639" t="s">
        <v>2527</v>
      </c>
      <c r="E271" s="639" t="s">
        <v>2528</v>
      </c>
      <c r="F271" s="642">
        <v>5</v>
      </c>
      <c r="G271" s="642">
        <v>3253</v>
      </c>
      <c r="H271" s="642">
        <v>1</v>
      </c>
      <c r="I271" s="642">
        <v>650.6</v>
      </c>
      <c r="J271" s="642">
        <v>8</v>
      </c>
      <c r="K271" s="642">
        <v>5216</v>
      </c>
      <c r="L271" s="642">
        <v>1.6034429757147248</v>
      </c>
      <c r="M271" s="642">
        <v>652</v>
      </c>
      <c r="N271" s="642">
        <v>5</v>
      </c>
      <c r="O271" s="642">
        <v>3270</v>
      </c>
      <c r="P271" s="656">
        <v>1.0052259452812788</v>
      </c>
      <c r="Q271" s="643">
        <v>654</v>
      </c>
    </row>
    <row r="272" spans="1:17" ht="14.4" customHeight="1" x14ac:dyDescent="0.3">
      <c r="A272" s="638" t="s">
        <v>2500</v>
      </c>
      <c r="B272" s="639" t="s">
        <v>2302</v>
      </c>
      <c r="C272" s="639" t="s">
        <v>1723</v>
      </c>
      <c r="D272" s="639" t="s">
        <v>2024</v>
      </c>
      <c r="E272" s="639" t="s">
        <v>2025</v>
      </c>
      <c r="F272" s="642">
        <v>10</v>
      </c>
      <c r="G272" s="642">
        <v>4300</v>
      </c>
      <c r="H272" s="642">
        <v>1</v>
      </c>
      <c r="I272" s="642">
        <v>430</v>
      </c>
      <c r="J272" s="642">
        <v>20</v>
      </c>
      <c r="K272" s="642">
        <v>8640</v>
      </c>
      <c r="L272" s="642">
        <v>2.0093023255813955</v>
      </c>
      <c r="M272" s="642">
        <v>432</v>
      </c>
      <c r="N272" s="642">
        <v>16</v>
      </c>
      <c r="O272" s="642">
        <v>6960</v>
      </c>
      <c r="P272" s="656">
        <v>1.6186046511627907</v>
      </c>
      <c r="Q272" s="643">
        <v>435</v>
      </c>
    </row>
    <row r="273" spans="1:17" ht="14.4" customHeight="1" x14ac:dyDescent="0.3">
      <c r="A273" s="638" t="s">
        <v>2500</v>
      </c>
      <c r="B273" s="639" t="s">
        <v>2302</v>
      </c>
      <c r="C273" s="639" t="s">
        <v>1723</v>
      </c>
      <c r="D273" s="639" t="s">
        <v>2529</v>
      </c>
      <c r="E273" s="639" t="s">
        <v>2530</v>
      </c>
      <c r="F273" s="642"/>
      <c r="G273" s="642"/>
      <c r="H273" s="642"/>
      <c r="I273" s="642"/>
      <c r="J273" s="642">
        <v>1</v>
      </c>
      <c r="K273" s="642">
        <v>475</v>
      </c>
      <c r="L273" s="642"/>
      <c r="M273" s="642">
        <v>475</v>
      </c>
      <c r="N273" s="642"/>
      <c r="O273" s="642"/>
      <c r="P273" s="656"/>
      <c r="Q273" s="643"/>
    </row>
    <row r="274" spans="1:17" ht="14.4" customHeight="1" x14ac:dyDescent="0.3">
      <c r="A274" s="638" t="s">
        <v>2500</v>
      </c>
      <c r="B274" s="639" t="s">
        <v>2302</v>
      </c>
      <c r="C274" s="639" t="s">
        <v>1723</v>
      </c>
      <c r="D274" s="639" t="s">
        <v>2026</v>
      </c>
      <c r="E274" s="639" t="s">
        <v>2027</v>
      </c>
      <c r="F274" s="642">
        <v>10</v>
      </c>
      <c r="G274" s="642">
        <v>10060</v>
      </c>
      <c r="H274" s="642">
        <v>1</v>
      </c>
      <c r="I274" s="642">
        <v>1006</v>
      </c>
      <c r="J274" s="642">
        <v>20</v>
      </c>
      <c r="K274" s="642">
        <v>20160</v>
      </c>
      <c r="L274" s="642">
        <v>2.0039761431411529</v>
      </c>
      <c r="M274" s="642">
        <v>1008</v>
      </c>
      <c r="N274" s="642">
        <v>16</v>
      </c>
      <c r="O274" s="642">
        <v>16176</v>
      </c>
      <c r="P274" s="656">
        <v>1.6079522862823061</v>
      </c>
      <c r="Q274" s="643">
        <v>1011</v>
      </c>
    </row>
    <row r="275" spans="1:17" ht="14.4" customHeight="1" x14ac:dyDescent="0.3">
      <c r="A275" s="638" t="s">
        <v>2500</v>
      </c>
      <c r="B275" s="639" t="s">
        <v>2302</v>
      </c>
      <c r="C275" s="639" t="s">
        <v>1723</v>
      </c>
      <c r="D275" s="639" t="s">
        <v>2531</v>
      </c>
      <c r="E275" s="639" t="s">
        <v>2532</v>
      </c>
      <c r="F275" s="642"/>
      <c r="G275" s="642"/>
      <c r="H275" s="642"/>
      <c r="I275" s="642"/>
      <c r="J275" s="642">
        <v>1</v>
      </c>
      <c r="K275" s="642">
        <v>167</v>
      </c>
      <c r="L275" s="642"/>
      <c r="M275" s="642">
        <v>167</v>
      </c>
      <c r="N275" s="642"/>
      <c r="O275" s="642"/>
      <c r="P275" s="656"/>
      <c r="Q275" s="643"/>
    </row>
    <row r="276" spans="1:17" ht="14.4" customHeight="1" x14ac:dyDescent="0.3">
      <c r="A276" s="638" t="s">
        <v>2500</v>
      </c>
      <c r="B276" s="639" t="s">
        <v>2302</v>
      </c>
      <c r="C276" s="639" t="s">
        <v>1723</v>
      </c>
      <c r="D276" s="639" t="s">
        <v>2533</v>
      </c>
      <c r="E276" s="639" t="s">
        <v>2534</v>
      </c>
      <c r="F276" s="642">
        <v>5</v>
      </c>
      <c r="G276" s="642">
        <v>6978</v>
      </c>
      <c r="H276" s="642">
        <v>1</v>
      </c>
      <c r="I276" s="642">
        <v>1395.6</v>
      </c>
      <c r="J276" s="642">
        <v>8</v>
      </c>
      <c r="K276" s="642">
        <v>11176</v>
      </c>
      <c r="L276" s="642">
        <v>1.6016050444253367</v>
      </c>
      <c r="M276" s="642">
        <v>1397</v>
      </c>
      <c r="N276" s="642">
        <v>5</v>
      </c>
      <c r="O276" s="642">
        <v>6995</v>
      </c>
      <c r="P276" s="656">
        <v>1.0024362281456005</v>
      </c>
      <c r="Q276" s="643">
        <v>1399</v>
      </c>
    </row>
    <row r="277" spans="1:17" ht="14.4" customHeight="1" x14ac:dyDescent="0.3">
      <c r="A277" s="638" t="s">
        <v>2500</v>
      </c>
      <c r="B277" s="639" t="s">
        <v>2302</v>
      </c>
      <c r="C277" s="639" t="s">
        <v>1723</v>
      </c>
      <c r="D277" s="639" t="s">
        <v>2535</v>
      </c>
      <c r="E277" s="639" t="s">
        <v>2536</v>
      </c>
      <c r="F277" s="642">
        <v>3</v>
      </c>
      <c r="G277" s="642">
        <v>3051</v>
      </c>
      <c r="H277" s="642">
        <v>1</v>
      </c>
      <c r="I277" s="642">
        <v>1017</v>
      </c>
      <c r="J277" s="642">
        <v>4</v>
      </c>
      <c r="K277" s="642">
        <v>4072</v>
      </c>
      <c r="L277" s="642">
        <v>1.3346443788921665</v>
      </c>
      <c r="M277" s="642">
        <v>1018</v>
      </c>
      <c r="N277" s="642">
        <v>3</v>
      </c>
      <c r="O277" s="642">
        <v>3066</v>
      </c>
      <c r="P277" s="656">
        <v>1.0049164208456245</v>
      </c>
      <c r="Q277" s="643">
        <v>1022</v>
      </c>
    </row>
    <row r="278" spans="1:17" ht="14.4" customHeight="1" thickBot="1" x14ac:dyDescent="0.35">
      <c r="A278" s="644" t="s">
        <v>2500</v>
      </c>
      <c r="B278" s="645" t="s">
        <v>2302</v>
      </c>
      <c r="C278" s="645" t="s">
        <v>1723</v>
      </c>
      <c r="D278" s="645" t="s">
        <v>2537</v>
      </c>
      <c r="E278" s="645" t="s">
        <v>2538</v>
      </c>
      <c r="F278" s="648">
        <v>3</v>
      </c>
      <c r="G278" s="648">
        <v>567</v>
      </c>
      <c r="H278" s="648">
        <v>1</v>
      </c>
      <c r="I278" s="648">
        <v>189</v>
      </c>
      <c r="J278" s="648"/>
      <c r="K278" s="648"/>
      <c r="L278" s="648"/>
      <c r="M278" s="648"/>
      <c r="N278" s="648">
        <v>3</v>
      </c>
      <c r="O278" s="648">
        <v>570</v>
      </c>
      <c r="P278" s="657">
        <v>1.0052910052910053</v>
      </c>
      <c r="Q278" s="649">
        <v>190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44" bestFit="1" customWidth="1"/>
    <col min="2" max="3" width="9.5546875" style="244" customWidth="1"/>
    <col min="4" max="4" width="2.21875" style="244" customWidth="1"/>
    <col min="5" max="8" width="9.5546875" style="244" customWidth="1"/>
    <col min="9" max="16384" width="8.88671875" style="244"/>
  </cols>
  <sheetData>
    <row r="1" spans="1:8" ht="18.600000000000001" customHeight="1" thickBot="1" x14ac:dyDescent="0.4">
      <c r="A1" s="464" t="s">
        <v>167</v>
      </c>
      <c r="B1" s="464"/>
      <c r="C1" s="464"/>
      <c r="D1" s="464"/>
      <c r="E1" s="464"/>
      <c r="F1" s="464"/>
      <c r="G1" s="465"/>
      <c r="H1" s="465"/>
    </row>
    <row r="2" spans="1:8" ht="14.4" customHeight="1" thickBot="1" x14ac:dyDescent="0.35">
      <c r="A2" s="368" t="s">
        <v>301</v>
      </c>
      <c r="B2" s="214"/>
      <c r="C2" s="214"/>
      <c r="D2" s="214"/>
      <c r="E2" s="214"/>
      <c r="F2" s="214"/>
    </row>
    <row r="3" spans="1:8" ht="14.4" customHeight="1" x14ac:dyDescent="0.3">
      <c r="A3" s="466"/>
      <c r="B3" s="210">
        <v>2014</v>
      </c>
      <c r="C3" s="44">
        <v>2015</v>
      </c>
      <c r="D3" s="11"/>
      <c r="E3" s="470">
        <v>2016</v>
      </c>
      <c r="F3" s="471"/>
      <c r="G3" s="471"/>
      <c r="H3" s="472"/>
    </row>
    <row r="4" spans="1:8" ht="14.4" customHeight="1" thickBot="1" x14ac:dyDescent="0.35">
      <c r="A4" s="467"/>
      <c r="B4" s="468" t="s">
        <v>87</v>
      </c>
      <c r="C4" s="469"/>
      <c r="D4" s="11"/>
      <c r="E4" s="231" t="s">
        <v>87</v>
      </c>
      <c r="F4" s="212" t="s">
        <v>88</v>
      </c>
      <c r="G4" s="212" t="s">
        <v>62</v>
      </c>
      <c r="H4" s="213" t="s">
        <v>89</v>
      </c>
    </row>
    <row r="5" spans="1:8" ht="14.4" customHeight="1" x14ac:dyDescent="0.3">
      <c r="A5" s="215" t="str">
        <f>HYPERLINK("#'Léky Žádanky'!A1","Léky (Kč)")</f>
        <v>Léky (Kč)</v>
      </c>
      <c r="B5" s="31">
        <v>1450.12896</v>
      </c>
      <c r="C5" s="33">
        <v>1521.8170299999999</v>
      </c>
      <c r="D5" s="12"/>
      <c r="E5" s="220">
        <v>4379.1107599999996</v>
      </c>
      <c r="F5" s="32">
        <v>3603.3685098679716</v>
      </c>
      <c r="G5" s="219">
        <f>E5-F5</f>
        <v>775.74225013202795</v>
      </c>
      <c r="H5" s="225">
        <f>IF(F5&lt;0.00000001,"",E5/F5)</f>
        <v>1.215282519122767</v>
      </c>
    </row>
    <row r="6" spans="1:8" ht="14.4" customHeight="1" x14ac:dyDescent="0.3">
      <c r="A6" s="215" t="str">
        <f>HYPERLINK("#'Materiál Žádanky'!A1","Materiál - SZM (Kč)")</f>
        <v>Materiál - SZM (Kč)</v>
      </c>
      <c r="B6" s="14">
        <v>2023.5475700000011</v>
      </c>
      <c r="C6" s="35">
        <v>2853.5839300000011</v>
      </c>
      <c r="D6" s="12"/>
      <c r="E6" s="221">
        <v>2566.94974</v>
      </c>
      <c r="F6" s="34">
        <v>2647.1195992588118</v>
      </c>
      <c r="G6" s="222">
        <f>E6-F6</f>
        <v>-80.169859258811812</v>
      </c>
      <c r="H6" s="226">
        <f>IF(F6&lt;0.00000001,"",E6/F6)</f>
        <v>0.96971430407554715</v>
      </c>
    </row>
    <row r="7" spans="1:8" ht="14.4" customHeight="1" x14ac:dyDescent="0.3">
      <c r="A7" s="215" t="str">
        <f>HYPERLINK("#'Osobní náklady'!A1","Osobní náklady (Kč) *")</f>
        <v>Osobní náklady (Kč) *</v>
      </c>
      <c r="B7" s="14">
        <v>23389.134100000017</v>
      </c>
      <c r="C7" s="35">
        <v>26248.992400000003</v>
      </c>
      <c r="D7" s="12"/>
      <c r="E7" s="221">
        <v>27318.874580000003</v>
      </c>
      <c r="F7" s="34">
        <v>26779.085750935385</v>
      </c>
      <c r="G7" s="222">
        <f>E7-F7</f>
        <v>539.78882906461877</v>
      </c>
      <c r="H7" s="226">
        <f>IF(F7&lt;0.00000001,"",E7/F7)</f>
        <v>1.0201571044689517</v>
      </c>
    </row>
    <row r="8" spans="1:8" ht="14.4" customHeight="1" thickBot="1" x14ac:dyDescent="0.35">
      <c r="A8" s="1" t="s">
        <v>90</v>
      </c>
      <c r="B8" s="15">
        <v>5198.5244300000049</v>
      </c>
      <c r="C8" s="37">
        <v>5377.9930800000129</v>
      </c>
      <c r="D8" s="12"/>
      <c r="E8" s="223">
        <v>5984.8476999999984</v>
      </c>
      <c r="F8" s="36">
        <v>5506.8208063580696</v>
      </c>
      <c r="G8" s="224">
        <f>E8-F8</f>
        <v>478.02689364192884</v>
      </c>
      <c r="H8" s="227">
        <f>IF(F8&lt;0.00000001,"",E8/F8)</f>
        <v>1.0868063280886149</v>
      </c>
    </row>
    <row r="9" spans="1:8" ht="14.4" customHeight="1" thickBot="1" x14ac:dyDescent="0.35">
      <c r="A9" s="2" t="s">
        <v>91</v>
      </c>
      <c r="B9" s="3">
        <v>32061.335060000023</v>
      </c>
      <c r="C9" s="39">
        <v>36002.386440000017</v>
      </c>
      <c r="D9" s="12"/>
      <c r="E9" s="3">
        <v>40249.782780000001</v>
      </c>
      <c r="F9" s="38">
        <v>38536.394666420238</v>
      </c>
      <c r="G9" s="38">
        <f>E9-F9</f>
        <v>1713.3881135797637</v>
      </c>
      <c r="H9" s="228">
        <f>IF(F9&lt;0.00000001,"",E9/F9)</f>
        <v>1.0444615571438698</v>
      </c>
    </row>
    <row r="10" spans="1:8" ht="14.4" customHeight="1" thickBot="1" x14ac:dyDescent="0.35">
      <c r="A10" s="16"/>
      <c r="B10" s="16"/>
      <c r="C10" s="211"/>
      <c r="D10" s="12"/>
      <c r="E10" s="16"/>
      <c r="F10" s="17"/>
    </row>
    <row r="11" spans="1:8" ht="14.4" customHeight="1" x14ac:dyDescent="0.3">
      <c r="A11" s="247" t="str">
        <f>HYPERLINK("#'ZV Vykáz.-A'!A1","Ambulance *")</f>
        <v>Ambulance *</v>
      </c>
      <c r="B11" s="13">
        <f>IF(ISERROR(VLOOKUP("Celkem:",'ZV Vykáz.-A'!A:F,2,0)),0,VLOOKUP("Celkem:",'ZV Vykáz.-A'!A:F,2,0)/1000)</f>
        <v>0</v>
      </c>
      <c r="C11" s="33">
        <f>IF(ISERROR(VLOOKUP("Celkem:",'ZV Vykáz.-A'!A:F,4,0)),0,VLOOKUP("Celkem:",'ZV Vykáz.-A'!A:F,4,0)/1000)</f>
        <v>0</v>
      </c>
      <c r="D11" s="12"/>
      <c r="E11" s="220">
        <f>IF(ISERROR(VLOOKUP("Celkem:",'ZV Vykáz.-A'!A:F,6,0)),0,VLOOKUP("Celkem:",'ZV Vykáz.-A'!A:F,6,0)/1000)</f>
        <v>238.142</v>
      </c>
      <c r="F11" s="32">
        <f>B11</f>
        <v>0</v>
      </c>
      <c r="G11" s="219">
        <f>E11-F11</f>
        <v>238.142</v>
      </c>
      <c r="H11" s="225" t="str">
        <f>IF(F11&lt;0.00000001,"",E11/F11)</f>
        <v/>
      </c>
    </row>
    <row r="12" spans="1:8" ht="14.4" customHeight="1" thickBot="1" x14ac:dyDescent="0.35">
      <c r="A12" s="248" t="str">
        <f>HYPERLINK("#CaseMix!A1","Hospitalizace *")</f>
        <v>Hospitalizace *</v>
      </c>
      <c r="B12" s="15">
        <f>IF(ISERROR(VLOOKUP("Celkem",CaseMix!A:D,2,0)),0,VLOOKUP("Celkem",CaseMix!A:D,2,0)*30)</f>
        <v>50551.679999999993</v>
      </c>
      <c r="C12" s="37">
        <f>IF(ISERROR(VLOOKUP("Celkem",CaseMix!A:D,3,0)),0,VLOOKUP("Celkem",CaseMix!A:D,3,0)*30)</f>
        <v>62058.96</v>
      </c>
      <c r="D12" s="12"/>
      <c r="E12" s="223">
        <f>IF(ISERROR(VLOOKUP("Celkem",CaseMix!A:D,4,0)),0,VLOOKUP("Celkem",CaseMix!A:D,4,0)*30)</f>
        <v>47237.609999999993</v>
      </c>
      <c r="F12" s="36">
        <f>B12</f>
        <v>50551.679999999993</v>
      </c>
      <c r="G12" s="224">
        <f>E12-F12</f>
        <v>-3314.0699999999997</v>
      </c>
      <c r="H12" s="227">
        <f>IF(F12&lt;0.00000001,"",E12/F12)</f>
        <v>0.93444194139541947</v>
      </c>
    </row>
    <row r="13" spans="1:8" ht="14.4" customHeight="1" thickBot="1" x14ac:dyDescent="0.35">
      <c r="A13" s="4" t="s">
        <v>94</v>
      </c>
      <c r="B13" s="9">
        <f>SUM(B11:B12)</f>
        <v>50551.679999999993</v>
      </c>
      <c r="C13" s="41">
        <f>SUM(C11:C12)</f>
        <v>62058.96</v>
      </c>
      <c r="D13" s="12"/>
      <c r="E13" s="9">
        <f>SUM(E11:E12)</f>
        <v>47475.751999999993</v>
      </c>
      <c r="F13" s="40">
        <f>SUM(F11:F12)</f>
        <v>50551.679999999993</v>
      </c>
      <c r="G13" s="40">
        <f>E13-F13</f>
        <v>-3075.9279999999999</v>
      </c>
      <c r="H13" s="229">
        <f>IF(F13&lt;0.00000001,"",E13/F13)</f>
        <v>0.93915280362591314</v>
      </c>
    </row>
    <row r="14" spans="1:8" ht="14.4" customHeight="1" thickBot="1" x14ac:dyDescent="0.35">
      <c r="A14" s="16"/>
      <c r="B14" s="16"/>
      <c r="C14" s="211"/>
      <c r="D14" s="12"/>
      <c r="E14" s="16"/>
      <c r="F14" s="17"/>
    </row>
    <row r="15" spans="1:8" ht="14.4" customHeight="1" thickBot="1" x14ac:dyDescent="0.35">
      <c r="A15" s="249" t="str">
        <f>HYPERLINK("#'HI Graf'!A1","Hospodářský index (Výnosy / Náklady) *")</f>
        <v>Hospodářský index (Výnosy / Náklady) *</v>
      </c>
      <c r="B15" s="10">
        <f>IF(B9=0,"",B13/B9)</f>
        <v>1.5767178723342894</v>
      </c>
      <c r="C15" s="43">
        <f>IF(C9=0,"",C13/C9)</f>
        <v>1.7237457328953656</v>
      </c>
      <c r="D15" s="12"/>
      <c r="E15" s="10">
        <f>IF(E9=0,"",E13/E9)</f>
        <v>1.1795281544622536</v>
      </c>
      <c r="F15" s="42">
        <f>IF(F9=0,"",F13/F9)</f>
        <v>1.3117905927004014</v>
      </c>
      <c r="G15" s="42">
        <f>IF(ISERROR(F15-E15),"",E15-F15)</f>
        <v>-0.13226243823814787</v>
      </c>
      <c r="H15" s="230">
        <f>IF(ISERROR(F15-E15),"",IF(F15&lt;0.00000001,"",E15/F15))</f>
        <v>0.89917412201754132</v>
      </c>
    </row>
    <row r="17" spans="1:8" ht="14.4" customHeight="1" x14ac:dyDescent="0.3">
      <c r="A17" s="216" t="s">
        <v>193</v>
      </c>
    </row>
    <row r="18" spans="1:8" ht="14.4" customHeight="1" x14ac:dyDescent="0.3">
      <c r="A18" s="421" t="s">
        <v>233</v>
      </c>
      <c r="B18" s="422"/>
      <c r="C18" s="422"/>
      <c r="D18" s="422"/>
      <c r="E18" s="422"/>
      <c r="F18" s="422"/>
      <c r="G18" s="422"/>
      <c r="H18" s="422"/>
    </row>
    <row r="19" spans="1:8" x14ac:dyDescent="0.3">
      <c r="A19" s="420" t="s">
        <v>232</v>
      </c>
      <c r="B19" s="422"/>
      <c r="C19" s="422"/>
      <c r="D19" s="422"/>
      <c r="E19" s="422"/>
      <c r="F19" s="422"/>
      <c r="G19" s="422"/>
      <c r="H19" s="422"/>
    </row>
    <row r="20" spans="1:8" ht="14.4" customHeight="1" x14ac:dyDescent="0.3">
      <c r="A20" s="217" t="s">
        <v>261</v>
      </c>
    </row>
    <row r="21" spans="1:8" ht="14.4" customHeight="1" x14ac:dyDescent="0.3">
      <c r="A21" s="217" t="s">
        <v>194</v>
      </c>
    </row>
    <row r="22" spans="1:8" ht="14.4" customHeight="1" x14ac:dyDescent="0.3">
      <c r="A22" s="218" t="s">
        <v>300</v>
      </c>
    </row>
    <row r="23" spans="1:8" ht="14.4" customHeight="1" x14ac:dyDescent="0.3">
      <c r="A23" s="218" t="s">
        <v>195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82" bestFit="1" customWidth="1"/>
    <col min="2" max="2" width="15.6640625" style="182" bestFit="1" customWidth="1"/>
    <col min="3" max="5" width="8.33203125" style="190" customWidth="1"/>
    <col min="6" max="6" width="6.109375" style="191" customWidth="1"/>
    <col min="7" max="9" width="8.33203125" style="190" customWidth="1"/>
    <col min="10" max="10" width="6.109375" style="191" customWidth="1"/>
    <col min="11" max="14" width="8.33203125" style="190" customWidth="1"/>
    <col min="15" max="16384" width="8.88671875" style="182"/>
  </cols>
  <sheetData>
    <row r="1" spans="1:14" ht="18.600000000000001" customHeight="1" thickBot="1" x14ac:dyDescent="0.4">
      <c r="A1" s="583" t="s">
        <v>173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</row>
    <row r="2" spans="1:14" ht="14.4" customHeight="1" thickBot="1" x14ac:dyDescent="0.35">
      <c r="A2" s="368" t="s">
        <v>301</v>
      </c>
      <c r="B2" s="183"/>
      <c r="C2" s="183"/>
      <c r="D2" s="183"/>
      <c r="E2" s="183"/>
      <c r="F2" s="183"/>
      <c r="G2" s="436"/>
      <c r="H2" s="436"/>
      <c r="I2" s="436"/>
      <c r="J2" s="183"/>
      <c r="K2" s="436"/>
      <c r="L2" s="436"/>
      <c r="M2" s="436"/>
      <c r="N2" s="183"/>
    </row>
    <row r="3" spans="1:14" ht="14.4" customHeight="1" thickBot="1" x14ac:dyDescent="0.35">
      <c r="A3" s="184"/>
      <c r="B3" s="185" t="s">
        <v>151</v>
      </c>
      <c r="C3" s="186">
        <f>SUBTOTAL(9,C6:C1048576)</f>
        <v>8879</v>
      </c>
      <c r="D3" s="187">
        <f>SUBTOTAL(9,D6:D1048576)</f>
        <v>8999</v>
      </c>
      <c r="E3" s="187">
        <f>SUBTOTAL(9,E6:E1048576)</f>
        <v>8955</v>
      </c>
      <c r="F3" s="188">
        <f>IF(OR(E3=0,C3=0),"",E3/C3)</f>
        <v>1.0085595224687465</v>
      </c>
      <c r="G3" s="437">
        <f>SUBTOTAL(9,G6:G1048576)</f>
        <v>36742.429400000001</v>
      </c>
      <c r="H3" s="438">
        <f>SUBTOTAL(9,H6:H1048576)</f>
        <v>38719.179799999998</v>
      </c>
      <c r="I3" s="438">
        <f>SUBTOTAL(9,I6:I1048576)</f>
        <v>34661.992900000005</v>
      </c>
      <c r="J3" s="188">
        <f>IF(OR(I3=0,G3=0),"",I3/G3)</f>
        <v>0.94337781866976944</v>
      </c>
      <c r="K3" s="437">
        <f>SUBTOTAL(9,K6:K1048576)</f>
        <v>8601.119999999999</v>
      </c>
      <c r="L3" s="438">
        <f>SUBTOTAL(9,L6:L1048576)</f>
        <v>9109.76</v>
      </c>
      <c r="M3" s="438">
        <f>SUBTOTAL(9,M6:M1048576)</f>
        <v>7911</v>
      </c>
      <c r="N3" s="189">
        <f>IF(OR(M3=0,E3=0),"",M3/E3)</f>
        <v>0.88341708542713571</v>
      </c>
    </row>
    <row r="4" spans="1:14" ht="14.4" customHeight="1" x14ac:dyDescent="0.3">
      <c r="A4" s="585" t="s">
        <v>83</v>
      </c>
      <c r="B4" s="586" t="s">
        <v>11</v>
      </c>
      <c r="C4" s="587" t="s">
        <v>84</v>
      </c>
      <c r="D4" s="587"/>
      <c r="E4" s="587"/>
      <c r="F4" s="588"/>
      <c r="G4" s="589" t="s">
        <v>14</v>
      </c>
      <c r="H4" s="587"/>
      <c r="I4" s="587"/>
      <c r="J4" s="588"/>
      <c r="K4" s="589" t="s">
        <v>85</v>
      </c>
      <c r="L4" s="587"/>
      <c r="M4" s="587"/>
      <c r="N4" s="590"/>
    </row>
    <row r="5" spans="1:14" ht="14.4" customHeight="1" thickBot="1" x14ac:dyDescent="0.35">
      <c r="A5" s="860"/>
      <c r="B5" s="861"/>
      <c r="C5" s="868">
        <v>2014</v>
      </c>
      <c r="D5" s="868">
        <v>2015</v>
      </c>
      <c r="E5" s="868">
        <v>2016</v>
      </c>
      <c r="F5" s="869" t="s">
        <v>2</v>
      </c>
      <c r="G5" s="879">
        <v>2014</v>
      </c>
      <c r="H5" s="868">
        <v>2015</v>
      </c>
      <c r="I5" s="868">
        <v>2016</v>
      </c>
      <c r="J5" s="869" t="s">
        <v>2</v>
      </c>
      <c r="K5" s="879">
        <v>2014</v>
      </c>
      <c r="L5" s="868">
        <v>2015</v>
      </c>
      <c r="M5" s="868">
        <v>2016</v>
      </c>
      <c r="N5" s="880" t="s">
        <v>86</v>
      </c>
    </row>
    <row r="6" spans="1:14" ht="14.4" customHeight="1" x14ac:dyDescent="0.3">
      <c r="A6" s="862" t="s">
        <v>1816</v>
      </c>
      <c r="B6" s="865" t="s">
        <v>2540</v>
      </c>
      <c r="C6" s="870">
        <v>5734</v>
      </c>
      <c r="D6" s="871">
        <v>5879</v>
      </c>
      <c r="E6" s="871">
        <v>5771</v>
      </c>
      <c r="F6" s="876">
        <v>1.0064527380537147</v>
      </c>
      <c r="G6" s="870">
        <v>4898.1686000000009</v>
      </c>
      <c r="H6" s="871">
        <v>5023.1519000000017</v>
      </c>
      <c r="I6" s="871">
        <v>4937.3622999999998</v>
      </c>
      <c r="J6" s="876">
        <v>1.0080017049637693</v>
      </c>
      <c r="K6" s="870">
        <v>344.04</v>
      </c>
      <c r="L6" s="871">
        <v>352.74</v>
      </c>
      <c r="M6" s="871">
        <v>346.26</v>
      </c>
      <c r="N6" s="881">
        <v>60</v>
      </c>
    </row>
    <row r="7" spans="1:14" ht="14.4" customHeight="1" x14ac:dyDescent="0.3">
      <c r="A7" s="863" t="s">
        <v>1796</v>
      </c>
      <c r="B7" s="866" t="s">
        <v>2540</v>
      </c>
      <c r="C7" s="872">
        <v>518</v>
      </c>
      <c r="D7" s="873">
        <v>417</v>
      </c>
      <c r="E7" s="873">
        <v>529</v>
      </c>
      <c r="F7" s="877">
        <v>1.0212355212355213</v>
      </c>
      <c r="G7" s="872">
        <v>81.524699999999996</v>
      </c>
      <c r="H7" s="873">
        <v>66.428100000000001</v>
      </c>
      <c r="I7" s="873">
        <v>84.37590000000003</v>
      </c>
      <c r="J7" s="877">
        <v>1.0349734497643051</v>
      </c>
      <c r="K7" s="872">
        <v>31.08</v>
      </c>
      <c r="L7" s="873">
        <v>25.02</v>
      </c>
      <c r="M7" s="873">
        <v>31.74</v>
      </c>
      <c r="N7" s="882">
        <v>60</v>
      </c>
    </row>
    <row r="8" spans="1:14" ht="14.4" customHeight="1" x14ac:dyDescent="0.3">
      <c r="A8" s="863" t="s">
        <v>1859</v>
      </c>
      <c r="B8" s="866" t="s">
        <v>2541</v>
      </c>
      <c r="C8" s="872">
        <v>155</v>
      </c>
      <c r="D8" s="873">
        <v>240</v>
      </c>
      <c r="E8" s="873">
        <v>158</v>
      </c>
      <c r="F8" s="877">
        <v>1.0193548387096774</v>
      </c>
      <c r="G8" s="872">
        <v>4040.6174999999998</v>
      </c>
      <c r="H8" s="873">
        <v>6256.44</v>
      </c>
      <c r="I8" s="873">
        <v>4118.8230000000003</v>
      </c>
      <c r="J8" s="877">
        <v>1.0193548387096776</v>
      </c>
      <c r="K8" s="872">
        <v>1240</v>
      </c>
      <c r="L8" s="873">
        <v>1920</v>
      </c>
      <c r="M8" s="873">
        <v>1264</v>
      </c>
      <c r="N8" s="882">
        <v>8000</v>
      </c>
    </row>
    <row r="9" spans="1:14" ht="14.4" customHeight="1" x14ac:dyDescent="0.3">
      <c r="A9" s="863" t="s">
        <v>1873</v>
      </c>
      <c r="B9" s="866" t="s">
        <v>2541</v>
      </c>
      <c r="C9" s="872">
        <v>670</v>
      </c>
      <c r="D9" s="873">
        <v>682</v>
      </c>
      <c r="E9" s="873">
        <v>539</v>
      </c>
      <c r="F9" s="877">
        <v>0.80447761194029854</v>
      </c>
      <c r="G9" s="872">
        <v>14915.205</v>
      </c>
      <c r="H9" s="873">
        <v>15182.343000000001</v>
      </c>
      <c r="I9" s="873">
        <v>11998.9485</v>
      </c>
      <c r="J9" s="877">
        <v>0.80447761194029854</v>
      </c>
      <c r="K9" s="872">
        <v>4020</v>
      </c>
      <c r="L9" s="873">
        <v>4092</v>
      </c>
      <c r="M9" s="873">
        <v>3234</v>
      </c>
      <c r="N9" s="882">
        <v>6000</v>
      </c>
    </row>
    <row r="10" spans="1:14" ht="14.4" customHeight="1" x14ac:dyDescent="0.3">
      <c r="A10" s="863" t="s">
        <v>1861</v>
      </c>
      <c r="B10" s="866" t="s">
        <v>2541</v>
      </c>
      <c r="C10" s="872">
        <v>388</v>
      </c>
      <c r="D10" s="873">
        <v>313</v>
      </c>
      <c r="E10" s="873">
        <v>359</v>
      </c>
      <c r="F10" s="877">
        <v>0.92525773195876293</v>
      </c>
      <c r="G10" s="872">
        <v>4774.2624000000005</v>
      </c>
      <c r="H10" s="873">
        <v>3851.402399999999</v>
      </c>
      <c r="I10" s="873">
        <v>4417.4232000000002</v>
      </c>
      <c r="J10" s="877">
        <v>0.92525773195876282</v>
      </c>
      <c r="K10" s="872">
        <v>1552</v>
      </c>
      <c r="L10" s="873">
        <v>1252</v>
      </c>
      <c r="M10" s="873">
        <v>1436</v>
      </c>
      <c r="N10" s="882">
        <v>4000</v>
      </c>
    </row>
    <row r="11" spans="1:14" ht="14.4" customHeight="1" thickBot="1" x14ac:dyDescent="0.35">
      <c r="A11" s="864" t="s">
        <v>1871</v>
      </c>
      <c r="B11" s="867" t="s">
        <v>2541</v>
      </c>
      <c r="C11" s="874">
        <v>1414</v>
      </c>
      <c r="D11" s="875">
        <v>1468</v>
      </c>
      <c r="E11" s="875">
        <v>1599</v>
      </c>
      <c r="F11" s="878">
        <v>1.1308345120226309</v>
      </c>
      <c r="G11" s="874">
        <v>8032.6511999999975</v>
      </c>
      <c r="H11" s="875">
        <v>8339.4143999999997</v>
      </c>
      <c r="I11" s="875">
        <v>9105.06</v>
      </c>
      <c r="J11" s="878">
        <v>1.1335062077636338</v>
      </c>
      <c r="K11" s="874">
        <v>1414</v>
      </c>
      <c r="L11" s="875">
        <v>1468</v>
      </c>
      <c r="M11" s="875">
        <v>1599</v>
      </c>
      <c r="N11" s="883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4"/>
    <col min="2" max="13" width="8.88671875" style="244" customWidth="1"/>
    <col min="14" max="16384" width="8.88671875" style="244"/>
  </cols>
  <sheetData>
    <row r="1" spans="1:13" ht="18.600000000000001" customHeight="1" thickBot="1" x14ac:dyDescent="0.4">
      <c r="A1" s="464" t="s">
        <v>121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ht="14.4" customHeight="1" x14ac:dyDescent="0.3">
      <c r="A2" s="368" t="s">
        <v>301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ht="14.4" customHeight="1" x14ac:dyDescent="0.3">
      <c r="A3" s="317"/>
      <c r="B3" s="318" t="s">
        <v>96</v>
      </c>
      <c r="C3" s="319" t="s">
        <v>97</v>
      </c>
      <c r="D3" s="319" t="s">
        <v>98</v>
      </c>
      <c r="E3" s="318" t="s">
        <v>99</v>
      </c>
      <c r="F3" s="319" t="s">
        <v>100</v>
      </c>
      <c r="G3" s="319" t="s">
        <v>101</v>
      </c>
      <c r="H3" s="319" t="s">
        <v>102</v>
      </c>
      <c r="I3" s="319" t="s">
        <v>103</v>
      </c>
      <c r="J3" s="319" t="s">
        <v>104</v>
      </c>
      <c r="K3" s="319" t="s">
        <v>105</v>
      </c>
      <c r="L3" s="319" t="s">
        <v>106</v>
      </c>
      <c r="M3" s="319" t="s">
        <v>107</v>
      </c>
    </row>
    <row r="4" spans="1:13" ht="14.4" customHeight="1" x14ac:dyDescent="0.3">
      <c r="A4" s="317" t="s">
        <v>95</v>
      </c>
      <c r="B4" s="320">
        <f>(B10+B8)/B6</f>
        <v>0.92407282367320764</v>
      </c>
      <c r="C4" s="320">
        <f t="shared" ref="C4:M4" si="0">(C10+C8)/C6</f>
        <v>0.83760205992276693</v>
      </c>
      <c r="D4" s="320">
        <f t="shared" si="0"/>
        <v>1.1046924145957431</v>
      </c>
      <c r="E4" s="320">
        <f t="shared" si="0"/>
        <v>1.138513825073477</v>
      </c>
      <c r="F4" s="320">
        <f t="shared" si="0"/>
        <v>1.2111866814535064</v>
      </c>
      <c r="G4" s="320">
        <f t="shared" si="0"/>
        <v>1.2058688477698412</v>
      </c>
      <c r="H4" s="320">
        <f t="shared" si="0"/>
        <v>1.1795281544622536</v>
      </c>
      <c r="I4" s="320">
        <f t="shared" si="0"/>
        <v>5.9166033591200404E-3</v>
      </c>
      <c r="J4" s="320">
        <f t="shared" si="0"/>
        <v>5.9166033591200404E-3</v>
      </c>
      <c r="K4" s="320">
        <f t="shared" si="0"/>
        <v>5.9166033591200404E-3</v>
      </c>
      <c r="L4" s="320">
        <f t="shared" si="0"/>
        <v>5.9166033591200404E-3</v>
      </c>
      <c r="M4" s="320">
        <f t="shared" si="0"/>
        <v>5.9166033591200404E-3</v>
      </c>
    </row>
    <row r="5" spans="1:13" ht="14.4" customHeight="1" x14ac:dyDescent="0.3">
      <c r="A5" s="321" t="s">
        <v>46</v>
      </c>
      <c r="B5" s="320">
        <f>IF(ISERROR(VLOOKUP($A5,'Man Tab'!$A:$Q,COLUMN()+2,0)),0,VLOOKUP($A5,'Man Tab'!$A:$Q,COLUMN()+2,0))</f>
        <v>6184.6240399999997</v>
      </c>
      <c r="C5" s="320">
        <f>IF(ISERROR(VLOOKUP($A5,'Man Tab'!$A:$Q,COLUMN()+2,0)),0,VLOOKUP($A5,'Man Tab'!$A:$Q,COLUMN()+2,0))</f>
        <v>5565.8747599999997</v>
      </c>
      <c r="D5" s="320">
        <f>IF(ISERROR(VLOOKUP($A5,'Man Tab'!$A:$Q,COLUMN()+2,0)),0,VLOOKUP($A5,'Man Tab'!$A:$Q,COLUMN()+2,0))</f>
        <v>5580.1452300000001</v>
      </c>
      <c r="E5" s="320">
        <f>IF(ISERROR(VLOOKUP($A5,'Man Tab'!$A:$Q,COLUMN()+2,0)),0,VLOOKUP($A5,'Man Tab'!$A:$Q,COLUMN()+2,0))</f>
        <v>5317.7010600000003</v>
      </c>
      <c r="F5" s="320">
        <f>IF(ISERROR(VLOOKUP($A5,'Man Tab'!$A:$Q,COLUMN()+2,0)),0,VLOOKUP($A5,'Man Tab'!$A:$Q,COLUMN()+2,0))</f>
        <v>5451.2629399999996</v>
      </c>
      <c r="G5" s="320">
        <f>IF(ISERROR(VLOOKUP($A5,'Man Tab'!$A:$Q,COLUMN()+2,0)),0,VLOOKUP($A5,'Man Tab'!$A:$Q,COLUMN()+2,0))</f>
        <v>5522.02261000001</v>
      </c>
      <c r="H5" s="320">
        <f>IF(ISERROR(VLOOKUP($A5,'Man Tab'!$A:$Q,COLUMN()+2,0)),0,VLOOKUP($A5,'Man Tab'!$A:$Q,COLUMN()+2,0))</f>
        <v>6628.1521400000001</v>
      </c>
      <c r="I5" s="320">
        <f>IF(ISERROR(VLOOKUP($A5,'Man Tab'!$A:$Q,COLUMN()+2,0)),0,VLOOKUP($A5,'Man Tab'!$A:$Q,COLUMN()+2,0))</f>
        <v>0</v>
      </c>
      <c r="J5" s="320">
        <f>IF(ISERROR(VLOOKUP($A5,'Man Tab'!$A:$Q,COLUMN()+2,0)),0,VLOOKUP($A5,'Man Tab'!$A:$Q,COLUMN()+2,0))</f>
        <v>0</v>
      </c>
      <c r="K5" s="320">
        <f>IF(ISERROR(VLOOKUP($A5,'Man Tab'!$A:$Q,COLUMN()+2,0)),0,VLOOKUP($A5,'Man Tab'!$A:$Q,COLUMN()+2,0))</f>
        <v>0</v>
      </c>
      <c r="L5" s="320">
        <f>IF(ISERROR(VLOOKUP($A5,'Man Tab'!$A:$Q,COLUMN()+2,0)),0,VLOOKUP($A5,'Man Tab'!$A:$Q,COLUMN()+2,0))</f>
        <v>0</v>
      </c>
      <c r="M5" s="320">
        <f>IF(ISERROR(VLOOKUP($A5,'Man Tab'!$A:$Q,COLUMN()+2,0)),0,VLOOKUP($A5,'Man Tab'!$A:$Q,COLUMN()+2,0))</f>
        <v>0</v>
      </c>
    </row>
    <row r="6" spans="1:13" ht="14.4" customHeight="1" x14ac:dyDescent="0.3">
      <c r="A6" s="321" t="s">
        <v>91</v>
      </c>
      <c r="B6" s="322">
        <f>B5</f>
        <v>6184.6240399999997</v>
      </c>
      <c r="C6" s="322">
        <f t="shared" ref="C6:M6" si="1">C5+B6</f>
        <v>11750.498799999999</v>
      </c>
      <c r="D6" s="322">
        <f t="shared" si="1"/>
        <v>17330.644029999999</v>
      </c>
      <c r="E6" s="322">
        <f t="shared" si="1"/>
        <v>22648.345089999999</v>
      </c>
      <c r="F6" s="322">
        <f t="shared" si="1"/>
        <v>28099.608029999999</v>
      </c>
      <c r="G6" s="322">
        <f t="shared" si="1"/>
        <v>33621.63064000001</v>
      </c>
      <c r="H6" s="322">
        <f t="shared" si="1"/>
        <v>40249.782780000009</v>
      </c>
      <c r="I6" s="322">
        <f t="shared" si="1"/>
        <v>40249.782780000009</v>
      </c>
      <c r="J6" s="322">
        <f t="shared" si="1"/>
        <v>40249.782780000009</v>
      </c>
      <c r="K6" s="322">
        <f t="shared" si="1"/>
        <v>40249.782780000009</v>
      </c>
      <c r="L6" s="322">
        <f t="shared" si="1"/>
        <v>40249.782780000009</v>
      </c>
      <c r="M6" s="322">
        <f t="shared" si="1"/>
        <v>40249.782780000009</v>
      </c>
    </row>
    <row r="7" spans="1:13" ht="14.4" customHeight="1" x14ac:dyDescent="0.3">
      <c r="A7" s="321" t="s">
        <v>119</v>
      </c>
      <c r="B7" s="321">
        <v>188.899</v>
      </c>
      <c r="C7" s="321">
        <v>325.346</v>
      </c>
      <c r="D7" s="321">
        <v>634.30600000000004</v>
      </c>
      <c r="E7" s="321">
        <v>854.65099999999995</v>
      </c>
      <c r="F7" s="321">
        <v>1128.355</v>
      </c>
      <c r="G7" s="321">
        <v>1344.066</v>
      </c>
      <c r="H7" s="321">
        <v>1574.587</v>
      </c>
      <c r="I7" s="321"/>
      <c r="J7" s="321"/>
      <c r="K7" s="321"/>
      <c r="L7" s="321"/>
      <c r="M7" s="321"/>
    </row>
    <row r="8" spans="1:13" ht="14.4" customHeight="1" x14ac:dyDescent="0.3">
      <c r="A8" s="321" t="s">
        <v>92</v>
      </c>
      <c r="B8" s="322">
        <f>B7*30</f>
        <v>5666.97</v>
      </c>
      <c r="C8" s="322">
        <f t="shared" ref="C8:M8" si="2">C7*30</f>
        <v>9760.380000000001</v>
      </c>
      <c r="D8" s="322">
        <f t="shared" si="2"/>
        <v>19029.18</v>
      </c>
      <c r="E8" s="322">
        <f t="shared" si="2"/>
        <v>25639.53</v>
      </c>
      <c r="F8" s="322">
        <f t="shared" si="2"/>
        <v>33850.65</v>
      </c>
      <c r="G8" s="322">
        <f t="shared" si="2"/>
        <v>40321.980000000003</v>
      </c>
      <c r="H8" s="322">
        <f t="shared" si="2"/>
        <v>47237.61</v>
      </c>
      <c r="I8" s="322">
        <f t="shared" si="2"/>
        <v>0</v>
      </c>
      <c r="J8" s="322">
        <f t="shared" si="2"/>
        <v>0</v>
      </c>
      <c r="K8" s="322">
        <f t="shared" si="2"/>
        <v>0</v>
      </c>
      <c r="L8" s="322">
        <f t="shared" si="2"/>
        <v>0</v>
      </c>
      <c r="M8" s="322">
        <f t="shared" si="2"/>
        <v>0</v>
      </c>
    </row>
    <row r="9" spans="1:13" ht="14.4" customHeight="1" x14ac:dyDescent="0.3">
      <c r="A9" s="321" t="s">
        <v>120</v>
      </c>
      <c r="B9" s="321">
        <v>48073</v>
      </c>
      <c r="C9" s="321">
        <v>33789</v>
      </c>
      <c r="D9" s="321">
        <v>33989</v>
      </c>
      <c r="E9" s="321">
        <v>30073</v>
      </c>
      <c r="F9" s="321">
        <v>37297</v>
      </c>
      <c r="G9" s="321">
        <v>38076</v>
      </c>
      <c r="H9" s="321">
        <v>16845</v>
      </c>
      <c r="I9" s="321">
        <v>0</v>
      </c>
      <c r="J9" s="321">
        <v>0</v>
      </c>
      <c r="K9" s="321">
        <v>0</v>
      </c>
      <c r="L9" s="321">
        <v>0</v>
      </c>
      <c r="M9" s="321">
        <v>0</v>
      </c>
    </row>
    <row r="10" spans="1:13" ht="14.4" customHeight="1" x14ac:dyDescent="0.3">
      <c r="A10" s="321" t="s">
        <v>93</v>
      </c>
      <c r="B10" s="322">
        <f>B9/1000</f>
        <v>48.073</v>
      </c>
      <c r="C10" s="322">
        <f t="shared" ref="C10:M10" si="3">C9/1000+B10</f>
        <v>81.861999999999995</v>
      </c>
      <c r="D10" s="322">
        <f t="shared" si="3"/>
        <v>115.851</v>
      </c>
      <c r="E10" s="322">
        <f t="shared" si="3"/>
        <v>145.92400000000001</v>
      </c>
      <c r="F10" s="322">
        <f t="shared" si="3"/>
        <v>183.221</v>
      </c>
      <c r="G10" s="322">
        <f t="shared" si="3"/>
        <v>221.297</v>
      </c>
      <c r="H10" s="322">
        <f t="shared" si="3"/>
        <v>238.142</v>
      </c>
      <c r="I10" s="322">
        <f t="shared" si="3"/>
        <v>238.142</v>
      </c>
      <c r="J10" s="322">
        <f t="shared" si="3"/>
        <v>238.142</v>
      </c>
      <c r="K10" s="322">
        <f t="shared" si="3"/>
        <v>238.142</v>
      </c>
      <c r="L10" s="322">
        <f t="shared" si="3"/>
        <v>238.142</v>
      </c>
      <c r="M10" s="322">
        <f t="shared" si="3"/>
        <v>238.142</v>
      </c>
    </row>
    <row r="11" spans="1:13" ht="14.4" customHeight="1" x14ac:dyDescent="0.3">
      <c r="A11" s="317"/>
      <c r="B11" s="317" t="s">
        <v>109</v>
      </c>
      <c r="C11" s="317">
        <f ca="1">IF(MONTH(TODAY())=1,12,MONTH(TODAY())-1)</f>
        <v>7</v>
      </c>
      <c r="D11" s="317"/>
      <c r="E11" s="317"/>
      <c r="F11" s="317"/>
      <c r="G11" s="317"/>
      <c r="H11" s="317"/>
      <c r="I11" s="317"/>
      <c r="J11" s="317"/>
      <c r="K11" s="317"/>
      <c r="L11" s="317"/>
      <c r="M11" s="317"/>
    </row>
    <row r="12" spans="1:13" ht="14.4" customHeight="1" x14ac:dyDescent="0.3">
      <c r="A12" s="317">
        <v>0</v>
      </c>
      <c r="B12" s="320">
        <f>IF(ISERROR(HI!F15),#REF!,HI!F15)</f>
        <v>1.3117905927004014</v>
      </c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</row>
    <row r="13" spans="1:13" ht="14.4" customHeight="1" x14ac:dyDescent="0.3">
      <c r="A13" s="317">
        <v>1</v>
      </c>
      <c r="B13" s="320">
        <f>IF(ISERROR(HI!F15),#REF!,HI!F15)</f>
        <v>1.3117905927004014</v>
      </c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4" bestFit="1" customWidth="1"/>
    <col min="2" max="2" width="12.77734375" style="244" bestFit="1" customWidth="1"/>
    <col min="3" max="3" width="13.6640625" style="244" bestFit="1" customWidth="1"/>
    <col min="4" max="15" width="7.77734375" style="244" bestFit="1" customWidth="1"/>
    <col min="16" max="16" width="8.88671875" style="244" customWidth="1"/>
    <col min="17" max="17" width="6.6640625" style="244" bestFit="1" customWidth="1"/>
    <col min="18" max="16384" width="8.88671875" style="244"/>
  </cols>
  <sheetData>
    <row r="1" spans="1:17" s="323" customFormat="1" ht="18.600000000000001" customHeight="1" thickBot="1" x14ac:dyDescent="0.4">
      <c r="A1" s="473" t="s">
        <v>303</v>
      </c>
      <c r="B1" s="473"/>
      <c r="C1" s="473"/>
      <c r="D1" s="473"/>
      <c r="E1" s="473"/>
      <c r="F1" s="473"/>
      <c r="G1" s="473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s="323" customFormat="1" ht="14.4" customHeight="1" thickBot="1" x14ac:dyDescent="0.3">
      <c r="A2" s="368" t="s">
        <v>301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17" ht="14.4" customHeight="1" x14ac:dyDescent="0.3">
      <c r="A3" s="93"/>
      <c r="B3" s="474" t="s">
        <v>22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253"/>
      <c r="Q3" s="255"/>
    </row>
    <row r="4" spans="1:17" ht="14.4" customHeight="1" x14ac:dyDescent="0.3">
      <c r="A4" s="94"/>
      <c r="B4" s="24">
        <v>2016</v>
      </c>
      <c r="C4" s="254" t="s">
        <v>23</v>
      </c>
      <c r="D4" s="232" t="s">
        <v>276</v>
      </c>
      <c r="E4" s="232" t="s">
        <v>277</v>
      </c>
      <c r="F4" s="232" t="s">
        <v>278</v>
      </c>
      <c r="G4" s="232" t="s">
        <v>279</v>
      </c>
      <c r="H4" s="232" t="s">
        <v>280</v>
      </c>
      <c r="I4" s="232" t="s">
        <v>281</v>
      </c>
      <c r="J4" s="232" t="s">
        <v>282</v>
      </c>
      <c r="K4" s="232" t="s">
        <v>283</v>
      </c>
      <c r="L4" s="232" t="s">
        <v>284</v>
      </c>
      <c r="M4" s="232" t="s">
        <v>285</v>
      </c>
      <c r="N4" s="232" t="s">
        <v>286</v>
      </c>
      <c r="O4" s="232" t="s">
        <v>287</v>
      </c>
      <c r="P4" s="476" t="s">
        <v>3</v>
      </c>
      <c r="Q4" s="477"/>
    </row>
    <row r="5" spans="1:17" ht="14.4" customHeight="1" thickBot="1" x14ac:dyDescent="0.35">
      <c r="A5" s="95"/>
      <c r="B5" s="25" t="s">
        <v>24</v>
      </c>
      <c r="C5" s="26" t="s">
        <v>24</v>
      </c>
      <c r="D5" s="26" t="s">
        <v>25</v>
      </c>
      <c r="E5" s="26" t="s">
        <v>25</v>
      </c>
      <c r="F5" s="26" t="s">
        <v>25</v>
      </c>
      <c r="G5" s="26" t="s">
        <v>25</v>
      </c>
      <c r="H5" s="26" t="s">
        <v>25</v>
      </c>
      <c r="I5" s="26" t="s">
        <v>25</v>
      </c>
      <c r="J5" s="26" t="s">
        <v>25</v>
      </c>
      <c r="K5" s="26" t="s">
        <v>25</v>
      </c>
      <c r="L5" s="26" t="s">
        <v>25</v>
      </c>
      <c r="M5" s="26" t="s">
        <v>25</v>
      </c>
      <c r="N5" s="26" t="s">
        <v>25</v>
      </c>
      <c r="O5" s="26" t="s">
        <v>25</v>
      </c>
      <c r="P5" s="26" t="s">
        <v>25</v>
      </c>
      <c r="Q5" s="27" t="s">
        <v>26</v>
      </c>
    </row>
    <row r="6" spans="1:17" ht="14.4" customHeight="1" x14ac:dyDescent="0.3">
      <c r="A6" s="18" t="s">
        <v>27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8" t="s">
        <v>302</v>
      </c>
    </row>
    <row r="7" spans="1:17" ht="14.4" customHeight="1" x14ac:dyDescent="0.3">
      <c r="A7" s="19" t="s">
        <v>28</v>
      </c>
      <c r="B7" s="55">
        <v>6177.2031597736604</v>
      </c>
      <c r="C7" s="56">
        <v>514.76692998113901</v>
      </c>
      <c r="D7" s="56">
        <v>1412.6644799999999</v>
      </c>
      <c r="E7" s="56">
        <v>965.40796999999998</v>
      </c>
      <c r="F7" s="56">
        <v>918.91965000000005</v>
      </c>
      <c r="G7" s="56">
        <v>262.18756000000002</v>
      </c>
      <c r="H7" s="56">
        <v>228.33688000000001</v>
      </c>
      <c r="I7" s="56">
        <v>247.42975999999999</v>
      </c>
      <c r="J7" s="56">
        <v>344.16446000000002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4379.1107599999996</v>
      </c>
      <c r="Q7" s="179">
        <v>1.215282519122</v>
      </c>
    </row>
    <row r="8" spans="1:17" ht="14.4" customHeight="1" x14ac:dyDescent="0.3">
      <c r="A8" s="19" t="s">
        <v>29</v>
      </c>
      <c r="B8" s="55">
        <v>314.01570877864401</v>
      </c>
      <c r="C8" s="56">
        <v>26.167975731553</v>
      </c>
      <c r="D8" s="56">
        <v>16.329000000000001</v>
      </c>
      <c r="E8" s="56">
        <v>10.23</v>
      </c>
      <c r="F8" s="56">
        <v>1.7050000000000001</v>
      </c>
      <c r="G8" s="56">
        <v>15.345000000000001</v>
      </c>
      <c r="H8" s="56">
        <v>18.286999999999999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61.896000000000001</v>
      </c>
      <c r="Q8" s="179">
        <v>0.337904842353</v>
      </c>
    </row>
    <row r="9" spans="1:17" ht="14.4" customHeight="1" x14ac:dyDescent="0.3">
      <c r="A9" s="19" t="s">
        <v>30</v>
      </c>
      <c r="B9" s="55">
        <v>4537.9193130151098</v>
      </c>
      <c r="C9" s="56">
        <v>378.159942751259</v>
      </c>
      <c r="D9" s="56">
        <v>385.59906000000001</v>
      </c>
      <c r="E9" s="56">
        <v>295.95907</v>
      </c>
      <c r="F9" s="56">
        <v>274.82668000000001</v>
      </c>
      <c r="G9" s="56">
        <v>361.43488000000002</v>
      </c>
      <c r="H9" s="56">
        <v>472.39159999999998</v>
      </c>
      <c r="I9" s="56">
        <v>360.51476000000099</v>
      </c>
      <c r="J9" s="56">
        <v>416.22368999999998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2566.94974</v>
      </c>
      <c r="Q9" s="179">
        <v>0.96971430407500003</v>
      </c>
    </row>
    <row r="10" spans="1:17" ht="14.4" customHeight="1" x14ac:dyDescent="0.3">
      <c r="A10" s="19" t="s">
        <v>31</v>
      </c>
      <c r="B10" s="55">
        <v>293.67424206094199</v>
      </c>
      <c r="C10" s="56">
        <v>24.472853505078</v>
      </c>
      <c r="D10" s="56">
        <v>21.398769999999999</v>
      </c>
      <c r="E10" s="56">
        <v>21.08531</v>
      </c>
      <c r="F10" s="56">
        <v>28.464700000000001</v>
      </c>
      <c r="G10" s="56">
        <v>19.169730000000001</v>
      </c>
      <c r="H10" s="56">
        <v>28.919219999999999</v>
      </c>
      <c r="I10" s="56">
        <v>19.253740000000001</v>
      </c>
      <c r="J10" s="56">
        <v>15.76606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154.05753000000001</v>
      </c>
      <c r="Q10" s="179">
        <v>0.89929106823799998</v>
      </c>
    </row>
    <row r="11" spans="1:17" ht="14.4" customHeight="1" x14ac:dyDescent="0.3">
      <c r="A11" s="19" t="s">
        <v>32</v>
      </c>
      <c r="B11" s="55">
        <v>859.382555170361</v>
      </c>
      <c r="C11" s="56">
        <v>71.615212930862995</v>
      </c>
      <c r="D11" s="56">
        <v>73.118319999999997</v>
      </c>
      <c r="E11" s="56">
        <v>65.029520000000005</v>
      </c>
      <c r="F11" s="56">
        <v>34.483719999999998</v>
      </c>
      <c r="G11" s="56">
        <v>98.429119999999998</v>
      </c>
      <c r="H11" s="56">
        <v>67.359690000000001</v>
      </c>
      <c r="I11" s="56">
        <v>138.52694</v>
      </c>
      <c r="J11" s="56">
        <v>67.552719999999994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544.50003000000004</v>
      </c>
      <c r="Q11" s="179">
        <v>1.0861619394540001</v>
      </c>
    </row>
    <row r="12" spans="1:17" ht="14.4" customHeight="1" x14ac:dyDescent="0.3">
      <c r="A12" s="19" t="s">
        <v>33</v>
      </c>
      <c r="B12" s="55">
        <v>373.321581508073</v>
      </c>
      <c r="C12" s="56">
        <v>31.110131792339001</v>
      </c>
      <c r="D12" s="56">
        <v>11.586919999999999</v>
      </c>
      <c r="E12" s="56">
        <v>9.12317</v>
      </c>
      <c r="F12" s="56">
        <v>1.4493400000000001</v>
      </c>
      <c r="G12" s="56">
        <v>58.54468</v>
      </c>
      <c r="H12" s="56">
        <v>5.6332399999999998</v>
      </c>
      <c r="I12" s="56">
        <v>8.6320499999999996</v>
      </c>
      <c r="J12" s="56">
        <v>56.518090000000001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151.48749000000001</v>
      </c>
      <c r="Q12" s="179">
        <v>0.69562771846899996</v>
      </c>
    </row>
    <row r="13" spans="1:17" ht="14.4" customHeight="1" x14ac:dyDescent="0.3">
      <c r="A13" s="19" t="s">
        <v>34</v>
      </c>
      <c r="B13" s="55">
        <v>444.50160376943302</v>
      </c>
      <c r="C13" s="56">
        <v>37.041800314119001</v>
      </c>
      <c r="D13" s="56">
        <v>43.169240000000002</v>
      </c>
      <c r="E13" s="56">
        <v>38.921129999999998</v>
      </c>
      <c r="F13" s="56">
        <v>28.538509999999999</v>
      </c>
      <c r="G13" s="56">
        <v>79.818920000000006</v>
      </c>
      <c r="H13" s="56">
        <v>43.9041</v>
      </c>
      <c r="I13" s="56">
        <v>40.733429999999998</v>
      </c>
      <c r="J13" s="56">
        <v>32.378979999999999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307.46431000000001</v>
      </c>
      <c r="Q13" s="179">
        <v>1.185781265615</v>
      </c>
    </row>
    <row r="14" spans="1:17" ht="14.4" customHeight="1" x14ac:dyDescent="0.3">
      <c r="A14" s="19" t="s">
        <v>35</v>
      </c>
      <c r="B14" s="55">
        <v>925.83345453418599</v>
      </c>
      <c r="C14" s="56">
        <v>77.152787877847999</v>
      </c>
      <c r="D14" s="56">
        <v>122.322</v>
      </c>
      <c r="E14" s="56">
        <v>92.24</v>
      </c>
      <c r="F14" s="56">
        <v>97.555999999999997</v>
      </c>
      <c r="G14" s="56">
        <v>76.013000000000005</v>
      </c>
      <c r="H14" s="56">
        <v>55.009</v>
      </c>
      <c r="I14" s="56">
        <v>48.991</v>
      </c>
      <c r="J14" s="56">
        <v>49.878999999999998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542.01</v>
      </c>
      <c r="Q14" s="179">
        <v>1.003593027935</v>
      </c>
    </row>
    <row r="15" spans="1:17" ht="14.4" customHeight="1" x14ac:dyDescent="0.3">
      <c r="A15" s="19" t="s">
        <v>36</v>
      </c>
      <c r="B15" s="55">
        <v>160.00001444471701</v>
      </c>
      <c r="C15" s="56">
        <v>13.333334537059001</v>
      </c>
      <c r="D15" s="56">
        <v>13.120660000000001</v>
      </c>
      <c r="E15" s="56">
        <v>1.44</v>
      </c>
      <c r="F15" s="56">
        <v>7.2049599999999998</v>
      </c>
      <c r="G15" s="56">
        <v>25.30742</v>
      </c>
      <c r="H15" s="56">
        <v>3.14</v>
      </c>
      <c r="I15" s="56">
        <v>8.7008299999999998</v>
      </c>
      <c r="J15" s="56">
        <v>22.10164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81.015510000000006</v>
      </c>
      <c r="Q15" s="179">
        <v>0.86802324306300005</v>
      </c>
    </row>
    <row r="16" spans="1:17" ht="14.4" customHeight="1" x14ac:dyDescent="0.3">
      <c r="A16" s="19" t="s">
        <v>37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9" t="s">
        <v>302</v>
      </c>
    </row>
    <row r="17" spans="1:17" ht="14.4" customHeight="1" x14ac:dyDescent="0.3">
      <c r="A17" s="19" t="s">
        <v>38</v>
      </c>
      <c r="B17" s="55">
        <v>706.461813989235</v>
      </c>
      <c r="C17" s="56">
        <v>58.871817832436001</v>
      </c>
      <c r="D17" s="56">
        <v>58.19191</v>
      </c>
      <c r="E17" s="56">
        <v>80.530630000000002</v>
      </c>
      <c r="F17" s="56">
        <v>74.359750000000005</v>
      </c>
      <c r="G17" s="56">
        <v>83.61645</v>
      </c>
      <c r="H17" s="56">
        <v>86.736729999999994</v>
      </c>
      <c r="I17" s="56">
        <v>38.284039999999997</v>
      </c>
      <c r="J17" s="56">
        <v>104.15724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525.87675000000002</v>
      </c>
      <c r="Q17" s="179">
        <v>1.2760817105019999</v>
      </c>
    </row>
    <row r="18" spans="1:17" ht="14.4" customHeight="1" x14ac:dyDescent="0.3">
      <c r="A18" s="19" t="s">
        <v>39</v>
      </c>
      <c r="B18" s="55">
        <v>0</v>
      </c>
      <c r="C18" s="56">
        <v>0</v>
      </c>
      <c r="D18" s="56">
        <v>0.3</v>
      </c>
      <c r="E18" s="56">
        <v>1.746</v>
      </c>
      <c r="F18" s="56">
        <v>6.73</v>
      </c>
      <c r="G18" s="56">
        <v>27.26</v>
      </c>
      <c r="H18" s="56">
        <v>8.7460000000000004</v>
      </c>
      <c r="I18" s="56">
        <v>23.626000000000001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68.408000000000001</v>
      </c>
      <c r="Q18" s="179" t="s">
        <v>302</v>
      </c>
    </row>
    <row r="19" spans="1:17" ht="14.4" customHeight="1" x14ac:dyDescent="0.3">
      <c r="A19" s="19" t="s">
        <v>40</v>
      </c>
      <c r="B19" s="55">
        <v>2186.2351695409002</v>
      </c>
      <c r="C19" s="56">
        <v>182.186264128408</v>
      </c>
      <c r="D19" s="56">
        <v>189.09662</v>
      </c>
      <c r="E19" s="56">
        <v>184.86668</v>
      </c>
      <c r="F19" s="56">
        <v>187.11069000000001</v>
      </c>
      <c r="G19" s="56">
        <v>221.92153999999999</v>
      </c>
      <c r="H19" s="56">
        <v>168.19050999999999</v>
      </c>
      <c r="I19" s="56">
        <v>244.64236</v>
      </c>
      <c r="J19" s="56">
        <v>159.48197999999999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1355.3103799999999</v>
      </c>
      <c r="Q19" s="179">
        <v>1.062735269849</v>
      </c>
    </row>
    <row r="20" spans="1:17" ht="14.4" customHeight="1" x14ac:dyDescent="0.3">
      <c r="A20" s="19" t="s">
        <v>41</v>
      </c>
      <c r="B20" s="55">
        <v>45907.004144460698</v>
      </c>
      <c r="C20" s="56">
        <v>3825.5836787050598</v>
      </c>
      <c r="D20" s="56">
        <v>3572.4527699999999</v>
      </c>
      <c r="E20" s="56">
        <v>3527.1629800000001</v>
      </c>
      <c r="F20" s="56">
        <v>3649.1549</v>
      </c>
      <c r="G20" s="56">
        <v>3682.78206</v>
      </c>
      <c r="H20" s="56">
        <v>3960.5900999999999</v>
      </c>
      <c r="I20" s="56">
        <v>3856.24831000001</v>
      </c>
      <c r="J20" s="56">
        <v>5070.4834600000004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27318.87458</v>
      </c>
      <c r="Q20" s="179">
        <v>1.020157104468</v>
      </c>
    </row>
    <row r="21" spans="1:17" ht="14.4" customHeight="1" x14ac:dyDescent="0.3">
      <c r="A21" s="20" t="s">
        <v>42</v>
      </c>
      <c r="B21" s="55">
        <v>3059.0070640252802</v>
      </c>
      <c r="C21" s="56">
        <v>254.91725533543999</v>
      </c>
      <c r="D21" s="56">
        <v>262.791</v>
      </c>
      <c r="E21" s="56">
        <v>262.78800000000001</v>
      </c>
      <c r="F21" s="56">
        <v>262.78800000000001</v>
      </c>
      <c r="G21" s="56">
        <v>262.77999999999997</v>
      </c>
      <c r="H21" s="56">
        <v>262.77999999999997</v>
      </c>
      <c r="I21" s="56">
        <v>262.77999999999997</v>
      </c>
      <c r="J21" s="56">
        <v>262.779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1839.4860000000001</v>
      </c>
      <c r="Q21" s="179">
        <v>1.0308588719889999</v>
      </c>
    </row>
    <row r="22" spans="1:17" ht="14.4" customHeight="1" x14ac:dyDescent="0.3">
      <c r="A22" s="19" t="s">
        <v>43</v>
      </c>
      <c r="B22" s="55">
        <v>117.83103164909301</v>
      </c>
      <c r="C22" s="56">
        <v>9.8192526374240003</v>
      </c>
      <c r="D22" s="56">
        <v>0</v>
      </c>
      <c r="E22" s="56">
        <v>9.3439999999999994</v>
      </c>
      <c r="F22" s="56">
        <v>4.4527999999999999</v>
      </c>
      <c r="G22" s="56">
        <v>24.26135</v>
      </c>
      <c r="H22" s="56">
        <v>39.338200000000001</v>
      </c>
      <c r="I22" s="56">
        <v>199.10441</v>
      </c>
      <c r="J22" s="56">
        <v>26.666899999999998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303.16766000000001</v>
      </c>
      <c r="Q22" s="179">
        <v>4.410688604672</v>
      </c>
    </row>
    <row r="23" spans="1:17" ht="14.4" customHeight="1" x14ac:dyDescent="0.3">
      <c r="A23" s="20" t="s">
        <v>44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9" t="s">
        <v>302</v>
      </c>
    </row>
    <row r="24" spans="1:17" ht="14.4" customHeight="1" x14ac:dyDescent="0.3">
      <c r="A24" s="20" t="s">
        <v>45</v>
      </c>
      <c r="B24" s="55">
        <v>-2.91038304567337E-11</v>
      </c>
      <c r="C24" s="56">
        <v>-9.0949470177292804E-13</v>
      </c>
      <c r="D24" s="56">
        <v>2.4832900000000002</v>
      </c>
      <c r="E24" s="56">
        <v>2.9999999899999998E-4</v>
      </c>
      <c r="F24" s="56">
        <v>2.4005299999990002</v>
      </c>
      <c r="G24" s="56">
        <v>18.829350000000002</v>
      </c>
      <c r="H24" s="56">
        <v>1.900669999999</v>
      </c>
      <c r="I24" s="56">
        <v>24.55498</v>
      </c>
      <c r="J24" s="56">
        <v>-1.079999999E-3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50.168039999999998</v>
      </c>
      <c r="Q24" s="179"/>
    </row>
    <row r="25" spans="1:17" ht="14.4" customHeight="1" x14ac:dyDescent="0.3">
      <c r="A25" s="21" t="s">
        <v>46</v>
      </c>
      <c r="B25" s="58">
        <v>66062.390856720303</v>
      </c>
      <c r="C25" s="59">
        <v>5505.1992380600304</v>
      </c>
      <c r="D25" s="59">
        <v>6184.6240399999997</v>
      </c>
      <c r="E25" s="59">
        <v>5565.8747599999997</v>
      </c>
      <c r="F25" s="59">
        <v>5580.1452300000001</v>
      </c>
      <c r="G25" s="59">
        <v>5317.7010600000003</v>
      </c>
      <c r="H25" s="59">
        <v>5451.2629399999996</v>
      </c>
      <c r="I25" s="59">
        <v>5522.02261000001</v>
      </c>
      <c r="J25" s="59">
        <v>6628.1521400000001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40249.782780000001</v>
      </c>
      <c r="Q25" s="180">
        <v>1.044461557143</v>
      </c>
    </row>
    <row r="26" spans="1:17" ht="14.4" customHeight="1" x14ac:dyDescent="0.3">
      <c r="A26" s="19" t="s">
        <v>47</v>
      </c>
      <c r="B26" s="55">
        <v>6417.9805649107302</v>
      </c>
      <c r="C26" s="56">
        <v>534.83171374256096</v>
      </c>
      <c r="D26" s="56">
        <v>634.53602999999998</v>
      </c>
      <c r="E26" s="56">
        <v>541.26225999999997</v>
      </c>
      <c r="F26" s="56">
        <v>614.05322999999999</v>
      </c>
      <c r="G26" s="56">
        <v>648.56831999999997</v>
      </c>
      <c r="H26" s="56">
        <v>634.88439000000005</v>
      </c>
      <c r="I26" s="56">
        <v>704.86099000000002</v>
      </c>
      <c r="J26" s="56">
        <v>837.57973000000004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4615.7449500000002</v>
      </c>
      <c r="Q26" s="179">
        <v>1.2328964770990001</v>
      </c>
    </row>
    <row r="27" spans="1:17" ht="14.4" customHeight="1" x14ac:dyDescent="0.3">
      <c r="A27" s="22" t="s">
        <v>48</v>
      </c>
      <c r="B27" s="58">
        <v>72480.371421631004</v>
      </c>
      <c r="C27" s="59">
        <v>6040.0309518025897</v>
      </c>
      <c r="D27" s="59">
        <v>6819.1600699999999</v>
      </c>
      <c r="E27" s="59">
        <v>6107.1370200000001</v>
      </c>
      <c r="F27" s="59">
        <v>6194.1984599999996</v>
      </c>
      <c r="G27" s="59">
        <v>5966.2693799999997</v>
      </c>
      <c r="H27" s="59">
        <v>6086.1473299999998</v>
      </c>
      <c r="I27" s="59">
        <v>6226.8836000000101</v>
      </c>
      <c r="J27" s="59">
        <v>7465.7318699999996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44865.527730000002</v>
      </c>
      <c r="Q27" s="180">
        <v>1.0611470628919999</v>
      </c>
    </row>
    <row r="28" spans="1:17" ht="14.4" customHeight="1" x14ac:dyDescent="0.3">
      <c r="A28" s="20" t="s">
        <v>49</v>
      </c>
      <c r="B28" s="55">
        <v>14.886281056014999</v>
      </c>
      <c r="C28" s="56">
        <v>1.240523421334</v>
      </c>
      <c r="D28" s="56">
        <v>7.4999999999999997E-2</v>
      </c>
      <c r="E28" s="56">
        <v>0</v>
      </c>
      <c r="F28" s="56">
        <v>6.1569599999999998</v>
      </c>
      <c r="G28" s="56">
        <v>5.4980000000000002</v>
      </c>
      <c r="H28" s="56">
        <v>14.577070000000001</v>
      </c>
      <c r="I28" s="56">
        <v>0</v>
      </c>
      <c r="J28" s="56">
        <v>6.1569599999999998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32.463990000000003</v>
      </c>
      <c r="Q28" s="179">
        <v>3.7385129352519999</v>
      </c>
    </row>
    <row r="29" spans="1:17" ht="14.4" customHeight="1" x14ac:dyDescent="0.3">
      <c r="A29" s="20" t="s">
        <v>50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9" t="s">
        <v>302</v>
      </c>
    </row>
    <row r="30" spans="1:17" ht="14.4" customHeight="1" x14ac:dyDescent="0.3">
      <c r="A30" s="20" t="s">
        <v>51</v>
      </c>
      <c r="B30" s="55">
        <v>166.000016644597</v>
      </c>
      <c r="C30" s="56">
        <v>13.833334720383</v>
      </c>
      <c r="D30" s="56">
        <v>15.533010000000001</v>
      </c>
      <c r="E30" s="56">
        <v>7.6566000000000001</v>
      </c>
      <c r="F30" s="56">
        <v>10.858890000000001</v>
      </c>
      <c r="G30" s="56">
        <v>7.3888400000000001</v>
      </c>
      <c r="H30" s="56">
        <v>12.853820000000001</v>
      </c>
      <c r="I30" s="56">
        <v>7.3128099999999998</v>
      </c>
      <c r="J30" s="56">
        <v>18.070889999999999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79.674859999999995</v>
      </c>
      <c r="Q30" s="179">
        <v>0.82280397945999995</v>
      </c>
    </row>
    <row r="31" spans="1:17" ht="14.4" customHeight="1" thickBot="1" x14ac:dyDescent="0.35">
      <c r="A31" s="23" t="s">
        <v>52</v>
      </c>
      <c r="B31" s="61">
        <v>0</v>
      </c>
      <c r="C31" s="62">
        <v>0</v>
      </c>
      <c r="D31" s="62">
        <v>0</v>
      </c>
      <c r="E31" s="62">
        <v>18.149999999999999</v>
      </c>
      <c r="F31" s="62">
        <v>0</v>
      </c>
      <c r="G31" s="62">
        <v>0</v>
      </c>
      <c r="H31" s="62">
        <v>0</v>
      </c>
      <c r="I31" s="62">
        <v>30.498999999999999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48.649000000000001</v>
      </c>
      <c r="Q31" s="181" t="s">
        <v>302</v>
      </c>
    </row>
    <row r="32" spans="1:17" ht="14.4" customHeight="1" x14ac:dyDescent="0.3"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</row>
    <row r="33" spans="1:17" ht="14.4" customHeight="1" x14ac:dyDescent="0.3">
      <c r="A33" s="216" t="s">
        <v>193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ht="14.4" customHeight="1" x14ac:dyDescent="0.3">
      <c r="A34" s="250" t="s">
        <v>288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ht="14.4" customHeight="1" x14ac:dyDescent="0.3">
      <c r="A35" s="251" t="s">
        <v>53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4" customWidth="1"/>
    <col min="2" max="11" width="10" style="244" customWidth="1"/>
    <col min="12" max="16384" width="8.88671875" style="244"/>
  </cols>
  <sheetData>
    <row r="1" spans="1:11" s="64" customFormat="1" ht="18.600000000000001" customHeight="1" thickBot="1" x14ac:dyDescent="0.4">
      <c r="A1" s="473" t="s">
        <v>54</v>
      </c>
      <c r="B1" s="473"/>
      <c r="C1" s="473"/>
      <c r="D1" s="473"/>
      <c r="E1" s="473"/>
      <c r="F1" s="473"/>
      <c r="G1" s="473"/>
      <c r="H1" s="478"/>
      <c r="I1" s="478"/>
      <c r="J1" s="478"/>
      <c r="K1" s="478"/>
    </row>
    <row r="2" spans="1:11" s="64" customFormat="1" ht="14.4" customHeight="1" thickBot="1" x14ac:dyDescent="0.35">
      <c r="A2" s="368" t="s">
        <v>301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3"/>
      <c r="B3" s="474" t="s">
        <v>55</v>
      </c>
      <c r="C3" s="475"/>
      <c r="D3" s="475"/>
      <c r="E3" s="475"/>
      <c r="F3" s="481" t="s">
        <v>56</v>
      </c>
      <c r="G3" s="475"/>
      <c r="H3" s="475"/>
      <c r="I3" s="475"/>
      <c r="J3" s="475"/>
      <c r="K3" s="482"/>
    </row>
    <row r="4" spans="1:11" ht="14.4" customHeight="1" x14ac:dyDescent="0.3">
      <c r="A4" s="94"/>
      <c r="B4" s="479"/>
      <c r="C4" s="480"/>
      <c r="D4" s="480"/>
      <c r="E4" s="480"/>
      <c r="F4" s="483" t="s">
        <v>293</v>
      </c>
      <c r="G4" s="485" t="s">
        <v>57</v>
      </c>
      <c r="H4" s="256" t="s">
        <v>175</v>
      </c>
      <c r="I4" s="483" t="s">
        <v>58</v>
      </c>
      <c r="J4" s="485" t="s">
        <v>264</v>
      </c>
      <c r="K4" s="486" t="s">
        <v>295</v>
      </c>
    </row>
    <row r="5" spans="1:11" ht="42" thickBot="1" x14ac:dyDescent="0.35">
      <c r="A5" s="95"/>
      <c r="B5" s="28" t="s">
        <v>289</v>
      </c>
      <c r="C5" s="29" t="s">
        <v>290</v>
      </c>
      <c r="D5" s="30" t="s">
        <v>291</v>
      </c>
      <c r="E5" s="30" t="s">
        <v>292</v>
      </c>
      <c r="F5" s="484"/>
      <c r="G5" s="484"/>
      <c r="H5" s="29" t="s">
        <v>294</v>
      </c>
      <c r="I5" s="484"/>
      <c r="J5" s="484"/>
      <c r="K5" s="487"/>
    </row>
    <row r="6" spans="1:11" ht="14.4" customHeight="1" thickBot="1" x14ac:dyDescent="0.35">
      <c r="A6" s="609" t="s">
        <v>304</v>
      </c>
      <c r="B6" s="591">
        <v>56598.625534100102</v>
      </c>
      <c r="C6" s="591">
        <v>63155.466910000003</v>
      </c>
      <c r="D6" s="592">
        <v>6556.8413758999304</v>
      </c>
      <c r="E6" s="593">
        <v>1.115848067228</v>
      </c>
      <c r="F6" s="591">
        <v>66062.390856720303</v>
      </c>
      <c r="G6" s="592">
        <v>38536.394666420201</v>
      </c>
      <c r="H6" s="594">
        <v>6628.1521400000001</v>
      </c>
      <c r="I6" s="591">
        <v>40249.782780000001</v>
      </c>
      <c r="J6" s="592">
        <v>1713.3881135798199</v>
      </c>
      <c r="K6" s="595">
        <v>0.60926924166700003</v>
      </c>
    </row>
    <row r="7" spans="1:11" ht="14.4" customHeight="1" thickBot="1" x14ac:dyDescent="0.35">
      <c r="A7" s="610" t="s">
        <v>305</v>
      </c>
      <c r="B7" s="591">
        <v>10269.135564845999</v>
      </c>
      <c r="C7" s="591">
        <v>10625.49166</v>
      </c>
      <c r="D7" s="592">
        <v>356.35609515404201</v>
      </c>
      <c r="E7" s="593">
        <v>1.0347016643119999</v>
      </c>
      <c r="F7" s="591">
        <v>14085.851633055099</v>
      </c>
      <c r="G7" s="592">
        <v>8216.7467859488297</v>
      </c>
      <c r="H7" s="594">
        <v>1004.58356</v>
      </c>
      <c r="I7" s="591">
        <v>8797.4895099999994</v>
      </c>
      <c r="J7" s="592">
        <v>580.74272405117495</v>
      </c>
      <c r="K7" s="595">
        <v>0.62456213079400003</v>
      </c>
    </row>
    <row r="8" spans="1:11" ht="14.4" customHeight="1" thickBot="1" x14ac:dyDescent="0.35">
      <c r="A8" s="611" t="s">
        <v>306</v>
      </c>
      <c r="B8" s="591">
        <v>9208.4042108811209</v>
      </c>
      <c r="C8" s="591">
        <v>9532.8365099999992</v>
      </c>
      <c r="D8" s="592">
        <v>324.43229911888</v>
      </c>
      <c r="E8" s="593">
        <v>1.035232195686</v>
      </c>
      <c r="F8" s="591">
        <v>13000.0181640762</v>
      </c>
      <c r="G8" s="592">
        <v>7583.3439290444603</v>
      </c>
      <c r="H8" s="594">
        <v>932.60292000000004</v>
      </c>
      <c r="I8" s="591">
        <v>8174.4639999999999</v>
      </c>
      <c r="J8" s="592">
        <v>591.12007095553804</v>
      </c>
      <c r="K8" s="595">
        <v>0.62880404448799998</v>
      </c>
    </row>
    <row r="9" spans="1:11" ht="14.4" customHeight="1" thickBot="1" x14ac:dyDescent="0.35">
      <c r="A9" s="612" t="s">
        <v>307</v>
      </c>
      <c r="B9" s="596">
        <v>0</v>
      </c>
      <c r="C9" s="596">
        <v>2.0500000000000002E-3</v>
      </c>
      <c r="D9" s="597">
        <v>2.0500000000000002E-3</v>
      </c>
      <c r="E9" s="598" t="s">
        <v>302</v>
      </c>
      <c r="F9" s="596">
        <v>0</v>
      </c>
      <c r="G9" s="597">
        <v>0</v>
      </c>
      <c r="H9" s="599">
        <v>-1.08E-3</v>
      </c>
      <c r="I9" s="596">
        <v>-1.8600000000000001E-3</v>
      </c>
      <c r="J9" s="597">
        <v>-1.8600000000000001E-3</v>
      </c>
      <c r="K9" s="600" t="s">
        <v>302</v>
      </c>
    </row>
    <row r="10" spans="1:11" ht="14.4" customHeight="1" thickBot="1" x14ac:dyDescent="0.35">
      <c r="A10" s="613" t="s">
        <v>308</v>
      </c>
      <c r="B10" s="591">
        <v>0</v>
      </c>
      <c r="C10" s="591">
        <v>2.0500000000000002E-3</v>
      </c>
      <c r="D10" s="592">
        <v>2.0500000000000002E-3</v>
      </c>
      <c r="E10" s="601" t="s">
        <v>302</v>
      </c>
      <c r="F10" s="591">
        <v>0</v>
      </c>
      <c r="G10" s="592">
        <v>0</v>
      </c>
      <c r="H10" s="594">
        <v>-1.08E-3</v>
      </c>
      <c r="I10" s="591">
        <v>-1.8600000000000001E-3</v>
      </c>
      <c r="J10" s="592">
        <v>-1.8600000000000001E-3</v>
      </c>
      <c r="K10" s="602" t="s">
        <v>302</v>
      </c>
    </row>
    <row r="11" spans="1:11" ht="14.4" customHeight="1" thickBot="1" x14ac:dyDescent="0.35">
      <c r="A11" s="612" t="s">
        <v>309</v>
      </c>
      <c r="B11" s="596">
        <v>2575.5677927823399</v>
      </c>
      <c r="C11" s="596">
        <v>2466.0529000000001</v>
      </c>
      <c r="D11" s="597">
        <v>-109.514892782342</v>
      </c>
      <c r="E11" s="603">
        <v>0.95747932044700002</v>
      </c>
      <c r="F11" s="596">
        <v>6177.2031597736604</v>
      </c>
      <c r="G11" s="597">
        <v>3603.3685098679698</v>
      </c>
      <c r="H11" s="599">
        <v>344.16446000000002</v>
      </c>
      <c r="I11" s="596">
        <v>4379.1107599999996</v>
      </c>
      <c r="J11" s="597">
        <v>775.74225013202999</v>
      </c>
      <c r="K11" s="604">
        <v>0.70891480282099995</v>
      </c>
    </row>
    <row r="12" spans="1:11" ht="14.4" customHeight="1" thickBot="1" x14ac:dyDescent="0.35">
      <c r="A12" s="613" t="s">
        <v>310</v>
      </c>
      <c r="B12" s="591">
        <v>1757.22088036533</v>
      </c>
      <c r="C12" s="591">
        <v>1818.6002699999999</v>
      </c>
      <c r="D12" s="592">
        <v>61.379389634671</v>
      </c>
      <c r="E12" s="593">
        <v>1.0349298089500001</v>
      </c>
      <c r="F12" s="591">
        <v>1839.00016602397</v>
      </c>
      <c r="G12" s="592">
        <v>1072.75009684732</v>
      </c>
      <c r="H12" s="594">
        <v>277.01029999999997</v>
      </c>
      <c r="I12" s="591">
        <v>1247.00109</v>
      </c>
      <c r="J12" s="592">
        <v>174.25099315268301</v>
      </c>
      <c r="K12" s="595">
        <v>0.67808644775399995</v>
      </c>
    </row>
    <row r="13" spans="1:11" ht="14.4" customHeight="1" thickBot="1" x14ac:dyDescent="0.35">
      <c r="A13" s="613" t="s">
        <v>311</v>
      </c>
      <c r="B13" s="591">
        <v>125</v>
      </c>
      <c r="C13" s="591">
        <v>103.71765000000001</v>
      </c>
      <c r="D13" s="592">
        <v>-21.282350000000001</v>
      </c>
      <c r="E13" s="593">
        <v>0.82974119999999996</v>
      </c>
      <c r="F13" s="591">
        <v>125.00001128493599</v>
      </c>
      <c r="G13" s="592">
        <v>72.916673249544999</v>
      </c>
      <c r="H13" s="594">
        <v>6.6550000000000002</v>
      </c>
      <c r="I13" s="591">
        <v>35.716999999999999</v>
      </c>
      <c r="J13" s="592">
        <v>-37.199673249545</v>
      </c>
      <c r="K13" s="595">
        <v>0.28573597420300001</v>
      </c>
    </row>
    <row r="14" spans="1:11" ht="14.4" customHeight="1" thickBot="1" x14ac:dyDescent="0.35">
      <c r="A14" s="613" t="s">
        <v>312</v>
      </c>
      <c r="B14" s="591">
        <v>0</v>
      </c>
      <c r="C14" s="591">
        <v>59.692889999999998</v>
      </c>
      <c r="D14" s="592">
        <v>59.692889999999998</v>
      </c>
      <c r="E14" s="601" t="s">
        <v>313</v>
      </c>
      <c r="F14" s="591">
        <v>27.000022560405998</v>
      </c>
      <c r="G14" s="592">
        <v>15.750013160237</v>
      </c>
      <c r="H14" s="594">
        <v>18.51435</v>
      </c>
      <c r="I14" s="591">
        <v>92.900499999999994</v>
      </c>
      <c r="J14" s="592">
        <v>77.150486839763005</v>
      </c>
      <c r="K14" s="595">
        <v>3.4407563842640001</v>
      </c>
    </row>
    <row r="15" spans="1:11" ht="14.4" customHeight="1" thickBot="1" x14ac:dyDescent="0.35">
      <c r="A15" s="613" t="s">
        <v>314</v>
      </c>
      <c r="B15" s="591">
        <v>57.692740704507003</v>
      </c>
      <c r="C15" s="591">
        <v>20.559059999999999</v>
      </c>
      <c r="D15" s="592">
        <v>-37.133680704505998</v>
      </c>
      <c r="E15" s="593">
        <v>0.35635436536600001</v>
      </c>
      <c r="F15" s="591">
        <v>98.203018580404006</v>
      </c>
      <c r="G15" s="592">
        <v>57.285094171902003</v>
      </c>
      <c r="H15" s="594">
        <v>6.5166300000000001</v>
      </c>
      <c r="I15" s="591">
        <v>35.942869999999999</v>
      </c>
      <c r="J15" s="592">
        <v>-21.342224171902</v>
      </c>
      <c r="K15" s="595">
        <v>0.36600575541899999</v>
      </c>
    </row>
    <row r="16" spans="1:11" ht="14.4" customHeight="1" thickBot="1" x14ac:dyDescent="0.35">
      <c r="A16" s="613" t="s">
        <v>315</v>
      </c>
      <c r="B16" s="591">
        <v>25.825966599986</v>
      </c>
      <c r="C16" s="591">
        <v>25.319700000000001</v>
      </c>
      <c r="D16" s="592">
        <v>-0.50626659998599999</v>
      </c>
      <c r="E16" s="593">
        <v>0.98039699315700002</v>
      </c>
      <c r="F16" s="591">
        <v>30.000002708383999</v>
      </c>
      <c r="G16" s="592">
        <v>17.500001579890998</v>
      </c>
      <c r="H16" s="594">
        <v>0.82433999999999996</v>
      </c>
      <c r="I16" s="591">
        <v>6.7670700000000004</v>
      </c>
      <c r="J16" s="592">
        <v>-10.732931579891</v>
      </c>
      <c r="K16" s="595">
        <v>0.225568979635</v>
      </c>
    </row>
    <row r="17" spans="1:11" ht="14.4" customHeight="1" thickBot="1" x14ac:dyDescent="0.35">
      <c r="A17" s="613" t="s">
        <v>316</v>
      </c>
      <c r="B17" s="591">
        <v>147.30004187562</v>
      </c>
      <c r="C17" s="591">
        <v>126.76953</v>
      </c>
      <c r="D17" s="592">
        <v>-20.53051187562</v>
      </c>
      <c r="E17" s="593">
        <v>0.86062114026400005</v>
      </c>
      <c r="F17" s="591">
        <v>130.00001173633299</v>
      </c>
      <c r="G17" s="592">
        <v>75.833340179526999</v>
      </c>
      <c r="H17" s="594">
        <v>13.140280000000001</v>
      </c>
      <c r="I17" s="591">
        <v>50.763109999999998</v>
      </c>
      <c r="J17" s="592">
        <v>-25.070230179527002</v>
      </c>
      <c r="K17" s="595">
        <v>0.39048542628499999</v>
      </c>
    </row>
    <row r="18" spans="1:11" ht="14.4" customHeight="1" thickBot="1" x14ac:dyDescent="0.35">
      <c r="A18" s="613" t="s">
        <v>317</v>
      </c>
      <c r="B18" s="591">
        <v>6.6956635651919996</v>
      </c>
      <c r="C18" s="591">
        <v>10.291930000000001</v>
      </c>
      <c r="D18" s="592">
        <v>3.5962664348070001</v>
      </c>
      <c r="E18" s="593">
        <v>1.537103813504</v>
      </c>
      <c r="F18" s="591">
        <v>12.999573435041</v>
      </c>
      <c r="G18" s="592">
        <v>7.5830845037739998</v>
      </c>
      <c r="H18" s="594">
        <v>0.68637000000000004</v>
      </c>
      <c r="I18" s="591">
        <v>4.6686199999999998</v>
      </c>
      <c r="J18" s="592">
        <v>-2.914464503774</v>
      </c>
      <c r="K18" s="595">
        <v>0.35913639961499999</v>
      </c>
    </row>
    <row r="19" spans="1:11" ht="14.4" customHeight="1" thickBot="1" x14ac:dyDescent="0.35">
      <c r="A19" s="613" t="s">
        <v>318</v>
      </c>
      <c r="B19" s="591">
        <v>0</v>
      </c>
      <c r="C19" s="591">
        <v>0</v>
      </c>
      <c r="D19" s="592">
        <v>0</v>
      </c>
      <c r="E19" s="593">
        <v>1</v>
      </c>
      <c r="F19" s="591">
        <v>3600.00032500615</v>
      </c>
      <c r="G19" s="592">
        <v>2100.00018958692</v>
      </c>
      <c r="H19" s="594">
        <v>0</v>
      </c>
      <c r="I19" s="591">
        <v>2738.1990999999998</v>
      </c>
      <c r="J19" s="592">
        <v>638.19891041308199</v>
      </c>
      <c r="K19" s="595">
        <v>0.76061079244300001</v>
      </c>
    </row>
    <row r="20" spans="1:11" ht="14.4" customHeight="1" thickBot="1" x14ac:dyDescent="0.35">
      <c r="A20" s="613" t="s">
        <v>319</v>
      </c>
      <c r="B20" s="591">
        <v>455.83249967170798</v>
      </c>
      <c r="C20" s="591">
        <v>301.10187000000002</v>
      </c>
      <c r="D20" s="592">
        <v>-154.73062967170699</v>
      </c>
      <c r="E20" s="593">
        <v>0.66055375651500003</v>
      </c>
      <c r="F20" s="591">
        <v>315.00002843803799</v>
      </c>
      <c r="G20" s="592">
        <v>183.750016588856</v>
      </c>
      <c r="H20" s="594">
        <v>20.81719</v>
      </c>
      <c r="I20" s="591">
        <v>167.1514</v>
      </c>
      <c r="J20" s="592">
        <v>-16.598616588854998</v>
      </c>
      <c r="K20" s="595">
        <v>0.53063931717299995</v>
      </c>
    </row>
    <row r="21" spans="1:11" ht="14.4" customHeight="1" thickBot="1" x14ac:dyDescent="0.35">
      <c r="A21" s="612" t="s">
        <v>320</v>
      </c>
      <c r="B21" s="596">
        <v>329.06808144206298</v>
      </c>
      <c r="C21" s="596">
        <v>322.50599999999997</v>
      </c>
      <c r="D21" s="597">
        <v>-6.5620814420620004</v>
      </c>
      <c r="E21" s="603">
        <v>0.98005859026700004</v>
      </c>
      <c r="F21" s="596">
        <v>314.01570877864401</v>
      </c>
      <c r="G21" s="597">
        <v>183.17583012087599</v>
      </c>
      <c r="H21" s="599">
        <v>0</v>
      </c>
      <c r="I21" s="596">
        <v>61.896000000000001</v>
      </c>
      <c r="J21" s="597">
        <v>-121.279830120876</v>
      </c>
      <c r="K21" s="604">
        <v>0.19711115803900001</v>
      </c>
    </row>
    <row r="22" spans="1:11" ht="14.4" customHeight="1" thickBot="1" x14ac:dyDescent="0.35">
      <c r="A22" s="613" t="s">
        <v>321</v>
      </c>
      <c r="B22" s="591">
        <v>309.99999023575299</v>
      </c>
      <c r="C22" s="591">
        <v>311.91800000000001</v>
      </c>
      <c r="D22" s="592">
        <v>1.918009764247</v>
      </c>
      <c r="E22" s="593">
        <v>1.006187128466</v>
      </c>
      <c r="F22" s="591">
        <v>302.46518458488401</v>
      </c>
      <c r="G22" s="592">
        <v>176.438024341182</v>
      </c>
      <c r="H22" s="594">
        <v>0</v>
      </c>
      <c r="I22" s="591">
        <v>60.42</v>
      </c>
      <c r="J22" s="592">
        <v>-116.018024341182</v>
      </c>
      <c r="K22" s="595">
        <v>0.199758527854</v>
      </c>
    </row>
    <row r="23" spans="1:11" ht="14.4" customHeight="1" thickBot="1" x14ac:dyDescent="0.35">
      <c r="A23" s="613" t="s">
        <v>322</v>
      </c>
      <c r="B23" s="591">
        <v>19.068091206310001</v>
      </c>
      <c r="C23" s="591">
        <v>10.587999999999999</v>
      </c>
      <c r="D23" s="592">
        <v>-8.48009120631</v>
      </c>
      <c r="E23" s="593">
        <v>0.55527319884500004</v>
      </c>
      <c r="F23" s="591">
        <v>11.550524193759999</v>
      </c>
      <c r="G23" s="592">
        <v>6.7378057796929998</v>
      </c>
      <c r="H23" s="594">
        <v>0</v>
      </c>
      <c r="I23" s="591">
        <v>1.476</v>
      </c>
      <c r="J23" s="592">
        <v>-5.2618057796929998</v>
      </c>
      <c r="K23" s="595">
        <v>0.127786408239</v>
      </c>
    </row>
    <row r="24" spans="1:11" ht="14.4" customHeight="1" thickBot="1" x14ac:dyDescent="0.35">
      <c r="A24" s="612" t="s">
        <v>323</v>
      </c>
      <c r="B24" s="596">
        <v>4477.3819741076704</v>
      </c>
      <c r="C24" s="596">
        <v>4730.4970800000001</v>
      </c>
      <c r="D24" s="597">
        <v>253.11510589233501</v>
      </c>
      <c r="E24" s="603">
        <v>1.0565319437459999</v>
      </c>
      <c r="F24" s="596">
        <v>4537.9193130151098</v>
      </c>
      <c r="G24" s="597">
        <v>2647.11959925881</v>
      </c>
      <c r="H24" s="599">
        <v>416.22368999999998</v>
      </c>
      <c r="I24" s="596">
        <v>2566.94974</v>
      </c>
      <c r="J24" s="597">
        <v>-80.169859258811996</v>
      </c>
      <c r="K24" s="604">
        <v>0.56566667737700005</v>
      </c>
    </row>
    <row r="25" spans="1:11" ht="14.4" customHeight="1" thickBot="1" x14ac:dyDescent="0.35">
      <c r="A25" s="613" t="s">
        <v>324</v>
      </c>
      <c r="B25" s="591">
        <v>0.49499998440800003</v>
      </c>
      <c r="C25" s="591">
        <v>0</v>
      </c>
      <c r="D25" s="592">
        <v>-0.49499998440800003</v>
      </c>
      <c r="E25" s="593">
        <v>0</v>
      </c>
      <c r="F25" s="591">
        <v>0</v>
      </c>
      <c r="G25" s="592">
        <v>0</v>
      </c>
      <c r="H25" s="594">
        <v>0</v>
      </c>
      <c r="I25" s="591">
        <v>0</v>
      </c>
      <c r="J25" s="592">
        <v>0</v>
      </c>
      <c r="K25" s="595">
        <v>0</v>
      </c>
    </row>
    <row r="26" spans="1:11" ht="14.4" customHeight="1" thickBot="1" x14ac:dyDescent="0.35">
      <c r="A26" s="613" t="s">
        <v>325</v>
      </c>
      <c r="B26" s="591">
        <v>505.99998721198398</v>
      </c>
      <c r="C26" s="591">
        <v>494.22196000000002</v>
      </c>
      <c r="D26" s="592">
        <v>-11.778027211983</v>
      </c>
      <c r="E26" s="593">
        <v>0.97672326579099999</v>
      </c>
      <c r="F26" s="591">
        <v>609.96484378616105</v>
      </c>
      <c r="G26" s="592">
        <v>355.81282554192802</v>
      </c>
      <c r="H26" s="594">
        <v>66.946719999999999</v>
      </c>
      <c r="I26" s="591">
        <v>358.72125</v>
      </c>
      <c r="J26" s="592">
        <v>2.908424458072</v>
      </c>
      <c r="K26" s="595">
        <v>0.588101517086</v>
      </c>
    </row>
    <row r="27" spans="1:11" ht="14.4" customHeight="1" thickBot="1" x14ac:dyDescent="0.35">
      <c r="A27" s="613" t="s">
        <v>326</v>
      </c>
      <c r="B27" s="591">
        <v>4.9999998425119996</v>
      </c>
      <c r="C27" s="591">
        <v>0.8236</v>
      </c>
      <c r="D27" s="592">
        <v>-4.1763998425119997</v>
      </c>
      <c r="E27" s="593">
        <v>0.16472000518800001</v>
      </c>
      <c r="F27" s="591">
        <v>2.0000001805580001</v>
      </c>
      <c r="G27" s="592">
        <v>1.1666667719920001</v>
      </c>
      <c r="H27" s="594">
        <v>0</v>
      </c>
      <c r="I27" s="591">
        <v>0</v>
      </c>
      <c r="J27" s="592">
        <v>-1.1666667719920001</v>
      </c>
      <c r="K27" s="595">
        <v>0</v>
      </c>
    </row>
    <row r="28" spans="1:11" ht="14.4" customHeight="1" thickBot="1" x14ac:dyDescent="0.35">
      <c r="A28" s="613" t="s">
        <v>327</v>
      </c>
      <c r="B28" s="591">
        <v>163.999994834397</v>
      </c>
      <c r="C28" s="591">
        <v>161.64782</v>
      </c>
      <c r="D28" s="592">
        <v>-2.3521748343970001</v>
      </c>
      <c r="E28" s="593">
        <v>0.98565747007000004</v>
      </c>
      <c r="F28" s="591">
        <v>165.000014896115</v>
      </c>
      <c r="G28" s="592">
        <v>96.250008689400005</v>
      </c>
      <c r="H28" s="594">
        <v>19.294229999999999</v>
      </c>
      <c r="I28" s="591">
        <v>132.51472000000001</v>
      </c>
      <c r="J28" s="592">
        <v>36.264711310598997</v>
      </c>
      <c r="K28" s="595">
        <v>0.80311944264599999</v>
      </c>
    </row>
    <row r="29" spans="1:11" ht="14.4" customHeight="1" thickBot="1" x14ac:dyDescent="0.35">
      <c r="A29" s="613" t="s">
        <v>328</v>
      </c>
      <c r="B29" s="591">
        <v>3527.27634017432</v>
      </c>
      <c r="C29" s="591">
        <v>3449.40841</v>
      </c>
      <c r="D29" s="592">
        <v>-77.867930174323007</v>
      </c>
      <c r="E29" s="593">
        <v>0.97792406302599999</v>
      </c>
      <c r="F29" s="591">
        <v>3180.3727717376601</v>
      </c>
      <c r="G29" s="592">
        <v>1855.2174501802999</v>
      </c>
      <c r="H29" s="594">
        <v>262.67649</v>
      </c>
      <c r="I29" s="591">
        <v>1694.15816</v>
      </c>
      <c r="J29" s="592">
        <v>-161.05929018030201</v>
      </c>
      <c r="K29" s="595">
        <v>0.53269169421100004</v>
      </c>
    </row>
    <row r="30" spans="1:11" ht="14.4" customHeight="1" thickBot="1" x14ac:dyDescent="0.35">
      <c r="A30" s="613" t="s">
        <v>329</v>
      </c>
      <c r="B30" s="591">
        <v>27.999999118066999</v>
      </c>
      <c r="C30" s="591">
        <v>35.215989999999998</v>
      </c>
      <c r="D30" s="592">
        <v>7.215990881932</v>
      </c>
      <c r="E30" s="593">
        <v>1.2577139681859999</v>
      </c>
      <c r="F30" s="591">
        <v>35.000003159781997</v>
      </c>
      <c r="G30" s="592">
        <v>20.416668509872</v>
      </c>
      <c r="H30" s="594">
        <v>2.4175800000000001</v>
      </c>
      <c r="I30" s="591">
        <v>22.28322</v>
      </c>
      <c r="J30" s="592">
        <v>1.8665514901269999</v>
      </c>
      <c r="K30" s="595">
        <v>0.63666337109299997</v>
      </c>
    </row>
    <row r="31" spans="1:11" ht="14.4" customHeight="1" thickBot="1" x14ac:dyDescent="0.35">
      <c r="A31" s="613" t="s">
        <v>330</v>
      </c>
      <c r="B31" s="591">
        <v>7.9999997480190004</v>
      </c>
      <c r="C31" s="591">
        <v>5.2876599999999998</v>
      </c>
      <c r="D31" s="592">
        <v>-2.7123397480190001</v>
      </c>
      <c r="E31" s="593">
        <v>0.66095752081799997</v>
      </c>
      <c r="F31" s="591">
        <v>7.0000006319560004</v>
      </c>
      <c r="G31" s="592">
        <v>4.0833337019740004</v>
      </c>
      <c r="H31" s="594">
        <v>0</v>
      </c>
      <c r="I31" s="591">
        <v>2.9911500000000002</v>
      </c>
      <c r="J31" s="592">
        <v>-1.0921837019739999</v>
      </c>
      <c r="K31" s="595">
        <v>0.42730710428000002</v>
      </c>
    </row>
    <row r="32" spans="1:11" ht="14.4" customHeight="1" thickBot="1" x14ac:dyDescent="0.35">
      <c r="A32" s="613" t="s">
        <v>331</v>
      </c>
      <c r="B32" s="591">
        <v>6.9999997795160001</v>
      </c>
      <c r="C32" s="591">
        <v>9.6019100000000002</v>
      </c>
      <c r="D32" s="592">
        <v>2.601910220483</v>
      </c>
      <c r="E32" s="593">
        <v>1.3717014717760001</v>
      </c>
      <c r="F32" s="591">
        <v>9.5816308650239996</v>
      </c>
      <c r="G32" s="592">
        <v>5.5892846712640001</v>
      </c>
      <c r="H32" s="594">
        <v>0.91071999999999997</v>
      </c>
      <c r="I32" s="591">
        <v>4.7682399999999996</v>
      </c>
      <c r="J32" s="592">
        <v>-0.82104467126400005</v>
      </c>
      <c r="K32" s="595">
        <v>0.49764388413299998</v>
      </c>
    </row>
    <row r="33" spans="1:11" ht="14.4" customHeight="1" thickBot="1" x14ac:dyDescent="0.35">
      <c r="A33" s="613" t="s">
        <v>332</v>
      </c>
      <c r="B33" s="591">
        <v>144.610655839749</v>
      </c>
      <c r="C33" s="591">
        <v>166.04875999999999</v>
      </c>
      <c r="D33" s="592">
        <v>21.438104160249999</v>
      </c>
      <c r="E33" s="593">
        <v>1.1482470571459999</v>
      </c>
      <c r="F33" s="591">
        <v>145.00001309052499</v>
      </c>
      <c r="G33" s="592">
        <v>84.583340969472999</v>
      </c>
      <c r="H33" s="594">
        <v>16.390560000000001</v>
      </c>
      <c r="I33" s="591">
        <v>118.57321</v>
      </c>
      <c r="J33" s="592">
        <v>33.989869030526997</v>
      </c>
      <c r="K33" s="595">
        <v>0.81774620203600001</v>
      </c>
    </row>
    <row r="34" spans="1:11" ht="14.4" customHeight="1" thickBot="1" x14ac:dyDescent="0.35">
      <c r="A34" s="613" t="s">
        <v>333</v>
      </c>
      <c r="B34" s="591">
        <v>86.999997574686006</v>
      </c>
      <c r="C34" s="591">
        <v>97.480170000000001</v>
      </c>
      <c r="D34" s="592">
        <v>10.480172425313</v>
      </c>
      <c r="E34" s="593">
        <v>1.1204617553730001</v>
      </c>
      <c r="F34" s="591">
        <v>84.000007583476005</v>
      </c>
      <c r="G34" s="592">
        <v>49.000004423694001</v>
      </c>
      <c r="H34" s="594">
        <v>10.406000000000001</v>
      </c>
      <c r="I34" s="591">
        <v>54.45</v>
      </c>
      <c r="J34" s="592">
        <v>5.4499955763049996</v>
      </c>
      <c r="K34" s="595">
        <v>0.64821422719300004</v>
      </c>
    </row>
    <row r="35" spans="1:11" ht="14.4" customHeight="1" thickBot="1" x14ac:dyDescent="0.35">
      <c r="A35" s="613" t="s">
        <v>334</v>
      </c>
      <c r="B35" s="591">
        <v>0</v>
      </c>
      <c r="C35" s="591">
        <v>310.76080000000002</v>
      </c>
      <c r="D35" s="592">
        <v>310.76080000000002</v>
      </c>
      <c r="E35" s="601" t="s">
        <v>313</v>
      </c>
      <c r="F35" s="591">
        <v>300.000027083845</v>
      </c>
      <c r="G35" s="592">
        <v>175.00001579891</v>
      </c>
      <c r="H35" s="594">
        <v>37.18139</v>
      </c>
      <c r="I35" s="591">
        <v>178.48979</v>
      </c>
      <c r="J35" s="592">
        <v>3.4897742010899999</v>
      </c>
      <c r="K35" s="595">
        <v>0.59496591295300005</v>
      </c>
    </row>
    <row r="36" spans="1:11" ht="14.4" customHeight="1" thickBot="1" x14ac:dyDescent="0.35">
      <c r="A36" s="612" t="s">
        <v>335</v>
      </c>
      <c r="B36" s="596">
        <v>296.336027406401</v>
      </c>
      <c r="C36" s="596">
        <v>298.37628000000001</v>
      </c>
      <c r="D36" s="597">
        <v>2.0402525935989999</v>
      </c>
      <c r="E36" s="603">
        <v>1.006884929286</v>
      </c>
      <c r="F36" s="596">
        <v>293.67424206094199</v>
      </c>
      <c r="G36" s="597">
        <v>171.309974535549</v>
      </c>
      <c r="H36" s="599">
        <v>15.76606</v>
      </c>
      <c r="I36" s="596">
        <v>154.05753000000001</v>
      </c>
      <c r="J36" s="597">
        <v>-17.252444535548999</v>
      </c>
      <c r="K36" s="604">
        <v>0.52458645647199997</v>
      </c>
    </row>
    <row r="37" spans="1:11" ht="14.4" customHeight="1" thickBot="1" x14ac:dyDescent="0.35">
      <c r="A37" s="613" t="s">
        <v>336</v>
      </c>
      <c r="B37" s="591">
        <v>89.999997165218005</v>
      </c>
      <c r="C37" s="591">
        <v>84.0411</v>
      </c>
      <c r="D37" s="592">
        <v>-5.9588971652179996</v>
      </c>
      <c r="E37" s="593">
        <v>0.93379002941199996</v>
      </c>
      <c r="F37" s="591">
        <v>89.738950642150002</v>
      </c>
      <c r="G37" s="592">
        <v>52.347721207920998</v>
      </c>
      <c r="H37" s="594">
        <v>9.0525099999999998</v>
      </c>
      <c r="I37" s="591">
        <v>53.896470000000001</v>
      </c>
      <c r="J37" s="592">
        <v>1.5487487920780001</v>
      </c>
      <c r="K37" s="595">
        <v>0.60059171200799999</v>
      </c>
    </row>
    <row r="38" spans="1:11" ht="14.4" customHeight="1" thickBot="1" x14ac:dyDescent="0.35">
      <c r="A38" s="613" t="s">
        <v>337</v>
      </c>
      <c r="B38" s="591">
        <v>24.999999212559999</v>
      </c>
      <c r="C38" s="591">
        <v>21.30939</v>
      </c>
      <c r="D38" s="592">
        <v>-3.6906092125600001</v>
      </c>
      <c r="E38" s="593">
        <v>0.85237562684699997</v>
      </c>
      <c r="F38" s="591">
        <v>14.70256815546</v>
      </c>
      <c r="G38" s="592">
        <v>8.5764980906849999</v>
      </c>
      <c r="H38" s="594">
        <v>3.3929900000000002</v>
      </c>
      <c r="I38" s="591">
        <v>15.3324</v>
      </c>
      <c r="J38" s="592">
        <v>6.7559019093139998</v>
      </c>
      <c r="K38" s="595">
        <v>1.0428382196820001</v>
      </c>
    </row>
    <row r="39" spans="1:11" ht="14.4" customHeight="1" thickBot="1" x14ac:dyDescent="0.35">
      <c r="A39" s="613" t="s">
        <v>338</v>
      </c>
      <c r="B39" s="591">
        <v>181.33603102862199</v>
      </c>
      <c r="C39" s="591">
        <v>193.02579</v>
      </c>
      <c r="D39" s="592">
        <v>11.689758971378</v>
      </c>
      <c r="E39" s="593">
        <v>1.0644646235220001</v>
      </c>
      <c r="F39" s="591">
        <v>189.23272326333</v>
      </c>
      <c r="G39" s="592">
        <v>110.385755236943</v>
      </c>
      <c r="H39" s="594">
        <v>3.32056</v>
      </c>
      <c r="I39" s="591">
        <v>84.828659999999999</v>
      </c>
      <c r="J39" s="592">
        <v>-25.557095236942001</v>
      </c>
      <c r="K39" s="595">
        <v>0.44827690759299998</v>
      </c>
    </row>
    <row r="40" spans="1:11" ht="14.4" customHeight="1" thickBot="1" x14ac:dyDescent="0.35">
      <c r="A40" s="612" t="s">
        <v>339</v>
      </c>
      <c r="B40" s="596">
        <v>679.98212091450705</v>
      </c>
      <c r="C40" s="596">
        <v>803.77279999999996</v>
      </c>
      <c r="D40" s="597">
        <v>123.790679085493</v>
      </c>
      <c r="E40" s="603">
        <v>1.182049902898</v>
      </c>
      <c r="F40" s="596">
        <v>859.382555170361</v>
      </c>
      <c r="G40" s="597">
        <v>501.30649051604399</v>
      </c>
      <c r="H40" s="599">
        <v>67.552719999999994</v>
      </c>
      <c r="I40" s="596">
        <v>544.50003000000004</v>
      </c>
      <c r="J40" s="597">
        <v>43.193539483956002</v>
      </c>
      <c r="K40" s="604">
        <v>0.633594464681</v>
      </c>
    </row>
    <row r="41" spans="1:11" ht="14.4" customHeight="1" thickBot="1" x14ac:dyDescent="0.35">
      <c r="A41" s="613" t="s">
        <v>340</v>
      </c>
      <c r="B41" s="591">
        <v>31.153518621806999</v>
      </c>
      <c r="C41" s="591">
        <v>45.135199999999998</v>
      </c>
      <c r="D41" s="592">
        <v>13.981681378192</v>
      </c>
      <c r="E41" s="593">
        <v>1.448799429301</v>
      </c>
      <c r="F41" s="591">
        <v>24.488634471798001</v>
      </c>
      <c r="G41" s="592">
        <v>14.285036775215</v>
      </c>
      <c r="H41" s="594">
        <v>-7.1054273576010003E-15</v>
      </c>
      <c r="I41" s="591">
        <v>51.163620000000002</v>
      </c>
      <c r="J41" s="592">
        <v>36.878583224784002</v>
      </c>
      <c r="K41" s="595">
        <v>2.08928023565</v>
      </c>
    </row>
    <row r="42" spans="1:11" ht="14.4" customHeight="1" thickBot="1" x14ac:dyDescent="0.35">
      <c r="A42" s="613" t="s">
        <v>341</v>
      </c>
      <c r="B42" s="591">
        <v>11.999999622029</v>
      </c>
      <c r="C42" s="591">
        <v>18.500050000000002</v>
      </c>
      <c r="D42" s="592">
        <v>6.5000503779700001</v>
      </c>
      <c r="E42" s="593">
        <v>1.541670881892</v>
      </c>
      <c r="F42" s="591">
        <v>20.814601511618001</v>
      </c>
      <c r="G42" s="592">
        <v>12.141850881777</v>
      </c>
      <c r="H42" s="594">
        <v>2.0802200000000002</v>
      </c>
      <c r="I42" s="591">
        <v>13.052820000000001</v>
      </c>
      <c r="J42" s="592">
        <v>0.910969118222</v>
      </c>
      <c r="K42" s="595">
        <v>0.62709920210100001</v>
      </c>
    </row>
    <row r="43" spans="1:11" ht="14.4" customHeight="1" thickBot="1" x14ac:dyDescent="0.35">
      <c r="A43" s="613" t="s">
        <v>342</v>
      </c>
      <c r="B43" s="591">
        <v>388.31930531415202</v>
      </c>
      <c r="C43" s="591">
        <v>515.86523999999997</v>
      </c>
      <c r="D43" s="592">
        <v>127.54593468584901</v>
      </c>
      <c r="E43" s="593">
        <v>1.328456332045</v>
      </c>
      <c r="F43" s="591">
        <v>522.94176561862196</v>
      </c>
      <c r="G43" s="592">
        <v>305.04936327752898</v>
      </c>
      <c r="H43" s="594">
        <v>39.583970000000001</v>
      </c>
      <c r="I43" s="591">
        <v>271.54930000000002</v>
      </c>
      <c r="J43" s="592">
        <v>-33.500063277529001</v>
      </c>
      <c r="K43" s="595">
        <v>0.51927254209399998</v>
      </c>
    </row>
    <row r="44" spans="1:11" ht="14.4" customHeight="1" thickBot="1" x14ac:dyDescent="0.35">
      <c r="A44" s="613" t="s">
        <v>343</v>
      </c>
      <c r="B44" s="591">
        <v>49.999998425120999</v>
      </c>
      <c r="C44" s="591">
        <v>56.362479999999998</v>
      </c>
      <c r="D44" s="592">
        <v>6.3624815748780001</v>
      </c>
      <c r="E44" s="593">
        <v>1.1272496355049999</v>
      </c>
      <c r="F44" s="591">
        <v>71.920741599017006</v>
      </c>
      <c r="G44" s="592">
        <v>41.95376593276</v>
      </c>
      <c r="H44" s="594">
        <v>7.6348200000000004</v>
      </c>
      <c r="I44" s="591">
        <v>37.139029999999998</v>
      </c>
      <c r="J44" s="592">
        <v>-4.8147359327599997</v>
      </c>
      <c r="K44" s="595">
        <v>0.51638830710399997</v>
      </c>
    </row>
    <row r="45" spans="1:11" ht="14.4" customHeight="1" thickBot="1" x14ac:dyDescent="0.35">
      <c r="A45" s="613" t="s">
        <v>344</v>
      </c>
      <c r="B45" s="591">
        <v>13.999999559034</v>
      </c>
      <c r="C45" s="591">
        <v>5.3458800000000002</v>
      </c>
      <c r="D45" s="592">
        <v>-8.6541195590329991</v>
      </c>
      <c r="E45" s="593">
        <v>0.381848583455</v>
      </c>
      <c r="F45" s="591">
        <v>7.9866137102010004</v>
      </c>
      <c r="G45" s="592">
        <v>4.6588579976169999</v>
      </c>
      <c r="H45" s="594">
        <v>0</v>
      </c>
      <c r="I45" s="591">
        <v>3.41167</v>
      </c>
      <c r="J45" s="592">
        <v>-1.2471879976169999</v>
      </c>
      <c r="K45" s="595">
        <v>0.42717353358900001</v>
      </c>
    </row>
    <row r="46" spans="1:11" ht="14.4" customHeight="1" thickBot="1" x14ac:dyDescent="0.35">
      <c r="A46" s="613" t="s">
        <v>345</v>
      </c>
      <c r="B46" s="591">
        <v>18.257129319158</v>
      </c>
      <c r="C46" s="591">
        <v>9.3217700000000008</v>
      </c>
      <c r="D46" s="592">
        <v>-8.9353593191579996</v>
      </c>
      <c r="E46" s="593">
        <v>0.51058245998200003</v>
      </c>
      <c r="F46" s="591">
        <v>0</v>
      </c>
      <c r="G46" s="592">
        <v>0</v>
      </c>
      <c r="H46" s="594">
        <v>0.22613</v>
      </c>
      <c r="I46" s="591">
        <v>3.5653000000000001</v>
      </c>
      <c r="J46" s="592">
        <v>3.5653000000000001</v>
      </c>
      <c r="K46" s="602" t="s">
        <v>302</v>
      </c>
    </row>
    <row r="47" spans="1:11" ht="14.4" customHeight="1" thickBot="1" x14ac:dyDescent="0.35">
      <c r="A47" s="613" t="s">
        <v>346</v>
      </c>
      <c r="B47" s="591">
        <v>6.9999997795160001</v>
      </c>
      <c r="C47" s="591">
        <v>4.5362900000000002</v>
      </c>
      <c r="D47" s="592">
        <v>-2.4637097795159999</v>
      </c>
      <c r="E47" s="593">
        <v>0.64804144898299998</v>
      </c>
      <c r="F47" s="591">
        <v>4.9932434567869999</v>
      </c>
      <c r="G47" s="592">
        <v>2.9127253497919998</v>
      </c>
      <c r="H47" s="594">
        <v>0</v>
      </c>
      <c r="I47" s="591">
        <v>1.66496</v>
      </c>
      <c r="J47" s="592">
        <v>-1.247765349792</v>
      </c>
      <c r="K47" s="595">
        <v>0.33344258384499997</v>
      </c>
    </row>
    <row r="48" spans="1:11" ht="14.4" customHeight="1" thickBot="1" x14ac:dyDescent="0.35">
      <c r="A48" s="613" t="s">
        <v>347</v>
      </c>
      <c r="B48" s="591">
        <v>56.252173013977</v>
      </c>
      <c r="C48" s="591">
        <v>41.915900000000001</v>
      </c>
      <c r="D48" s="592">
        <v>-14.336273013976999</v>
      </c>
      <c r="E48" s="593">
        <v>0.74514276967699999</v>
      </c>
      <c r="F48" s="591">
        <v>46.860268338032</v>
      </c>
      <c r="G48" s="592">
        <v>27.335156530517999</v>
      </c>
      <c r="H48" s="594">
        <v>6.8490099999999998</v>
      </c>
      <c r="I48" s="591">
        <v>23.521070000000002</v>
      </c>
      <c r="J48" s="592">
        <v>-3.8140865305179998</v>
      </c>
      <c r="K48" s="595">
        <v>0.50194057426899996</v>
      </c>
    </row>
    <row r="49" spans="1:11" ht="14.4" customHeight="1" thickBot="1" x14ac:dyDescent="0.35">
      <c r="A49" s="613" t="s">
        <v>348</v>
      </c>
      <c r="B49" s="591">
        <v>0</v>
      </c>
      <c r="C49" s="591">
        <v>0.84399999999999997</v>
      </c>
      <c r="D49" s="592">
        <v>0.84399999999999997</v>
      </c>
      <c r="E49" s="601" t="s">
        <v>313</v>
      </c>
      <c r="F49" s="591">
        <v>0</v>
      </c>
      <c r="G49" s="592">
        <v>0</v>
      </c>
      <c r="H49" s="594">
        <v>0</v>
      </c>
      <c r="I49" s="591">
        <v>0</v>
      </c>
      <c r="J49" s="592">
        <v>0</v>
      </c>
      <c r="K49" s="602" t="s">
        <v>302</v>
      </c>
    </row>
    <row r="50" spans="1:11" ht="14.4" customHeight="1" thickBot="1" x14ac:dyDescent="0.35">
      <c r="A50" s="613" t="s">
        <v>349</v>
      </c>
      <c r="B50" s="591">
        <v>0</v>
      </c>
      <c r="C50" s="591">
        <v>0</v>
      </c>
      <c r="D50" s="592">
        <v>0</v>
      </c>
      <c r="E50" s="593">
        <v>1</v>
      </c>
      <c r="F50" s="591">
        <v>0</v>
      </c>
      <c r="G50" s="592">
        <v>0</v>
      </c>
      <c r="H50" s="594">
        <v>0</v>
      </c>
      <c r="I50" s="591">
        <v>4.1718400000000004</v>
      </c>
      <c r="J50" s="592">
        <v>4.1718400000000004</v>
      </c>
      <c r="K50" s="602" t="s">
        <v>313</v>
      </c>
    </row>
    <row r="51" spans="1:11" ht="14.4" customHeight="1" thickBot="1" x14ac:dyDescent="0.35">
      <c r="A51" s="613" t="s">
        <v>350</v>
      </c>
      <c r="B51" s="591">
        <v>102.99999725971099</v>
      </c>
      <c r="C51" s="591">
        <v>105.77809000000001</v>
      </c>
      <c r="D51" s="592">
        <v>2.7780927402889999</v>
      </c>
      <c r="E51" s="593">
        <v>1.026971774895</v>
      </c>
      <c r="F51" s="591">
        <v>159.37668646428401</v>
      </c>
      <c r="G51" s="592">
        <v>92.969733770831994</v>
      </c>
      <c r="H51" s="594">
        <v>11.178570000000001</v>
      </c>
      <c r="I51" s="591">
        <v>135.26042000000001</v>
      </c>
      <c r="J51" s="592">
        <v>42.290686229167001</v>
      </c>
      <c r="K51" s="595">
        <v>0.84868385082300002</v>
      </c>
    </row>
    <row r="52" spans="1:11" ht="14.4" customHeight="1" thickBot="1" x14ac:dyDescent="0.35">
      <c r="A52" s="613" t="s">
        <v>351</v>
      </c>
      <c r="B52" s="591">
        <v>0</v>
      </c>
      <c r="C52" s="591">
        <v>0.16789999999999999</v>
      </c>
      <c r="D52" s="592">
        <v>0.16789999999999999</v>
      </c>
      <c r="E52" s="601" t="s">
        <v>302</v>
      </c>
      <c r="F52" s="591">
        <v>0</v>
      </c>
      <c r="G52" s="592">
        <v>0</v>
      </c>
      <c r="H52" s="594">
        <v>0</v>
      </c>
      <c r="I52" s="591">
        <v>0</v>
      </c>
      <c r="J52" s="592">
        <v>0</v>
      </c>
      <c r="K52" s="602" t="s">
        <v>302</v>
      </c>
    </row>
    <row r="53" spans="1:11" ht="14.4" customHeight="1" thickBot="1" x14ac:dyDescent="0.35">
      <c r="A53" s="612" t="s">
        <v>352</v>
      </c>
      <c r="B53" s="596">
        <v>305.06823129983297</v>
      </c>
      <c r="C53" s="596">
        <v>398.55112000000003</v>
      </c>
      <c r="D53" s="597">
        <v>93.482888700166001</v>
      </c>
      <c r="E53" s="603">
        <v>1.3064327226129999</v>
      </c>
      <c r="F53" s="596">
        <v>373.321581508073</v>
      </c>
      <c r="G53" s="597">
        <v>217.770922546376</v>
      </c>
      <c r="H53" s="599">
        <v>56.518090000000001</v>
      </c>
      <c r="I53" s="596">
        <v>151.48749000000001</v>
      </c>
      <c r="J53" s="597">
        <v>-66.283432546374996</v>
      </c>
      <c r="K53" s="604">
        <v>0.40578283577399998</v>
      </c>
    </row>
    <row r="54" spans="1:11" ht="14.4" customHeight="1" thickBot="1" x14ac:dyDescent="0.35">
      <c r="A54" s="613" t="s">
        <v>353</v>
      </c>
      <c r="B54" s="591">
        <v>0.40410194688599999</v>
      </c>
      <c r="C54" s="591">
        <v>0.36499999999999999</v>
      </c>
      <c r="D54" s="592">
        <v>-3.9101946886000001E-2</v>
      </c>
      <c r="E54" s="593">
        <v>0.90323742018999997</v>
      </c>
      <c r="F54" s="591">
        <v>0.328626770545</v>
      </c>
      <c r="G54" s="592">
        <v>0.19169894948499999</v>
      </c>
      <c r="H54" s="594">
        <v>0</v>
      </c>
      <c r="I54" s="591">
        <v>3.3679999999999999</v>
      </c>
      <c r="J54" s="592">
        <v>3.1763010505140001</v>
      </c>
      <c r="K54" s="595">
        <v>0</v>
      </c>
    </row>
    <row r="55" spans="1:11" ht="14.4" customHeight="1" thickBot="1" x14ac:dyDescent="0.35">
      <c r="A55" s="613" t="s">
        <v>354</v>
      </c>
      <c r="B55" s="591">
        <v>298.66412954193203</v>
      </c>
      <c r="C55" s="591">
        <v>386.96249999999998</v>
      </c>
      <c r="D55" s="592">
        <v>88.298370458066998</v>
      </c>
      <c r="E55" s="593">
        <v>1.2956443768229999</v>
      </c>
      <c r="F55" s="591">
        <v>365.85681527725302</v>
      </c>
      <c r="G55" s="592">
        <v>213.41647557839801</v>
      </c>
      <c r="H55" s="594">
        <v>56.426639999999999</v>
      </c>
      <c r="I55" s="591">
        <v>134.17007000000001</v>
      </c>
      <c r="J55" s="592">
        <v>-79.246405578397003</v>
      </c>
      <c r="K55" s="595">
        <v>0.366728360378</v>
      </c>
    </row>
    <row r="56" spans="1:11" ht="14.4" customHeight="1" thickBot="1" x14ac:dyDescent="0.35">
      <c r="A56" s="613" t="s">
        <v>355</v>
      </c>
      <c r="B56" s="591">
        <v>0</v>
      </c>
      <c r="C56" s="591">
        <v>4.0655999999999999</v>
      </c>
      <c r="D56" s="592">
        <v>4.0655999999999999</v>
      </c>
      <c r="E56" s="601" t="s">
        <v>302</v>
      </c>
      <c r="F56" s="591">
        <v>0</v>
      </c>
      <c r="G56" s="592">
        <v>0</v>
      </c>
      <c r="H56" s="594">
        <v>0</v>
      </c>
      <c r="I56" s="591">
        <v>0.76229999999999998</v>
      </c>
      <c r="J56" s="592">
        <v>0.76229999999999998</v>
      </c>
      <c r="K56" s="602" t="s">
        <v>302</v>
      </c>
    </row>
    <row r="57" spans="1:11" ht="14.4" customHeight="1" thickBot="1" x14ac:dyDescent="0.35">
      <c r="A57" s="613" t="s">
        <v>356</v>
      </c>
      <c r="B57" s="591">
        <v>5.9999998110139998</v>
      </c>
      <c r="C57" s="591">
        <v>7.1580199999999996</v>
      </c>
      <c r="D57" s="592">
        <v>1.1580201889849999</v>
      </c>
      <c r="E57" s="593">
        <v>1.1930033709100001</v>
      </c>
      <c r="F57" s="591">
        <v>7.1361394602740003</v>
      </c>
      <c r="G57" s="592">
        <v>4.1627480184929997</v>
      </c>
      <c r="H57" s="594">
        <v>9.1450000000000004E-2</v>
      </c>
      <c r="I57" s="591">
        <v>13.18712</v>
      </c>
      <c r="J57" s="592">
        <v>9.0243719815060004</v>
      </c>
      <c r="K57" s="595">
        <v>1.8479347374599999</v>
      </c>
    </row>
    <row r="58" spans="1:11" ht="14.4" customHeight="1" thickBot="1" x14ac:dyDescent="0.35">
      <c r="A58" s="612" t="s">
        <v>357</v>
      </c>
      <c r="B58" s="596">
        <v>544.99998292831299</v>
      </c>
      <c r="C58" s="596">
        <v>468.50927999999999</v>
      </c>
      <c r="D58" s="597">
        <v>-76.490702928312999</v>
      </c>
      <c r="E58" s="603">
        <v>0.85965008197299997</v>
      </c>
      <c r="F58" s="596">
        <v>444.50160376943302</v>
      </c>
      <c r="G58" s="597">
        <v>259.29260219883599</v>
      </c>
      <c r="H58" s="599">
        <v>32.378979999999999</v>
      </c>
      <c r="I58" s="596">
        <v>307.46431000000001</v>
      </c>
      <c r="J58" s="597">
        <v>48.171707801163997</v>
      </c>
      <c r="K58" s="604">
        <v>0.69170573827500004</v>
      </c>
    </row>
    <row r="59" spans="1:11" ht="14.4" customHeight="1" thickBot="1" x14ac:dyDescent="0.35">
      <c r="A59" s="613" t="s">
        <v>358</v>
      </c>
      <c r="B59" s="591">
        <v>0</v>
      </c>
      <c r="C59" s="591">
        <v>0.1</v>
      </c>
      <c r="D59" s="592">
        <v>0.1</v>
      </c>
      <c r="E59" s="601" t="s">
        <v>302</v>
      </c>
      <c r="F59" s="591">
        <v>0</v>
      </c>
      <c r="G59" s="592">
        <v>0</v>
      </c>
      <c r="H59" s="594">
        <v>0</v>
      </c>
      <c r="I59" s="591">
        <v>5.6059999999999999</v>
      </c>
      <c r="J59" s="592">
        <v>5.6059999999999999</v>
      </c>
      <c r="K59" s="602" t="s">
        <v>302</v>
      </c>
    </row>
    <row r="60" spans="1:11" ht="14.4" customHeight="1" thickBot="1" x14ac:dyDescent="0.35">
      <c r="A60" s="613" t="s">
        <v>359</v>
      </c>
      <c r="B60" s="591">
        <v>15.999999496038001</v>
      </c>
      <c r="C60" s="591">
        <v>22.406289999999998</v>
      </c>
      <c r="D60" s="592">
        <v>6.4062905039610003</v>
      </c>
      <c r="E60" s="593">
        <v>1.4003931691089999</v>
      </c>
      <c r="F60" s="591">
        <v>0</v>
      </c>
      <c r="G60" s="592">
        <v>0</v>
      </c>
      <c r="H60" s="594">
        <v>1.2826</v>
      </c>
      <c r="I60" s="591">
        <v>18.859279999999998</v>
      </c>
      <c r="J60" s="592">
        <v>18.859279999999998</v>
      </c>
      <c r="K60" s="602" t="s">
        <v>302</v>
      </c>
    </row>
    <row r="61" spans="1:11" ht="14.4" customHeight="1" thickBot="1" x14ac:dyDescent="0.35">
      <c r="A61" s="613" t="s">
        <v>360</v>
      </c>
      <c r="B61" s="591">
        <v>20.999999338550001</v>
      </c>
      <c r="C61" s="591">
        <v>0</v>
      </c>
      <c r="D61" s="592">
        <v>-20.999999338550001</v>
      </c>
      <c r="E61" s="593">
        <v>0</v>
      </c>
      <c r="F61" s="591">
        <v>0</v>
      </c>
      <c r="G61" s="592">
        <v>0</v>
      </c>
      <c r="H61" s="594">
        <v>0</v>
      </c>
      <c r="I61" s="591">
        <v>35.915999999999997</v>
      </c>
      <c r="J61" s="592">
        <v>35.915999999999997</v>
      </c>
      <c r="K61" s="602" t="s">
        <v>313</v>
      </c>
    </row>
    <row r="62" spans="1:11" ht="14.4" customHeight="1" thickBot="1" x14ac:dyDescent="0.35">
      <c r="A62" s="613" t="s">
        <v>361</v>
      </c>
      <c r="B62" s="591">
        <v>16.999999464540998</v>
      </c>
      <c r="C62" s="591">
        <v>7.2895899999999996</v>
      </c>
      <c r="D62" s="592">
        <v>-9.7104094645399996</v>
      </c>
      <c r="E62" s="593">
        <v>0.42879942526999998</v>
      </c>
      <c r="F62" s="591">
        <v>0</v>
      </c>
      <c r="G62" s="592">
        <v>0</v>
      </c>
      <c r="H62" s="594">
        <v>0.29158000000000001</v>
      </c>
      <c r="I62" s="591">
        <v>0.58316000000000001</v>
      </c>
      <c r="J62" s="592">
        <v>0.58316000000000001</v>
      </c>
      <c r="K62" s="602" t="s">
        <v>302</v>
      </c>
    </row>
    <row r="63" spans="1:11" ht="14.4" customHeight="1" thickBot="1" x14ac:dyDescent="0.35">
      <c r="A63" s="613" t="s">
        <v>362</v>
      </c>
      <c r="B63" s="591">
        <v>51.999998456618002</v>
      </c>
      <c r="C63" s="591">
        <v>77.891210000000001</v>
      </c>
      <c r="D63" s="592">
        <v>25.891211543381001</v>
      </c>
      <c r="E63" s="593">
        <v>1.497907929073</v>
      </c>
      <c r="F63" s="591">
        <v>76.201055811116007</v>
      </c>
      <c r="G63" s="592">
        <v>44.450615889818003</v>
      </c>
      <c r="H63" s="594">
        <v>7.3185900000000004</v>
      </c>
      <c r="I63" s="591">
        <v>45.353549999999998</v>
      </c>
      <c r="J63" s="592">
        <v>0.902934110181</v>
      </c>
      <c r="K63" s="595">
        <v>0.595182698156</v>
      </c>
    </row>
    <row r="64" spans="1:11" ht="14.4" customHeight="1" thickBot="1" x14ac:dyDescent="0.35">
      <c r="A64" s="613" t="s">
        <v>363</v>
      </c>
      <c r="B64" s="591">
        <v>284.999991023191</v>
      </c>
      <c r="C64" s="591">
        <v>215.52062000000001</v>
      </c>
      <c r="D64" s="592">
        <v>-69.479371023191007</v>
      </c>
      <c r="E64" s="593">
        <v>0.75621272557300001</v>
      </c>
      <c r="F64" s="591">
        <v>221.72291739558199</v>
      </c>
      <c r="G64" s="592">
        <v>129.338368480756</v>
      </c>
      <c r="H64" s="594">
        <v>7.6129499999999997</v>
      </c>
      <c r="I64" s="591">
        <v>114.44853999999999</v>
      </c>
      <c r="J64" s="592">
        <v>-14.889828480756</v>
      </c>
      <c r="K64" s="595">
        <v>0.51617821623600002</v>
      </c>
    </row>
    <row r="65" spans="1:11" ht="14.4" customHeight="1" thickBot="1" x14ac:dyDescent="0.35">
      <c r="A65" s="613" t="s">
        <v>364</v>
      </c>
      <c r="B65" s="591">
        <v>153.99999514937301</v>
      </c>
      <c r="C65" s="591">
        <v>145.30157</v>
      </c>
      <c r="D65" s="592">
        <v>-8.6984251493729996</v>
      </c>
      <c r="E65" s="593">
        <v>0.94351671803000003</v>
      </c>
      <c r="F65" s="591">
        <v>146.57763056273399</v>
      </c>
      <c r="G65" s="592">
        <v>85.503617828261</v>
      </c>
      <c r="H65" s="594">
        <v>15.87326</v>
      </c>
      <c r="I65" s="591">
        <v>86.697779999999995</v>
      </c>
      <c r="J65" s="592">
        <v>1.194162171738</v>
      </c>
      <c r="K65" s="595">
        <v>0.59148029386900003</v>
      </c>
    </row>
    <row r="66" spans="1:11" ht="14.4" customHeight="1" thickBot="1" x14ac:dyDescent="0.35">
      <c r="A66" s="612" t="s">
        <v>365</v>
      </c>
      <c r="B66" s="596">
        <v>0</v>
      </c>
      <c r="C66" s="596">
        <v>44.569000000000003</v>
      </c>
      <c r="D66" s="597">
        <v>44.569000000000003</v>
      </c>
      <c r="E66" s="598" t="s">
        <v>302</v>
      </c>
      <c r="F66" s="596">
        <v>0</v>
      </c>
      <c r="G66" s="597">
        <v>0</v>
      </c>
      <c r="H66" s="599">
        <v>0</v>
      </c>
      <c r="I66" s="596">
        <v>9</v>
      </c>
      <c r="J66" s="597">
        <v>9</v>
      </c>
      <c r="K66" s="600" t="s">
        <v>302</v>
      </c>
    </row>
    <row r="67" spans="1:11" ht="14.4" customHeight="1" thickBot="1" x14ac:dyDescent="0.35">
      <c r="A67" s="613" t="s">
        <v>366</v>
      </c>
      <c r="B67" s="591">
        <v>0</v>
      </c>
      <c r="C67" s="591">
        <v>44.569000000000003</v>
      </c>
      <c r="D67" s="592">
        <v>44.569000000000003</v>
      </c>
      <c r="E67" s="601" t="s">
        <v>302</v>
      </c>
      <c r="F67" s="591">
        <v>0</v>
      </c>
      <c r="G67" s="592">
        <v>0</v>
      </c>
      <c r="H67" s="594">
        <v>0</v>
      </c>
      <c r="I67" s="591">
        <v>9</v>
      </c>
      <c r="J67" s="592">
        <v>9</v>
      </c>
      <c r="K67" s="602" t="s">
        <v>302</v>
      </c>
    </row>
    <row r="68" spans="1:11" ht="14.4" customHeight="1" thickBot="1" x14ac:dyDescent="0.35">
      <c r="A68" s="611" t="s">
        <v>35</v>
      </c>
      <c r="B68" s="591">
        <v>900.27926435130496</v>
      </c>
      <c r="C68" s="591">
        <v>940.53899999999999</v>
      </c>
      <c r="D68" s="592">
        <v>40.259735648694999</v>
      </c>
      <c r="E68" s="593">
        <v>1.044719163533</v>
      </c>
      <c r="F68" s="591">
        <v>925.83345453418599</v>
      </c>
      <c r="G68" s="592">
        <v>540.06951514494199</v>
      </c>
      <c r="H68" s="594">
        <v>49.878999999999998</v>
      </c>
      <c r="I68" s="591">
        <v>542.01</v>
      </c>
      <c r="J68" s="592">
        <v>1.9404848550580001</v>
      </c>
      <c r="K68" s="595">
        <v>0.58542926629500003</v>
      </c>
    </row>
    <row r="69" spans="1:11" ht="14.4" customHeight="1" thickBot="1" x14ac:dyDescent="0.35">
      <c r="A69" s="612" t="s">
        <v>367</v>
      </c>
      <c r="B69" s="596">
        <v>900.27926435130496</v>
      </c>
      <c r="C69" s="596">
        <v>940.53899999999999</v>
      </c>
      <c r="D69" s="597">
        <v>40.259735648694999</v>
      </c>
      <c r="E69" s="603">
        <v>1.044719163533</v>
      </c>
      <c r="F69" s="596">
        <v>925.83345453418599</v>
      </c>
      <c r="G69" s="597">
        <v>540.06951514494199</v>
      </c>
      <c r="H69" s="599">
        <v>49.878999999999998</v>
      </c>
      <c r="I69" s="596">
        <v>542.01</v>
      </c>
      <c r="J69" s="597">
        <v>1.9404848550580001</v>
      </c>
      <c r="K69" s="604">
        <v>0.58542926629500003</v>
      </c>
    </row>
    <row r="70" spans="1:11" ht="14.4" customHeight="1" thickBot="1" x14ac:dyDescent="0.35">
      <c r="A70" s="613" t="s">
        <v>368</v>
      </c>
      <c r="B70" s="591">
        <v>269.27928422627298</v>
      </c>
      <c r="C70" s="591">
        <v>284.40499999999997</v>
      </c>
      <c r="D70" s="592">
        <v>15.125715773726</v>
      </c>
      <c r="E70" s="593">
        <v>1.0561711080639999</v>
      </c>
      <c r="F70" s="591">
        <v>277.309548879305</v>
      </c>
      <c r="G70" s="592">
        <v>161.76390351292801</v>
      </c>
      <c r="H70" s="594">
        <v>26.760999999999999</v>
      </c>
      <c r="I70" s="591">
        <v>145.44900000000001</v>
      </c>
      <c r="J70" s="592">
        <v>-16.314903512928002</v>
      </c>
      <c r="K70" s="595">
        <v>0.52450051066600001</v>
      </c>
    </row>
    <row r="71" spans="1:11" ht="14.4" customHeight="1" thickBot="1" x14ac:dyDescent="0.35">
      <c r="A71" s="613" t="s">
        <v>369</v>
      </c>
      <c r="B71" s="591">
        <v>76.999997574686006</v>
      </c>
      <c r="C71" s="591">
        <v>68.748999999999995</v>
      </c>
      <c r="D71" s="592">
        <v>-8.250997574686</v>
      </c>
      <c r="E71" s="593">
        <v>0.89284418396599996</v>
      </c>
      <c r="F71" s="591">
        <v>68.842428629005994</v>
      </c>
      <c r="G71" s="592">
        <v>40.158083366920003</v>
      </c>
      <c r="H71" s="594">
        <v>5.47</v>
      </c>
      <c r="I71" s="591">
        <v>43.658000000000001</v>
      </c>
      <c r="J71" s="592">
        <v>3.4999166330790001</v>
      </c>
      <c r="K71" s="595">
        <v>0.63417286213500002</v>
      </c>
    </row>
    <row r="72" spans="1:11" ht="14.4" customHeight="1" thickBot="1" x14ac:dyDescent="0.35">
      <c r="A72" s="613" t="s">
        <v>370</v>
      </c>
      <c r="B72" s="591">
        <v>553.99998255034495</v>
      </c>
      <c r="C72" s="591">
        <v>587.38499999999999</v>
      </c>
      <c r="D72" s="592">
        <v>33.385017449654001</v>
      </c>
      <c r="E72" s="593">
        <v>1.060261766247</v>
      </c>
      <c r="F72" s="591">
        <v>579.68147702587396</v>
      </c>
      <c r="G72" s="592">
        <v>338.147528265093</v>
      </c>
      <c r="H72" s="594">
        <v>17.648</v>
      </c>
      <c r="I72" s="591">
        <v>352.90300000000002</v>
      </c>
      <c r="J72" s="592">
        <v>14.755471734906999</v>
      </c>
      <c r="K72" s="595">
        <v>0.60878778085200003</v>
      </c>
    </row>
    <row r="73" spans="1:11" ht="14.4" customHeight="1" thickBot="1" x14ac:dyDescent="0.35">
      <c r="A73" s="611" t="s">
        <v>36</v>
      </c>
      <c r="B73" s="591">
        <v>160.45208961352799</v>
      </c>
      <c r="C73" s="591">
        <v>152.11615</v>
      </c>
      <c r="D73" s="592">
        <v>-8.3359396135279997</v>
      </c>
      <c r="E73" s="593">
        <v>0.94804717324800003</v>
      </c>
      <c r="F73" s="591">
        <v>160.00001444471701</v>
      </c>
      <c r="G73" s="592">
        <v>93.333341759418005</v>
      </c>
      <c r="H73" s="594">
        <v>22.10164</v>
      </c>
      <c r="I73" s="591">
        <v>81.015510000000006</v>
      </c>
      <c r="J73" s="592">
        <v>-12.317831759418</v>
      </c>
      <c r="K73" s="595">
        <v>0.50634689178699999</v>
      </c>
    </row>
    <row r="74" spans="1:11" ht="14.4" customHeight="1" thickBot="1" x14ac:dyDescent="0.35">
      <c r="A74" s="612" t="s">
        <v>371</v>
      </c>
      <c r="B74" s="596">
        <v>160.45208961352799</v>
      </c>
      <c r="C74" s="596">
        <v>152.11615</v>
      </c>
      <c r="D74" s="597">
        <v>-8.3359396135279997</v>
      </c>
      <c r="E74" s="603">
        <v>0.94804717324800003</v>
      </c>
      <c r="F74" s="596">
        <v>160.00001444471701</v>
      </c>
      <c r="G74" s="597">
        <v>93.333341759418005</v>
      </c>
      <c r="H74" s="599">
        <v>22.10164</v>
      </c>
      <c r="I74" s="596">
        <v>81.015510000000006</v>
      </c>
      <c r="J74" s="597">
        <v>-12.317831759418</v>
      </c>
      <c r="K74" s="604">
        <v>0.50634689178699999</v>
      </c>
    </row>
    <row r="75" spans="1:11" ht="14.4" customHeight="1" thickBot="1" x14ac:dyDescent="0.35">
      <c r="A75" s="613" t="s">
        <v>372</v>
      </c>
      <c r="B75" s="591">
        <v>160.45208961352799</v>
      </c>
      <c r="C75" s="591">
        <v>152.11615</v>
      </c>
      <c r="D75" s="592">
        <v>-8.3359396135279997</v>
      </c>
      <c r="E75" s="593">
        <v>0.94804717324800003</v>
      </c>
      <c r="F75" s="591">
        <v>160.00001444471701</v>
      </c>
      <c r="G75" s="592">
        <v>93.333341759418005</v>
      </c>
      <c r="H75" s="594">
        <v>22.10164</v>
      </c>
      <c r="I75" s="591">
        <v>81.015510000000006</v>
      </c>
      <c r="J75" s="592">
        <v>-12.317831759418</v>
      </c>
      <c r="K75" s="595">
        <v>0.50634689178699999</v>
      </c>
    </row>
    <row r="76" spans="1:11" ht="14.4" customHeight="1" thickBot="1" x14ac:dyDescent="0.35">
      <c r="A76" s="614" t="s">
        <v>373</v>
      </c>
      <c r="B76" s="596">
        <v>2642.4908003574901</v>
      </c>
      <c r="C76" s="596">
        <v>3005.0704000000001</v>
      </c>
      <c r="D76" s="597">
        <v>362.57959964251398</v>
      </c>
      <c r="E76" s="603">
        <v>1.137211300638</v>
      </c>
      <c r="F76" s="596">
        <v>2892.6969835301302</v>
      </c>
      <c r="G76" s="597">
        <v>1687.40657372591</v>
      </c>
      <c r="H76" s="599">
        <v>263.63922000000002</v>
      </c>
      <c r="I76" s="596">
        <v>1949.5951299999999</v>
      </c>
      <c r="J76" s="597">
        <v>262.18855627409101</v>
      </c>
      <c r="K76" s="604">
        <v>0.67397143257600001</v>
      </c>
    </row>
    <row r="77" spans="1:11" ht="14.4" customHeight="1" thickBot="1" x14ac:dyDescent="0.35">
      <c r="A77" s="611" t="s">
        <v>38</v>
      </c>
      <c r="B77" s="591">
        <v>901.75626412193401</v>
      </c>
      <c r="C77" s="591">
        <v>767.25742000000002</v>
      </c>
      <c r="D77" s="592">
        <v>-134.49884412193401</v>
      </c>
      <c r="E77" s="593">
        <v>0.85084789596300003</v>
      </c>
      <c r="F77" s="591">
        <v>706.461813989235</v>
      </c>
      <c r="G77" s="592">
        <v>412.10272482705398</v>
      </c>
      <c r="H77" s="594">
        <v>104.15724</v>
      </c>
      <c r="I77" s="591">
        <v>525.87675000000002</v>
      </c>
      <c r="J77" s="592">
        <v>113.77402517294701</v>
      </c>
      <c r="K77" s="595">
        <v>0.74438099779300004</v>
      </c>
    </row>
    <row r="78" spans="1:11" ht="14.4" customHeight="1" thickBot="1" x14ac:dyDescent="0.35">
      <c r="A78" s="615" t="s">
        <v>374</v>
      </c>
      <c r="B78" s="591">
        <v>901.75626412193401</v>
      </c>
      <c r="C78" s="591">
        <v>767.25742000000002</v>
      </c>
      <c r="D78" s="592">
        <v>-134.49884412193401</v>
      </c>
      <c r="E78" s="593">
        <v>0.85084789596300003</v>
      </c>
      <c r="F78" s="591">
        <v>706.461813989235</v>
      </c>
      <c r="G78" s="592">
        <v>412.10272482705398</v>
      </c>
      <c r="H78" s="594">
        <v>104.15724</v>
      </c>
      <c r="I78" s="591">
        <v>525.87675000000002</v>
      </c>
      <c r="J78" s="592">
        <v>113.77402517294701</v>
      </c>
      <c r="K78" s="595">
        <v>0.74438099779300004</v>
      </c>
    </row>
    <row r="79" spans="1:11" ht="14.4" customHeight="1" thickBot="1" x14ac:dyDescent="0.35">
      <c r="A79" s="613" t="s">
        <v>375</v>
      </c>
      <c r="B79" s="591">
        <v>355.27395909866198</v>
      </c>
      <c r="C79" s="591">
        <v>600.13576</v>
      </c>
      <c r="D79" s="592">
        <v>244.861800901338</v>
      </c>
      <c r="E79" s="593">
        <v>1.689219670145</v>
      </c>
      <c r="F79" s="591">
        <v>466.17534985731498</v>
      </c>
      <c r="G79" s="592">
        <v>271.93562075009999</v>
      </c>
      <c r="H79" s="594">
        <v>100.19607000000001</v>
      </c>
      <c r="I79" s="591">
        <v>384.32544000000001</v>
      </c>
      <c r="J79" s="592">
        <v>112.3898192499</v>
      </c>
      <c r="K79" s="595">
        <v>0.82442248419499997</v>
      </c>
    </row>
    <row r="80" spans="1:11" ht="14.4" customHeight="1" thickBot="1" x14ac:dyDescent="0.35">
      <c r="A80" s="613" t="s">
        <v>376</v>
      </c>
      <c r="B80" s="591">
        <v>1.703490986941</v>
      </c>
      <c r="C80" s="591">
        <v>0</v>
      </c>
      <c r="D80" s="592">
        <v>-1.703490986941</v>
      </c>
      <c r="E80" s="593">
        <v>0</v>
      </c>
      <c r="F80" s="591">
        <v>0</v>
      </c>
      <c r="G80" s="592">
        <v>0</v>
      </c>
      <c r="H80" s="594">
        <v>0</v>
      </c>
      <c r="I80" s="591">
        <v>0</v>
      </c>
      <c r="J80" s="592">
        <v>0</v>
      </c>
      <c r="K80" s="595">
        <v>0</v>
      </c>
    </row>
    <row r="81" spans="1:11" ht="14.4" customHeight="1" thickBot="1" x14ac:dyDescent="0.35">
      <c r="A81" s="613" t="s">
        <v>377</v>
      </c>
      <c r="B81" s="591">
        <v>85.850568143909996</v>
      </c>
      <c r="C81" s="591">
        <v>56.276560000000003</v>
      </c>
      <c r="D81" s="592">
        <v>-29.57400814391</v>
      </c>
      <c r="E81" s="593">
        <v>0.65551761877199999</v>
      </c>
      <c r="F81" s="591">
        <v>96.022053474914003</v>
      </c>
      <c r="G81" s="592">
        <v>56.012864527033003</v>
      </c>
      <c r="H81" s="594">
        <v>0</v>
      </c>
      <c r="I81" s="591">
        <v>37.286560000000001</v>
      </c>
      <c r="J81" s="592">
        <v>-18.726304527033001</v>
      </c>
      <c r="K81" s="595">
        <v>0.38831246209199999</v>
      </c>
    </row>
    <row r="82" spans="1:11" ht="14.4" customHeight="1" thickBot="1" x14ac:dyDescent="0.35">
      <c r="A82" s="613" t="s">
        <v>378</v>
      </c>
      <c r="B82" s="591">
        <v>335.99998941681503</v>
      </c>
      <c r="C82" s="591">
        <v>49.867190000000001</v>
      </c>
      <c r="D82" s="592">
        <v>-286.13279941681498</v>
      </c>
      <c r="E82" s="593">
        <v>0.148414260627</v>
      </c>
      <c r="F82" s="591">
        <v>49.295563715653998</v>
      </c>
      <c r="G82" s="592">
        <v>28.755745500798</v>
      </c>
      <c r="H82" s="594">
        <v>0</v>
      </c>
      <c r="I82" s="591">
        <v>73.450649999999996</v>
      </c>
      <c r="J82" s="592">
        <v>44.694904499201002</v>
      </c>
      <c r="K82" s="595">
        <v>1.4900052755990001</v>
      </c>
    </row>
    <row r="83" spans="1:11" ht="14.4" customHeight="1" thickBot="1" x14ac:dyDescent="0.35">
      <c r="A83" s="613" t="s">
        <v>379</v>
      </c>
      <c r="B83" s="591">
        <v>122.928256475605</v>
      </c>
      <c r="C83" s="591">
        <v>57.654040000000002</v>
      </c>
      <c r="D83" s="592">
        <v>-65.274216475604007</v>
      </c>
      <c r="E83" s="593">
        <v>0.46900559442500001</v>
      </c>
      <c r="F83" s="591">
        <v>93.001059138816998</v>
      </c>
      <c r="G83" s="592">
        <v>54.250617830975997</v>
      </c>
      <c r="H83" s="594">
        <v>3.9611700000000001</v>
      </c>
      <c r="I83" s="591">
        <v>30.8141</v>
      </c>
      <c r="J83" s="592">
        <v>-23.436517830976001</v>
      </c>
      <c r="K83" s="595">
        <v>0.33133063521299999</v>
      </c>
    </row>
    <row r="84" spans="1:11" ht="14.4" customHeight="1" thickBot="1" x14ac:dyDescent="0.35">
      <c r="A84" s="613" t="s">
        <v>380</v>
      </c>
      <c r="B84" s="591">
        <v>0</v>
      </c>
      <c r="C84" s="591">
        <v>3.3238699999999999</v>
      </c>
      <c r="D84" s="592">
        <v>3.3238699999999999</v>
      </c>
      <c r="E84" s="601" t="s">
        <v>313</v>
      </c>
      <c r="F84" s="591">
        <v>1.967787802533</v>
      </c>
      <c r="G84" s="592">
        <v>1.1478762181440001</v>
      </c>
      <c r="H84" s="594">
        <v>0</v>
      </c>
      <c r="I84" s="591">
        <v>0</v>
      </c>
      <c r="J84" s="592">
        <v>-1.1478762181440001</v>
      </c>
      <c r="K84" s="595">
        <v>0</v>
      </c>
    </row>
    <row r="85" spans="1:11" ht="14.4" customHeight="1" thickBot="1" x14ac:dyDescent="0.35">
      <c r="A85" s="616" t="s">
        <v>39</v>
      </c>
      <c r="B85" s="596">
        <v>0</v>
      </c>
      <c r="C85" s="596">
        <v>73.94</v>
      </c>
      <c r="D85" s="597">
        <v>73.94</v>
      </c>
      <c r="E85" s="598" t="s">
        <v>302</v>
      </c>
      <c r="F85" s="596">
        <v>0</v>
      </c>
      <c r="G85" s="597">
        <v>0</v>
      </c>
      <c r="H85" s="599">
        <v>0</v>
      </c>
      <c r="I85" s="596">
        <v>68.408000000000001</v>
      </c>
      <c r="J85" s="597">
        <v>68.408000000000001</v>
      </c>
      <c r="K85" s="600" t="s">
        <v>302</v>
      </c>
    </row>
    <row r="86" spans="1:11" ht="14.4" customHeight="1" thickBot="1" x14ac:dyDescent="0.35">
      <c r="A86" s="612" t="s">
        <v>381</v>
      </c>
      <c r="B86" s="596">
        <v>0</v>
      </c>
      <c r="C86" s="596">
        <v>73.94</v>
      </c>
      <c r="D86" s="597">
        <v>73.94</v>
      </c>
      <c r="E86" s="598" t="s">
        <v>302</v>
      </c>
      <c r="F86" s="596">
        <v>0</v>
      </c>
      <c r="G86" s="597">
        <v>0</v>
      </c>
      <c r="H86" s="599">
        <v>0</v>
      </c>
      <c r="I86" s="596">
        <v>44.692999999999998</v>
      </c>
      <c r="J86" s="597">
        <v>44.692999999999998</v>
      </c>
      <c r="K86" s="600" t="s">
        <v>302</v>
      </c>
    </row>
    <row r="87" spans="1:11" ht="14.4" customHeight="1" thickBot="1" x14ac:dyDescent="0.35">
      <c r="A87" s="613" t="s">
        <v>382</v>
      </c>
      <c r="B87" s="591">
        <v>0</v>
      </c>
      <c r="C87" s="591">
        <v>73.94</v>
      </c>
      <c r="D87" s="592">
        <v>73.94</v>
      </c>
      <c r="E87" s="601" t="s">
        <v>302</v>
      </c>
      <c r="F87" s="591">
        <v>0</v>
      </c>
      <c r="G87" s="592">
        <v>0</v>
      </c>
      <c r="H87" s="594">
        <v>0</v>
      </c>
      <c r="I87" s="591">
        <v>41.232999999999997</v>
      </c>
      <c r="J87" s="592">
        <v>41.232999999999997</v>
      </c>
      <c r="K87" s="602" t="s">
        <v>302</v>
      </c>
    </row>
    <row r="88" spans="1:11" ht="14.4" customHeight="1" thickBot="1" x14ac:dyDescent="0.35">
      <c r="A88" s="613" t="s">
        <v>383</v>
      </c>
      <c r="B88" s="591">
        <v>0</v>
      </c>
      <c r="C88" s="591">
        <v>0</v>
      </c>
      <c r="D88" s="592">
        <v>0</v>
      </c>
      <c r="E88" s="601" t="s">
        <v>302</v>
      </c>
      <c r="F88" s="591">
        <v>0</v>
      </c>
      <c r="G88" s="592">
        <v>0</v>
      </c>
      <c r="H88" s="594">
        <v>0</v>
      </c>
      <c r="I88" s="591">
        <v>3.46</v>
      </c>
      <c r="J88" s="592">
        <v>3.46</v>
      </c>
      <c r="K88" s="602" t="s">
        <v>313</v>
      </c>
    </row>
    <row r="89" spans="1:11" ht="14.4" customHeight="1" thickBot="1" x14ac:dyDescent="0.35">
      <c r="A89" s="612" t="s">
        <v>384</v>
      </c>
      <c r="B89" s="596">
        <v>0</v>
      </c>
      <c r="C89" s="596">
        <v>0</v>
      </c>
      <c r="D89" s="597">
        <v>0</v>
      </c>
      <c r="E89" s="603">
        <v>1</v>
      </c>
      <c r="F89" s="596">
        <v>0</v>
      </c>
      <c r="G89" s="597">
        <v>0</v>
      </c>
      <c r="H89" s="599">
        <v>0</v>
      </c>
      <c r="I89" s="596">
        <v>23.715</v>
      </c>
      <c r="J89" s="597">
        <v>23.715</v>
      </c>
      <c r="K89" s="600" t="s">
        <v>313</v>
      </c>
    </row>
    <row r="90" spans="1:11" ht="14.4" customHeight="1" thickBot="1" x14ac:dyDescent="0.35">
      <c r="A90" s="613" t="s">
        <v>385</v>
      </c>
      <c r="B90" s="591">
        <v>0</v>
      </c>
      <c r="C90" s="591">
        <v>0</v>
      </c>
      <c r="D90" s="592">
        <v>0</v>
      </c>
      <c r="E90" s="593">
        <v>1</v>
      </c>
      <c r="F90" s="591">
        <v>0</v>
      </c>
      <c r="G90" s="592">
        <v>0</v>
      </c>
      <c r="H90" s="594">
        <v>0</v>
      </c>
      <c r="I90" s="591">
        <v>23.715</v>
      </c>
      <c r="J90" s="592">
        <v>23.715</v>
      </c>
      <c r="K90" s="602" t="s">
        <v>313</v>
      </c>
    </row>
    <row r="91" spans="1:11" ht="14.4" customHeight="1" thickBot="1" x14ac:dyDescent="0.35">
      <c r="A91" s="611" t="s">
        <v>40</v>
      </c>
      <c r="B91" s="591">
        <v>1740.73453623555</v>
      </c>
      <c r="C91" s="591">
        <v>2163.8729800000001</v>
      </c>
      <c r="D91" s="592">
        <v>423.138443764447</v>
      </c>
      <c r="E91" s="593">
        <v>1.2430803979330001</v>
      </c>
      <c r="F91" s="591">
        <v>2186.2351695409002</v>
      </c>
      <c r="G91" s="592">
        <v>1275.30384889886</v>
      </c>
      <c r="H91" s="594">
        <v>159.48197999999999</v>
      </c>
      <c r="I91" s="591">
        <v>1355.3103799999999</v>
      </c>
      <c r="J91" s="592">
        <v>80.006531101144006</v>
      </c>
      <c r="K91" s="595">
        <v>0.61992890741200002</v>
      </c>
    </row>
    <row r="92" spans="1:11" ht="14.4" customHeight="1" thickBot="1" x14ac:dyDescent="0.35">
      <c r="A92" s="612" t="s">
        <v>386</v>
      </c>
      <c r="B92" s="596">
        <v>0.87865861429600001</v>
      </c>
      <c r="C92" s="596">
        <v>2.0750000000000002</v>
      </c>
      <c r="D92" s="597">
        <v>1.1963413857030001</v>
      </c>
      <c r="E92" s="603">
        <v>2.3615542671940002</v>
      </c>
      <c r="F92" s="596">
        <v>1.9125733208619999</v>
      </c>
      <c r="G92" s="597">
        <v>1.115667770503</v>
      </c>
      <c r="H92" s="599">
        <v>0</v>
      </c>
      <c r="I92" s="596">
        <v>0</v>
      </c>
      <c r="J92" s="597">
        <v>-1.115667770503</v>
      </c>
      <c r="K92" s="604">
        <v>0</v>
      </c>
    </row>
    <row r="93" spans="1:11" ht="14.4" customHeight="1" thickBot="1" x14ac:dyDescent="0.35">
      <c r="A93" s="613" t="s">
        <v>387</v>
      </c>
      <c r="B93" s="591">
        <v>0.87865861429600001</v>
      </c>
      <c r="C93" s="591">
        <v>2.0750000000000002</v>
      </c>
      <c r="D93" s="592">
        <v>1.1963413857030001</v>
      </c>
      <c r="E93" s="593">
        <v>2.3615542671940002</v>
      </c>
      <c r="F93" s="591">
        <v>1.9125733208619999</v>
      </c>
      <c r="G93" s="592">
        <v>1.115667770503</v>
      </c>
      <c r="H93" s="594">
        <v>0</v>
      </c>
      <c r="I93" s="591">
        <v>0</v>
      </c>
      <c r="J93" s="592">
        <v>-1.115667770503</v>
      </c>
      <c r="K93" s="595">
        <v>0</v>
      </c>
    </row>
    <row r="94" spans="1:11" ht="14.4" customHeight="1" thickBot="1" x14ac:dyDescent="0.35">
      <c r="A94" s="612" t="s">
        <v>388</v>
      </c>
      <c r="B94" s="596">
        <v>30.439567756462001</v>
      </c>
      <c r="C94" s="596">
        <v>32.125900000000001</v>
      </c>
      <c r="D94" s="597">
        <v>1.6863322435370001</v>
      </c>
      <c r="E94" s="603">
        <v>1.0553993491960001</v>
      </c>
      <c r="F94" s="596">
        <v>28.627799549561001</v>
      </c>
      <c r="G94" s="597">
        <v>16.699549737243998</v>
      </c>
      <c r="H94" s="599">
        <v>2.7737799999999999</v>
      </c>
      <c r="I94" s="596">
        <v>23.12585</v>
      </c>
      <c r="J94" s="597">
        <v>6.4263002627550003</v>
      </c>
      <c r="K94" s="604">
        <v>0.80781095172700002</v>
      </c>
    </row>
    <row r="95" spans="1:11" ht="14.4" customHeight="1" thickBot="1" x14ac:dyDescent="0.35">
      <c r="A95" s="613" t="s">
        <v>389</v>
      </c>
      <c r="B95" s="591">
        <v>13.421645294081999</v>
      </c>
      <c r="C95" s="591">
        <v>13.994300000000001</v>
      </c>
      <c r="D95" s="592">
        <v>0.57265470591699996</v>
      </c>
      <c r="E95" s="593">
        <v>1.042666505735</v>
      </c>
      <c r="F95" s="591">
        <v>9.1531969115620004</v>
      </c>
      <c r="G95" s="592">
        <v>5.339364865077</v>
      </c>
      <c r="H95" s="594">
        <v>0.91949999999999998</v>
      </c>
      <c r="I95" s="591">
        <v>7.6308999999999996</v>
      </c>
      <c r="J95" s="592">
        <v>2.2915351349219999</v>
      </c>
      <c r="K95" s="595">
        <v>0.83368686085599997</v>
      </c>
    </row>
    <row r="96" spans="1:11" ht="14.4" customHeight="1" thickBot="1" x14ac:dyDescent="0.35">
      <c r="A96" s="613" t="s">
        <v>390</v>
      </c>
      <c r="B96" s="591">
        <v>17.017922462379001</v>
      </c>
      <c r="C96" s="591">
        <v>18.131599999999999</v>
      </c>
      <c r="D96" s="592">
        <v>1.1136775376200001</v>
      </c>
      <c r="E96" s="593">
        <v>1.065441450922</v>
      </c>
      <c r="F96" s="591">
        <v>19.474602637998998</v>
      </c>
      <c r="G96" s="592">
        <v>11.360184872166</v>
      </c>
      <c r="H96" s="594">
        <v>1.8542799999999999</v>
      </c>
      <c r="I96" s="591">
        <v>15.494949999999999</v>
      </c>
      <c r="J96" s="592">
        <v>4.134765127833</v>
      </c>
      <c r="K96" s="595">
        <v>0.79564909682700002</v>
      </c>
    </row>
    <row r="97" spans="1:11" ht="14.4" customHeight="1" thickBot="1" x14ac:dyDescent="0.35">
      <c r="A97" s="612" t="s">
        <v>391</v>
      </c>
      <c r="B97" s="596">
        <v>64.999997952656003</v>
      </c>
      <c r="C97" s="596">
        <v>95.332120000000003</v>
      </c>
      <c r="D97" s="597">
        <v>30.332122047342999</v>
      </c>
      <c r="E97" s="603">
        <v>1.466648046195</v>
      </c>
      <c r="F97" s="596">
        <v>107.600604492887</v>
      </c>
      <c r="G97" s="597">
        <v>62.767019287517002</v>
      </c>
      <c r="H97" s="599">
        <v>6.3790100000000001</v>
      </c>
      <c r="I97" s="596">
        <v>73.252859999999998</v>
      </c>
      <c r="J97" s="597">
        <v>10.485840712482</v>
      </c>
      <c r="K97" s="604">
        <v>0.68078483708500004</v>
      </c>
    </row>
    <row r="98" spans="1:11" ht="14.4" customHeight="1" thickBot="1" x14ac:dyDescent="0.35">
      <c r="A98" s="613" t="s">
        <v>392</v>
      </c>
      <c r="B98" s="591">
        <v>15.999999496038001</v>
      </c>
      <c r="C98" s="591">
        <v>16.739999999999998</v>
      </c>
      <c r="D98" s="592">
        <v>0.74000050396100003</v>
      </c>
      <c r="E98" s="593">
        <v>1.0462500329540001</v>
      </c>
      <c r="F98" s="591">
        <v>14.999976126967001</v>
      </c>
      <c r="G98" s="592">
        <v>8.7499860740639992</v>
      </c>
      <c r="H98" s="594">
        <v>5.4</v>
      </c>
      <c r="I98" s="591">
        <v>12.96</v>
      </c>
      <c r="J98" s="592">
        <v>4.2100139259349998</v>
      </c>
      <c r="K98" s="595">
        <v>0.86400137508800001</v>
      </c>
    </row>
    <row r="99" spans="1:11" ht="14.4" customHeight="1" thickBot="1" x14ac:dyDescent="0.35">
      <c r="A99" s="613" t="s">
        <v>393</v>
      </c>
      <c r="B99" s="591">
        <v>48.999998456618002</v>
      </c>
      <c r="C99" s="591">
        <v>78.592119999999994</v>
      </c>
      <c r="D99" s="592">
        <v>29.592121543381001</v>
      </c>
      <c r="E99" s="593">
        <v>1.6039208668460001</v>
      </c>
      <c r="F99" s="591">
        <v>92.600628365918993</v>
      </c>
      <c r="G99" s="592">
        <v>54.017033213452997</v>
      </c>
      <c r="H99" s="594">
        <v>0.97901000000000005</v>
      </c>
      <c r="I99" s="591">
        <v>60.292859999999997</v>
      </c>
      <c r="J99" s="592">
        <v>6.2758267865460002</v>
      </c>
      <c r="K99" s="595">
        <v>0.65110638085200001</v>
      </c>
    </row>
    <row r="100" spans="1:11" ht="14.4" customHeight="1" thickBot="1" x14ac:dyDescent="0.35">
      <c r="A100" s="612" t="s">
        <v>394</v>
      </c>
      <c r="B100" s="596">
        <v>0</v>
      </c>
      <c r="C100" s="596">
        <v>7.6</v>
      </c>
      <c r="D100" s="597">
        <v>7.6</v>
      </c>
      <c r="E100" s="598" t="s">
        <v>313</v>
      </c>
      <c r="F100" s="596">
        <v>3.6262425408209999</v>
      </c>
      <c r="G100" s="597">
        <v>2.1153081488119998</v>
      </c>
      <c r="H100" s="599">
        <v>0</v>
      </c>
      <c r="I100" s="596">
        <v>0</v>
      </c>
      <c r="J100" s="597">
        <v>-2.1153081488119998</v>
      </c>
      <c r="K100" s="604">
        <v>0</v>
      </c>
    </row>
    <row r="101" spans="1:11" ht="14.4" customHeight="1" thickBot="1" x14ac:dyDescent="0.35">
      <c r="A101" s="613" t="s">
        <v>395</v>
      </c>
      <c r="B101" s="591">
        <v>0</v>
      </c>
      <c r="C101" s="591">
        <v>7.6</v>
      </c>
      <c r="D101" s="592">
        <v>7.6</v>
      </c>
      <c r="E101" s="601" t="s">
        <v>313</v>
      </c>
      <c r="F101" s="591">
        <v>3.6262425408209999</v>
      </c>
      <c r="G101" s="592">
        <v>2.1153081488119998</v>
      </c>
      <c r="H101" s="594">
        <v>0</v>
      </c>
      <c r="I101" s="591">
        <v>0</v>
      </c>
      <c r="J101" s="592">
        <v>-2.1153081488119998</v>
      </c>
      <c r="K101" s="595">
        <v>0</v>
      </c>
    </row>
    <row r="102" spans="1:11" ht="14.4" customHeight="1" thickBot="1" x14ac:dyDescent="0.35">
      <c r="A102" s="612" t="s">
        <v>396</v>
      </c>
      <c r="B102" s="596">
        <v>792.09001372198099</v>
      </c>
      <c r="C102" s="596">
        <v>947.66579999999999</v>
      </c>
      <c r="D102" s="597">
        <v>155.575786278019</v>
      </c>
      <c r="E102" s="603">
        <v>1.1964117506630001</v>
      </c>
      <c r="F102" s="596">
        <v>940.91985121241305</v>
      </c>
      <c r="G102" s="597">
        <v>548.86991320724098</v>
      </c>
      <c r="H102" s="599">
        <v>76.238960000000006</v>
      </c>
      <c r="I102" s="596">
        <v>550.39802999999995</v>
      </c>
      <c r="J102" s="597">
        <v>1.528116792759</v>
      </c>
      <c r="K102" s="604">
        <v>0.58495740023999998</v>
      </c>
    </row>
    <row r="103" spans="1:11" ht="14.4" customHeight="1" thickBot="1" x14ac:dyDescent="0.35">
      <c r="A103" s="613" t="s">
        <v>397</v>
      </c>
      <c r="B103" s="591">
        <v>636.110810397264</v>
      </c>
      <c r="C103" s="591">
        <v>765.50822000000005</v>
      </c>
      <c r="D103" s="592">
        <v>129.39740960273701</v>
      </c>
      <c r="E103" s="593">
        <v>1.203419604709</v>
      </c>
      <c r="F103" s="591">
        <v>783.69933827571003</v>
      </c>
      <c r="G103" s="592">
        <v>457.15794732749703</v>
      </c>
      <c r="H103" s="594">
        <v>65.282089999999997</v>
      </c>
      <c r="I103" s="591">
        <v>456.57290999999998</v>
      </c>
      <c r="J103" s="592">
        <v>-0.58503732749699999</v>
      </c>
      <c r="K103" s="595">
        <v>0.58258682596800004</v>
      </c>
    </row>
    <row r="104" spans="1:11" ht="14.4" customHeight="1" thickBot="1" x14ac:dyDescent="0.35">
      <c r="A104" s="613" t="s">
        <v>398</v>
      </c>
      <c r="B104" s="591">
        <v>155.97920332471699</v>
      </c>
      <c r="C104" s="591">
        <v>182.15758</v>
      </c>
      <c r="D104" s="592">
        <v>26.178376675281999</v>
      </c>
      <c r="E104" s="593">
        <v>1.16783248098</v>
      </c>
      <c r="F104" s="591">
        <v>157.22051293670401</v>
      </c>
      <c r="G104" s="592">
        <v>91.711965879743005</v>
      </c>
      <c r="H104" s="594">
        <v>10.95687</v>
      </c>
      <c r="I104" s="591">
        <v>93.825119999999998</v>
      </c>
      <c r="J104" s="592">
        <v>2.113154120256</v>
      </c>
      <c r="K104" s="595">
        <v>0.59677403569900001</v>
      </c>
    </row>
    <row r="105" spans="1:11" ht="14.4" customHeight="1" thickBot="1" x14ac:dyDescent="0.35">
      <c r="A105" s="612" t="s">
        <v>399</v>
      </c>
      <c r="B105" s="596">
        <v>0</v>
      </c>
      <c r="C105" s="596">
        <v>0</v>
      </c>
      <c r="D105" s="597">
        <v>0</v>
      </c>
      <c r="E105" s="603">
        <v>1</v>
      </c>
      <c r="F105" s="596">
        <v>0</v>
      </c>
      <c r="G105" s="597">
        <v>0</v>
      </c>
      <c r="H105" s="599">
        <v>0</v>
      </c>
      <c r="I105" s="596">
        <v>29.75</v>
      </c>
      <c r="J105" s="597">
        <v>29.75</v>
      </c>
      <c r="K105" s="600" t="s">
        <v>313</v>
      </c>
    </row>
    <row r="106" spans="1:11" ht="14.4" customHeight="1" thickBot="1" x14ac:dyDescent="0.35">
      <c r="A106" s="613" t="s">
        <v>400</v>
      </c>
      <c r="B106" s="591">
        <v>0</v>
      </c>
      <c r="C106" s="591">
        <v>0</v>
      </c>
      <c r="D106" s="592">
        <v>0</v>
      </c>
      <c r="E106" s="593">
        <v>1</v>
      </c>
      <c r="F106" s="591">
        <v>0</v>
      </c>
      <c r="G106" s="592">
        <v>0</v>
      </c>
      <c r="H106" s="594">
        <v>0</v>
      </c>
      <c r="I106" s="591">
        <v>29.75</v>
      </c>
      <c r="J106" s="592">
        <v>29.75</v>
      </c>
      <c r="K106" s="602" t="s">
        <v>313</v>
      </c>
    </row>
    <row r="107" spans="1:11" ht="14.4" customHeight="1" thickBot="1" x14ac:dyDescent="0.35">
      <c r="A107" s="612" t="s">
        <v>401</v>
      </c>
      <c r="B107" s="596">
        <v>852.32629819015699</v>
      </c>
      <c r="C107" s="596">
        <v>1070.85996</v>
      </c>
      <c r="D107" s="597">
        <v>218.53366180984301</v>
      </c>
      <c r="E107" s="603">
        <v>1.2563967136450001</v>
      </c>
      <c r="F107" s="596">
        <v>1103.3333590126399</v>
      </c>
      <c r="G107" s="597">
        <v>643.61112609070904</v>
      </c>
      <c r="H107" s="599">
        <v>73.624309999999994</v>
      </c>
      <c r="I107" s="596">
        <v>614.59006999999997</v>
      </c>
      <c r="J107" s="597">
        <v>-29.021056090708999</v>
      </c>
      <c r="K107" s="604">
        <v>0.55703026195899996</v>
      </c>
    </row>
    <row r="108" spans="1:11" ht="14.4" customHeight="1" thickBot="1" x14ac:dyDescent="0.35">
      <c r="A108" s="613" t="s">
        <v>402</v>
      </c>
      <c r="B108" s="591">
        <v>19.999999370047998</v>
      </c>
      <c r="C108" s="591">
        <v>8.6329999999999991</v>
      </c>
      <c r="D108" s="592">
        <v>-11.366999370047999</v>
      </c>
      <c r="E108" s="593">
        <v>0.43165001359499999</v>
      </c>
      <c r="F108" s="591">
        <v>0</v>
      </c>
      <c r="G108" s="592">
        <v>0</v>
      </c>
      <c r="H108" s="594">
        <v>0</v>
      </c>
      <c r="I108" s="591">
        <v>0</v>
      </c>
      <c r="J108" s="592">
        <v>0</v>
      </c>
      <c r="K108" s="602" t="s">
        <v>302</v>
      </c>
    </row>
    <row r="109" spans="1:11" ht="14.4" customHeight="1" thickBot="1" x14ac:dyDescent="0.35">
      <c r="A109" s="613" t="s">
        <v>403</v>
      </c>
      <c r="B109" s="591">
        <v>659.89001860855603</v>
      </c>
      <c r="C109" s="591">
        <v>879.29943000000003</v>
      </c>
      <c r="D109" s="592">
        <v>219.409411391444</v>
      </c>
      <c r="E109" s="593">
        <v>1.332493908385</v>
      </c>
      <c r="F109" s="591">
        <v>828.32696041884003</v>
      </c>
      <c r="G109" s="592">
        <v>483.19072691099001</v>
      </c>
      <c r="H109" s="594">
        <v>72.41431</v>
      </c>
      <c r="I109" s="591">
        <v>557.58821</v>
      </c>
      <c r="J109" s="592">
        <v>74.397483089009995</v>
      </c>
      <c r="K109" s="595">
        <v>0.67314989930699998</v>
      </c>
    </row>
    <row r="110" spans="1:11" ht="14.4" customHeight="1" thickBot="1" x14ac:dyDescent="0.35">
      <c r="A110" s="613" t="s">
        <v>404</v>
      </c>
      <c r="B110" s="591">
        <v>1.999999937004</v>
      </c>
      <c r="C110" s="591">
        <v>3.2864</v>
      </c>
      <c r="D110" s="592">
        <v>1.2864000629950001</v>
      </c>
      <c r="E110" s="593">
        <v>1.6432000517559999</v>
      </c>
      <c r="F110" s="591">
        <v>1.999996816928</v>
      </c>
      <c r="G110" s="592">
        <v>1.1666648098750001</v>
      </c>
      <c r="H110" s="594">
        <v>0</v>
      </c>
      <c r="I110" s="591">
        <v>1.5533999999999999</v>
      </c>
      <c r="J110" s="592">
        <v>0.38673519012399998</v>
      </c>
      <c r="K110" s="595">
        <v>0.77670123614700004</v>
      </c>
    </row>
    <row r="111" spans="1:11" ht="14.4" customHeight="1" thickBot="1" x14ac:dyDescent="0.35">
      <c r="A111" s="613" t="s">
        <v>405</v>
      </c>
      <c r="B111" s="591">
        <v>1.9600447279769999</v>
      </c>
      <c r="C111" s="591">
        <v>32.903260000000003</v>
      </c>
      <c r="D111" s="592">
        <v>30.943215272022002</v>
      </c>
      <c r="E111" s="593">
        <v>16.786994465147998</v>
      </c>
      <c r="F111" s="591">
        <v>38.625818272111999</v>
      </c>
      <c r="G111" s="592">
        <v>22.531727325397998</v>
      </c>
      <c r="H111" s="594">
        <v>0</v>
      </c>
      <c r="I111" s="591">
        <v>0</v>
      </c>
      <c r="J111" s="592">
        <v>-22.531727325397998</v>
      </c>
      <c r="K111" s="595">
        <v>0</v>
      </c>
    </row>
    <row r="112" spans="1:11" ht="14.4" customHeight="1" thickBot="1" x14ac:dyDescent="0.35">
      <c r="A112" s="613" t="s">
        <v>406</v>
      </c>
      <c r="B112" s="591">
        <v>168.47623554657</v>
      </c>
      <c r="C112" s="591">
        <v>146.73786999999999</v>
      </c>
      <c r="D112" s="592">
        <v>-21.738365546569</v>
      </c>
      <c r="E112" s="593">
        <v>0.87097073082099996</v>
      </c>
      <c r="F112" s="591">
        <v>234.38058350476399</v>
      </c>
      <c r="G112" s="592">
        <v>136.72200704444501</v>
      </c>
      <c r="H112" s="594">
        <v>1.21</v>
      </c>
      <c r="I112" s="591">
        <v>55.448459999999997</v>
      </c>
      <c r="J112" s="592">
        <v>-81.273547044444996</v>
      </c>
      <c r="K112" s="595">
        <v>0.23657446009700001</v>
      </c>
    </row>
    <row r="113" spans="1:11" ht="14.4" customHeight="1" thickBot="1" x14ac:dyDescent="0.35">
      <c r="A113" s="612" t="s">
        <v>407</v>
      </c>
      <c r="B113" s="596">
        <v>0</v>
      </c>
      <c r="C113" s="596">
        <v>0</v>
      </c>
      <c r="D113" s="597">
        <v>0</v>
      </c>
      <c r="E113" s="603">
        <v>1</v>
      </c>
      <c r="F113" s="596">
        <v>0</v>
      </c>
      <c r="G113" s="597">
        <v>0</v>
      </c>
      <c r="H113" s="599">
        <v>0</v>
      </c>
      <c r="I113" s="596">
        <v>5.5175999999999998</v>
      </c>
      <c r="J113" s="597">
        <v>5.5175999999999998</v>
      </c>
      <c r="K113" s="600" t="s">
        <v>313</v>
      </c>
    </row>
    <row r="114" spans="1:11" ht="14.4" customHeight="1" thickBot="1" x14ac:dyDescent="0.35">
      <c r="A114" s="613" t="s">
        <v>408</v>
      </c>
      <c r="B114" s="591">
        <v>0</v>
      </c>
      <c r="C114" s="591">
        <v>0</v>
      </c>
      <c r="D114" s="592">
        <v>0</v>
      </c>
      <c r="E114" s="593">
        <v>1</v>
      </c>
      <c r="F114" s="591">
        <v>0</v>
      </c>
      <c r="G114" s="592">
        <v>0</v>
      </c>
      <c r="H114" s="594">
        <v>0</v>
      </c>
      <c r="I114" s="591">
        <v>5.5175999999999998</v>
      </c>
      <c r="J114" s="592">
        <v>5.5175999999999998</v>
      </c>
      <c r="K114" s="602" t="s">
        <v>313</v>
      </c>
    </row>
    <row r="115" spans="1:11" ht="14.4" customHeight="1" thickBot="1" x14ac:dyDescent="0.35">
      <c r="A115" s="612" t="s">
        <v>409</v>
      </c>
      <c r="B115" s="596">
        <v>0</v>
      </c>
      <c r="C115" s="596">
        <v>8.2141999999999999</v>
      </c>
      <c r="D115" s="597">
        <v>8.2141999999999999</v>
      </c>
      <c r="E115" s="598" t="s">
        <v>302</v>
      </c>
      <c r="F115" s="596">
        <v>0.21473941170499999</v>
      </c>
      <c r="G115" s="597">
        <v>0.125264656828</v>
      </c>
      <c r="H115" s="599">
        <v>0.46592</v>
      </c>
      <c r="I115" s="596">
        <v>40.525970000000001</v>
      </c>
      <c r="J115" s="597">
        <v>40.400705343170998</v>
      </c>
      <c r="K115" s="604">
        <v>0</v>
      </c>
    </row>
    <row r="116" spans="1:11" ht="14.4" customHeight="1" thickBot="1" x14ac:dyDescent="0.35">
      <c r="A116" s="613" t="s">
        <v>410</v>
      </c>
      <c r="B116" s="591">
        <v>0</v>
      </c>
      <c r="C116" s="591">
        <v>0</v>
      </c>
      <c r="D116" s="592">
        <v>0</v>
      </c>
      <c r="E116" s="593">
        <v>1</v>
      </c>
      <c r="F116" s="591">
        <v>0</v>
      </c>
      <c r="G116" s="592">
        <v>0</v>
      </c>
      <c r="H116" s="594">
        <v>0</v>
      </c>
      <c r="I116" s="591">
        <v>18.149999999999999</v>
      </c>
      <c r="J116" s="592">
        <v>18.149999999999999</v>
      </c>
      <c r="K116" s="602" t="s">
        <v>313</v>
      </c>
    </row>
    <row r="117" spans="1:11" ht="14.4" customHeight="1" thickBot="1" x14ac:dyDescent="0.35">
      <c r="A117" s="613" t="s">
        <v>411</v>
      </c>
      <c r="B117" s="591">
        <v>0</v>
      </c>
      <c r="C117" s="591">
        <v>0.40920000000000001</v>
      </c>
      <c r="D117" s="592">
        <v>0.40920000000000001</v>
      </c>
      <c r="E117" s="601" t="s">
        <v>302</v>
      </c>
      <c r="F117" s="591">
        <v>0.21473941170499999</v>
      </c>
      <c r="G117" s="592">
        <v>0.125264656828</v>
      </c>
      <c r="H117" s="594">
        <v>0.46592</v>
      </c>
      <c r="I117" s="591">
        <v>3.6209699999999998</v>
      </c>
      <c r="J117" s="592">
        <v>3.4957053431710001</v>
      </c>
      <c r="K117" s="595">
        <v>0</v>
      </c>
    </row>
    <row r="118" spans="1:11" ht="14.4" customHeight="1" thickBot="1" x14ac:dyDescent="0.35">
      <c r="A118" s="613" t="s">
        <v>412</v>
      </c>
      <c r="B118" s="591">
        <v>0</v>
      </c>
      <c r="C118" s="591">
        <v>7.8049999999999997</v>
      </c>
      <c r="D118" s="592">
        <v>7.8049999999999997</v>
      </c>
      <c r="E118" s="601" t="s">
        <v>313</v>
      </c>
      <c r="F118" s="591">
        <v>0</v>
      </c>
      <c r="G118" s="592">
        <v>0</v>
      </c>
      <c r="H118" s="594">
        <v>0</v>
      </c>
      <c r="I118" s="591">
        <v>0</v>
      </c>
      <c r="J118" s="592">
        <v>0</v>
      </c>
      <c r="K118" s="602" t="s">
        <v>302</v>
      </c>
    </row>
    <row r="119" spans="1:11" ht="14.4" customHeight="1" thickBot="1" x14ac:dyDescent="0.35">
      <c r="A119" s="613" t="s">
        <v>413</v>
      </c>
      <c r="B119" s="591">
        <v>0</v>
      </c>
      <c r="C119" s="591">
        <v>0</v>
      </c>
      <c r="D119" s="592">
        <v>0</v>
      </c>
      <c r="E119" s="593">
        <v>1</v>
      </c>
      <c r="F119" s="591">
        <v>0</v>
      </c>
      <c r="G119" s="592">
        <v>0</v>
      </c>
      <c r="H119" s="594">
        <v>0</v>
      </c>
      <c r="I119" s="591">
        <v>18.754999999999999</v>
      </c>
      <c r="J119" s="592">
        <v>18.754999999999999</v>
      </c>
      <c r="K119" s="602" t="s">
        <v>313</v>
      </c>
    </row>
    <row r="120" spans="1:11" ht="14.4" customHeight="1" thickBot="1" x14ac:dyDescent="0.35">
      <c r="A120" s="612" t="s">
        <v>414</v>
      </c>
      <c r="B120" s="596">
        <v>0</v>
      </c>
      <c r="C120" s="596">
        <v>0</v>
      </c>
      <c r="D120" s="597">
        <v>0</v>
      </c>
      <c r="E120" s="603">
        <v>1</v>
      </c>
      <c r="F120" s="596">
        <v>0</v>
      </c>
      <c r="G120" s="597">
        <v>0</v>
      </c>
      <c r="H120" s="599">
        <v>0</v>
      </c>
      <c r="I120" s="596">
        <v>18.149999999999999</v>
      </c>
      <c r="J120" s="597">
        <v>18.149999999999999</v>
      </c>
      <c r="K120" s="600" t="s">
        <v>313</v>
      </c>
    </row>
    <row r="121" spans="1:11" ht="14.4" customHeight="1" thickBot="1" x14ac:dyDescent="0.35">
      <c r="A121" s="613" t="s">
        <v>415</v>
      </c>
      <c r="B121" s="591">
        <v>0</v>
      </c>
      <c r="C121" s="591">
        <v>0</v>
      </c>
      <c r="D121" s="592">
        <v>0</v>
      </c>
      <c r="E121" s="593">
        <v>1</v>
      </c>
      <c r="F121" s="591">
        <v>0</v>
      </c>
      <c r="G121" s="592">
        <v>0</v>
      </c>
      <c r="H121" s="594">
        <v>0</v>
      </c>
      <c r="I121" s="591">
        <v>18.149999999999999</v>
      </c>
      <c r="J121" s="592">
        <v>18.149999999999999</v>
      </c>
      <c r="K121" s="602" t="s">
        <v>313</v>
      </c>
    </row>
    <row r="122" spans="1:11" ht="14.4" customHeight="1" thickBot="1" x14ac:dyDescent="0.35">
      <c r="A122" s="610" t="s">
        <v>41</v>
      </c>
      <c r="B122" s="591">
        <v>40706.998777704997</v>
      </c>
      <c r="C122" s="591">
        <v>46094.253929999999</v>
      </c>
      <c r="D122" s="592">
        <v>5387.2551522949798</v>
      </c>
      <c r="E122" s="593">
        <v>1.1323422338669999</v>
      </c>
      <c r="F122" s="591">
        <v>45907.004144460698</v>
      </c>
      <c r="G122" s="592">
        <v>26779.085750935399</v>
      </c>
      <c r="H122" s="594">
        <v>5070.4834600000004</v>
      </c>
      <c r="I122" s="591">
        <v>27318.87458</v>
      </c>
      <c r="J122" s="592">
        <v>539.78882906459</v>
      </c>
      <c r="K122" s="595">
        <v>0.59509164427299999</v>
      </c>
    </row>
    <row r="123" spans="1:11" ht="14.4" customHeight="1" thickBot="1" x14ac:dyDescent="0.35">
      <c r="A123" s="616" t="s">
        <v>416</v>
      </c>
      <c r="B123" s="596">
        <v>30208.999092838301</v>
      </c>
      <c r="C123" s="596">
        <v>34282.629999999997</v>
      </c>
      <c r="D123" s="597">
        <v>4073.6309071617202</v>
      </c>
      <c r="E123" s="603">
        <v>1.1348482581179999</v>
      </c>
      <c r="F123" s="596">
        <v>33949.003064898498</v>
      </c>
      <c r="G123" s="597">
        <v>19803.585121190801</v>
      </c>
      <c r="H123" s="599">
        <v>3743.28</v>
      </c>
      <c r="I123" s="596">
        <v>20193.474999999999</v>
      </c>
      <c r="J123" s="597">
        <v>389.88987880920098</v>
      </c>
      <c r="K123" s="604">
        <v>0.59481790853700001</v>
      </c>
    </row>
    <row r="124" spans="1:11" ht="14.4" customHeight="1" thickBot="1" x14ac:dyDescent="0.35">
      <c r="A124" s="612" t="s">
        <v>417</v>
      </c>
      <c r="B124" s="596">
        <v>29999.9990994213</v>
      </c>
      <c r="C124" s="596">
        <v>33838.754000000001</v>
      </c>
      <c r="D124" s="597">
        <v>3838.75490057872</v>
      </c>
      <c r="E124" s="603">
        <v>1.1279585005270001</v>
      </c>
      <c r="F124" s="596">
        <v>33685.003041064701</v>
      </c>
      <c r="G124" s="597">
        <v>19649.585107287799</v>
      </c>
      <c r="H124" s="599">
        <v>3730.328</v>
      </c>
      <c r="I124" s="596">
        <v>20039.075000000001</v>
      </c>
      <c r="J124" s="597">
        <v>389.489892712249</v>
      </c>
      <c r="K124" s="604">
        <v>0.59489604247799999</v>
      </c>
    </row>
    <row r="125" spans="1:11" ht="14.4" customHeight="1" thickBot="1" x14ac:dyDescent="0.35">
      <c r="A125" s="613" t="s">
        <v>418</v>
      </c>
      <c r="B125" s="591">
        <v>29999.9990994213</v>
      </c>
      <c r="C125" s="591">
        <v>33838.754000000001</v>
      </c>
      <c r="D125" s="592">
        <v>3838.75490057872</v>
      </c>
      <c r="E125" s="593">
        <v>1.1279585005270001</v>
      </c>
      <c r="F125" s="591">
        <v>33685.003041064701</v>
      </c>
      <c r="G125" s="592">
        <v>19649.585107287799</v>
      </c>
      <c r="H125" s="594">
        <v>3730.328</v>
      </c>
      <c r="I125" s="591">
        <v>20039.075000000001</v>
      </c>
      <c r="J125" s="592">
        <v>389.489892712249</v>
      </c>
      <c r="K125" s="595">
        <v>0.59489604247799999</v>
      </c>
    </row>
    <row r="126" spans="1:11" ht="14.4" customHeight="1" thickBot="1" x14ac:dyDescent="0.35">
      <c r="A126" s="612" t="s">
        <v>419</v>
      </c>
      <c r="B126" s="596">
        <v>0</v>
      </c>
      <c r="C126" s="596">
        <v>1.1102230246251601E-15</v>
      </c>
      <c r="D126" s="597">
        <v>1.1102230246251601E-15</v>
      </c>
      <c r="E126" s="598" t="s">
        <v>302</v>
      </c>
      <c r="F126" s="596">
        <v>0</v>
      </c>
      <c r="G126" s="597">
        <v>0</v>
      </c>
      <c r="H126" s="599">
        <v>1.337</v>
      </c>
      <c r="I126" s="596">
        <v>3.278</v>
      </c>
      <c r="J126" s="597">
        <v>3.278</v>
      </c>
      <c r="K126" s="600" t="s">
        <v>302</v>
      </c>
    </row>
    <row r="127" spans="1:11" ht="14.4" customHeight="1" thickBot="1" x14ac:dyDescent="0.35">
      <c r="A127" s="613" t="s">
        <v>420</v>
      </c>
      <c r="B127" s="591">
        <v>0</v>
      </c>
      <c r="C127" s="591">
        <v>1.1102230246251601E-15</v>
      </c>
      <c r="D127" s="592">
        <v>1.1102230246251601E-15</v>
      </c>
      <c r="E127" s="601" t="s">
        <v>302</v>
      </c>
      <c r="F127" s="591">
        <v>0</v>
      </c>
      <c r="G127" s="592">
        <v>0</v>
      </c>
      <c r="H127" s="594">
        <v>1.337</v>
      </c>
      <c r="I127" s="591">
        <v>3.278</v>
      </c>
      <c r="J127" s="592">
        <v>3.278</v>
      </c>
      <c r="K127" s="602" t="s">
        <v>302</v>
      </c>
    </row>
    <row r="128" spans="1:11" ht="14.4" customHeight="1" thickBot="1" x14ac:dyDescent="0.35">
      <c r="A128" s="612" t="s">
        <v>421</v>
      </c>
      <c r="B128" s="596">
        <v>114.999996377779</v>
      </c>
      <c r="C128" s="596">
        <v>343.18</v>
      </c>
      <c r="D128" s="597">
        <v>228.18000362222099</v>
      </c>
      <c r="E128" s="603">
        <v>2.9841740070370002</v>
      </c>
      <c r="F128" s="596">
        <v>168.000015166955</v>
      </c>
      <c r="G128" s="597">
        <v>98.000008847390006</v>
      </c>
      <c r="H128" s="599">
        <v>11.615</v>
      </c>
      <c r="I128" s="596">
        <v>99.594999999999999</v>
      </c>
      <c r="J128" s="597">
        <v>1.5949911526089999</v>
      </c>
      <c r="K128" s="604">
        <v>0.59282732743199995</v>
      </c>
    </row>
    <row r="129" spans="1:11" ht="14.4" customHeight="1" thickBot="1" x14ac:dyDescent="0.35">
      <c r="A129" s="613" t="s">
        <v>422</v>
      </c>
      <c r="B129" s="591">
        <v>114.999996377779</v>
      </c>
      <c r="C129" s="591">
        <v>343.18</v>
      </c>
      <c r="D129" s="592">
        <v>228.18000362222099</v>
      </c>
      <c r="E129" s="593">
        <v>2.9841740070370002</v>
      </c>
      <c r="F129" s="591">
        <v>168.000015166955</v>
      </c>
      <c r="G129" s="592">
        <v>98.000008847390006</v>
      </c>
      <c r="H129" s="594">
        <v>11.615</v>
      </c>
      <c r="I129" s="591">
        <v>99.594999999999999</v>
      </c>
      <c r="J129" s="592">
        <v>1.5949911526089999</v>
      </c>
      <c r="K129" s="595">
        <v>0.59282732743199995</v>
      </c>
    </row>
    <row r="130" spans="1:11" ht="14.4" customHeight="1" thickBot="1" x14ac:dyDescent="0.35">
      <c r="A130" s="612" t="s">
        <v>423</v>
      </c>
      <c r="B130" s="596">
        <v>93.999997039226997</v>
      </c>
      <c r="C130" s="596">
        <v>100.696</v>
      </c>
      <c r="D130" s="597">
        <v>6.6960029607719997</v>
      </c>
      <c r="E130" s="603">
        <v>1.071234076294</v>
      </c>
      <c r="F130" s="596">
        <v>96.000008666830993</v>
      </c>
      <c r="G130" s="597">
        <v>56.000005055651002</v>
      </c>
      <c r="H130" s="599">
        <v>0</v>
      </c>
      <c r="I130" s="596">
        <v>51.527000000000001</v>
      </c>
      <c r="J130" s="597">
        <v>-4.4730050556509999</v>
      </c>
      <c r="K130" s="604">
        <v>0.53673953487600001</v>
      </c>
    </row>
    <row r="131" spans="1:11" ht="14.4" customHeight="1" thickBot="1" x14ac:dyDescent="0.35">
      <c r="A131" s="613" t="s">
        <v>424</v>
      </c>
      <c r="B131" s="591">
        <v>93.999997039226997</v>
      </c>
      <c r="C131" s="591">
        <v>100.696</v>
      </c>
      <c r="D131" s="592">
        <v>6.6960029607719997</v>
      </c>
      <c r="E131" s="593">
        <v>1.071234076294</v>
      </c>
      <c r="F131" s="591">
        <v>96.000008666830993</v>
      </c>
      <c r="G131" s="592">
        <v>56.000005055651002</v>
      </c>
      <c r="H131" s="594">
        <v>0</v>
      </c>
      <c r="I131" s="591">
        <v>51.527000000000001</v>
      </c>
      <c r="J131" s="592">
        <v>-4.4730050556509999</v>
      </c>
      <c r="K131" s="595">
        <v>0.53673953487600001</v>
      </c>
    </row>
    <row r="132" spans="1:11" ht="14.4" customHeight="1" thickBot="1" x14ac:dyDescent="0.35">
      <c r="A132" s="611" t="s">
        <v>425</v>
      </c>
      <c r="B132" s="591">
        <v>10198.9996938436</v>
      </c>
      <c r="C132" s="591">
        <v>11472.22667</v>
      </c>
      <c r="D132" s="592">
        <v>1273.2269761564501</v>
      </c>
      <c r="E132" s="593">
        <v>1.1248384169400001</v>
      </c>
      <c r="F132" s="591">
        <v>11453.001033971001</v>
      </c>
      <c r="G132" s="592">
        <v>6680.9172698164402</v>
      </c>
      <c r="H132" s="594">
        <v>1271.2466099999999</v>
      </c>
      <c r="I132" s="591">
        <v>6824.04306</v>
      </c>
      <c r="J132" s="592">
        <v>143.125790183562</v>
      </c>
      <c r="K132" s="595">
        <v>0.59583012694699999</v>
      </c>
    </row>
    <row r="133" spans="1:11" ht="14.4" customHeight="1" thickBot="1" x14ac:dyDescent="0.35">
      <c r="A133" s="612" t="s">
        <v>426</v>
      </c>
      <c r="B133" s="596">
        <v>2698.9999189882301</v>
      </c>
      <c r="C133" s="596">
        <v>3055.6196399999999</v>
      </c>
      <c r="D133" s="597">
        <v>356.61972101176701</v>
      </c>
      <c r="E133" s="603">
        <v>1.132130319272</v>
      </c>
      <c r="F133" s="596">
        <v>3032.0002737274199</v>
      </c>
      <c r="G133" s="597">
        <v>1768.6668263409999</v>
      </c>
      <c r="H133" s="599">
        <v>336.50835999999998</v>
      </c>
      <c r="I133" s="596">
        <v>1806.3680899999999</v>
      </c>
      <c r="J133" s="597">
        <v>37.701263659002997</v>
      </c>
      <c r="K133" s="604">
        <v>0.59576778592400004</v>
      </c>
    </row>
    <row r="134" spans="1:11" ht="14.4" customHeight="1" thickBot="1" x14ac:dyDescent="0.35">
      <c r="A134" s="613" t="s">
        <v>427</v>
      </c>
      <c r="B134" s="591">
        <v>2698.9999189882301</v>
      </c>
      <c r="C134" s="591">
        <v>3055.6196399999999</v>
      </c>
      <c r="D134" s="592">
        <v>356.61972101176701</v>
      </c>
      <c r="E134" s="593">
        <v>1.132130319272</v>
      </c>
      <c r="F134" s="591">
        <v>3032.0002737274199</v>
      </c>
      <c r="G134" s="592">
        <v>1768.6668263409999</v>
      </c>
      <c r="H134" s="594">
        <v>336.50835999999998</v>
      </c>
      <c r="I134" s="591">
        <v>1806.3680899999999</v>
      </c>
      <c r="J134" s="592">
        <v>37.701263659002997</v>
      </c>
      <c r="K134" s="595">
        <v>0.59576778592400004</v>
      </c>
    </row>
    <row r="135" spans="1:11" ht="14.4" customHeight="1" thickBot="1" x14ac:dyDescent="0.35">
      <c r="A135" s="612" t="s">
        <v>428</v>
      </c>
      <c r="B135" s="596">
        <v>7499.9997748553196</v>
      </c>
      <c r="C135" s="596">
        <v>8416.6070299999992</v>
      </c>
      <c r="D135" s="597">
        <v>916.60725514468004</v>
      </c>
      <c r="E135" s="603">
        <v>1.122214304354</v>
      </c>
      <c r="F135" s="596">
        <v>8421.0007602436108</v>
      </c>
      <c r="G135" s="597">
        <v>4912.2504434754401</v>
      </c>
      <c r="H135" s="599">
        <v>934.73824999999999</v>
      </c>
      <c r="I135" s="596">
        <v>5017.67497</v>
      </c>
      <c r="J135" s="597">
        <v>105.424526524562</v>
      </c>
      <c r="K135" s="604">
        <v>0.59585257297299998</v>
      </c>
    </row>
    <row r="136" spans="1:11" ht="14.4" customHeight="1" thickBot="1" x14ac:dyDescent="0.35">
      <c r="A136" s="613" t="s">
        <v>429</v>
      </c>
      <c r="B136" s="591">
        <v>7499.9997748553196</v>
      </c>
      <c r="C136" s="591">
        <v>8416.6070299999992</v>
      </c>
      <c r="D136" s="592">
        <v>916.60725514468004</v>
      </c>
      <c r="E136" s="593">
        <v>1.122214304354</v>
      </c>
      <c r="F136" s="591">
        <v>8421.0007602436108</v>
      </c>
      <c r="G136" s="592">
        <v>4912.2504434754401</v>
      </c>
      <c r="H136" s="594">
        <v>934.73824999999999</v>
      </c>
      <c r="I136" s="591">
        <v>5017.67497</v>
      </c>
      <c r="J136" s="592">
        <v>105.424526524562</v>
      </c>
      <c r="K136" s="595">
        <v>0.59585257297299998</v>
      </c>
    </row>
    <row r="137" spans="1:11" ht="14.4" customHeight="1" thickBot="1" x14ac:dyDescent="0.35">
      <c r="A137" s="611" t="s">
        <v>430</v>
      </c>
      <c r="B137" s="591">
        <v>298.999991023191</v>
      </c>
      <c r="C137" s="591">
        <v>339.39726000000002</v>
      </c>
      <c r="D137" s="592">
        <v>40.397268976809002</v>
      </c>
      <c r="E137" s="593">
        <v>1.135107927055</v>
      </c>
      <c r="F137" s="591">
        <v>505.00004559114399</v>
      </c>
      <c r="G137" s="592">
        <v>294.583359928167</v>
      </c>
      <c r="H137" s="594">
        <v>55.956850000000003</v>
      </c>
      <c r="I137" s="591">
        <v>301.35651999999999</v>
      </c>
      <c r="J137" s="592">
        <v>6.7731600718319998</v>
      </c>
      <c r="K137" s="595">
        <v>0.59674553028400001</v>
      </c>
    </row>
    <row r="138" spans="1:11" ht="14.4" customHeight="1" thickBot="1" x14ac:dyDescent="0.35">
      <c r="A138" s="612" t="s">
        <v>431</v>
      </c>
      <c r="B138" s="596">
        <v>298.999991023191</v>
      </c>
      <c r="C138" s="596">
        <v>339.39726000000002</v>
      </c>
      <c r="D138" s="597">
        <v>40.397268976809002</v>
      </c>
      <c r="E138" s="603">
        <v>1.135107927055</v>
      </c>
      <c r="F138" s="596">
        <v>505.00004559114399</v>
      </c>
      <c r="G138" s="597">
        <v>294.583359928167</v>
      </c>
      <c r="H138" s="599">
        <v>55.956850000000003</v>
      </c>
      <c r="I138" s="596">
        <v>301.35651999999999</v>
      </c>
      <c r="J138" s="597">
        <v>6.7731600718319998</v>
      </c>
      <c r="K138" s="604">
        <v>0.59674553028400001</v>
      </c>
    </row>
    <row r="139" spans="1:11" ht="14.4" customHeight="1" thickBot="1" x14ac:dyDescent="0.35">
      <c r="A139" s="613" t="s">
        <v>432</v>
      </c>
      <c r="B139" s="591">
        <v>298.999991023191</v>
      </c>
      <c r="C139" s="591">
        <v>339.39726000000002</v>
      </c>
      <c r="D139" s="592">
        <v>40.397268976809002</v>
      </c>
      <c r="E139" s="593">
        <v>1.135107927055</v>
      </c>
      <c r="F139" s="591">
        <v>505.00004559114399</v>
      </c>
      <c r="G139" s="592">
        <v>294.583359928167</v>
      </c>
      <c r="H139" s="594">
        <v>55.956850000000003</v>
      </c>
      <c r="I139" s="591">
        <v>301.35651999999999</v>
      </c>
      <c r="J139" s="592">
        <v>6.7731600718319998</v>
      </c>
      <c r="K139" s="595">
        <v>0.59674553028400001</v>
      </c>
    </row>
    <row r="140" spans="1:11" ht="14.4" customHeight="1" thickBot="1" x14ac:dyDescent="0.35">
      <c r="A140" s="610" t="s">
        <v>433</v>
      </c>
      <c r="B140" s="591">
        <v>0</v>
      </c>
      <c r="C140" s="591">
        <v>71.620050000000006</v>
      </c>
      <c r="D140" s="592">
        <v>71.620050000000006</v>
      </c>
      <c r="E140" s="601" t="s">
        <v>302</v>
      </c>
      <c r="F140" s="591">
        <v>0</v>
      </c>
      <c r="G140" s="592">
        <v>0</v>
      </c>
      <c r="H140" s="594">
        <v>0</v>
      </c>
      <c r="I140" s="591">
        <v>41.169899999999998</v>
      </c>
      <c r="J140" s="592">
        <v>41.169899999999998</v>
      </c>
      <c r="K140" s="602" t="s">
        <v>302</v>
      </c>
    </row>
    <row r="141" spans="1:11" ht="14.4" customHeight="1" thickBot="1" x14ac:dyDescent="0.35">
      <c r="A141" s="611" t="s">
        <v>434</v>
      </c>
      <c r="B141" s="591">
        <v>0</v>
      </c>
      <c r="C141" s="591">
        <v>71.620050000000006</v>
      </c>
      <c r="D141" s="592">
        <v>71.620050000000006</v>
      </c>
      <c r="E141" s="601" t="s">
        <v>302</v>
      </c>
      <c r="F141" s="591">
        <v>0</v>
      </c>
      <c r="G141" s="592">
        <v>0</v>
      </c>
      <c r="H141" s="594">
        <v>0</v>
      </c>
      <c r="I141" s="591">
        <v>41.169899999999998</v>
      </c>
      <c r="J141" s="592">
        <v>41.169899999999998</v>
      </c>
      <c r="K141" s="602" t="s">
        <v>302</v>
      </c>
    </row>
    <row r="142" spans="1:11" ht="14.4" customHeight="1" thickBot="1" x14ac:dyDescent="0.35">
      <c r="A142" s="612" t="s">
        <v>435</v>
      </c>
      <c r="B142" s="596">
        <v>0</v>
      </c>
      <c r="C142" s="596">
        <v>63.320050000000002</v>
      </c>
      <c r="D142" s="597">
        <v>63.320050000000002</v>
      </c>
      <c r="E142" s="598" t="s">
        <v>302</v>
      </c>
      <c r="F142" s="596">
        <v>0</v>
      </c>
      <c r="G142" s="597">
        <v>0</v>
      </c>
      <c r="H142" s="599">
        <v>0</v>
      </c>
      <c r="I142" s="596">
        <v>34.001899999999999</v>
      </c>
      <c r="J142" s="597">
        <v>34.001899999999999</v>
      </c>
      <c r="K142" s="600" t="s">
        <v>302</v>
      </c>
    </row>
    <row r="143" spans="1:11" ht="14.4" customHeight="1" thickBot="1" x14ac:dyDescent="0.35">
      <c r="A143" s="613" t="s">
        <v>436</v>
      </c>
      <c r="B143" s="591">
        <v>0</v>
      </c>
      <c r="C143" s="591">
        <v>3.0710500000000001</v>
      </c>
      <c r="D143" s="592">
        <v>3.0710500000000001</v>
      </c>
      <c r="E143" s="601" t="s">
        <v>302</v>
      </c>
      <c r="F143" s="591">
        <v>0</v>
      </c>
      <c r="G143" s="592">
        <v>0</v>
      </c>
      <c r="H143" s="594">
        <v>0</v>
      </c>
      <c r="I143" s="591">
        <v>4.0378999999999996</v>
      </c>
      <c r="J143" s="592">
        <v>4.0378999999999996</v>
      </c>
      <c r="K143" s="602" t="s">
        <v>302</v>
      </c>
    </row>
    <row r="144" spans="1:11" ht="14.4" customHeight="1" thickBot="1" x14ac:dyDescent="0.35">
      <c r="A144" s="613" t="s">
        <v>437</v>
      </c>
      <c r="B144" s="591">
        <v>0</v>
      </c>
      <c r="C144" s="591">
        <v>25.24</v>
      </c>
      <c r="D144" s="592">
        <v>25.24</v>
      </c>
      <c r="E144" s="601" t="s">
        <v>302</v>
      </c>
      <c r="F144" s="591">
        <v>0</v>
      </c>
      <c r="G144" s="592">
        <v>0</v>
      </c>
      <c r="H144" s="594">
        <v>0</v>
      </c>
      <c r="I144" s="591">
        <v>3</v>
      </c>
      <c r="J144" s="592">
        <v>3</v>
      </c>
      <c r="K144" s="602" t="s">
        <v>302</v>
      </c>
    </row>
    <row r="145" spans="1:11" ht="14.4" customHeight="1" thickBot="1" x14ac:dyDescent="0.35">
      <c r="A145" s="613" t="s">
        <v>438</v>
      </c>
      <c r="B145" s="591">
        <v>0</v>
      </c>
      <c r="C145" s="591">
        <v>35.009</v>
      </c>
      <c r="D145" s="592">
        <v>35.009</v>
      </c>
      <c r="E145" s="601" t="s">
        <v>302</v>
      </c>
      <c r="F145" s="591">
        <v>0</v>
      </c>
      <c r="G145" s="592">
        <v>0</v>
      </c>
      <c r="H145" s="594">
        <v>0</v>
      </c>
      <c r="I145" s="591">
        <v>26.963999999999999</v>
      </c>
      <c r="J145" s="592">
        <v>26.963999999999999</v>
      </c>
      <c r="K145" s="602" t="s">
        <v>302</v>
      </c>
    </row>
    <row r="146" spans="1:11" ht="14.4" customHeight="1" thickBot="1" x14ac:dyDescent="0.35">
      <c r="A146" s="615" t="s">
        <v>439</v>
      </c>
      <c r="B146" s="591">
        <v>0</v>
      </c>
      <c r="C146" s="591">
        <v>0</v>
      </c>
      <c r="D146" s="592">
        <v>0</v>
      </c>
      <c r="E146" s="593">
        <v>1</v>
      </c>
      <c r="F146" s="591">
        <v>0</v>
      </c>
      <c r="G146" s="592">
        <v>0</v>
      </c>
      <c r="H146" s="594">
        <v>0</v>
      </c>
      <c r="I146" s="591">
        <v>5.3680000000000003</v>
      </c>
      <c r="J146" s="592">
        <v>5.3680000000000003</v>
      </c>
      <c r="K146" s="602" t="s">
        <v>313</v>
      </c>
    </row>
    <row r="147" spans="1:11" ht="14.4" customHeight="1" thickBot="1" x14ac:dyDescent="0.35">
      <c r="A147" s="613" t="s">
        <v>440</v>
      </c>
      <c r="B147" s="591">
        <v>0</v>
      </c>
      <c r="C147" s="591">
        <v>0</v>
      </c>
      <c r="D147" s="592">
        <v>0</v>
      </c>
      <c r="E147" s="593">
        <v>1</v>
      </c>
      <c r="F147" s="591">
        <v>0</v>
      </c>
      <c r="G147" s="592">
        <v>0</v>
      </c>
      <c r="H147" s="594">
        <v>0</v>
      </c>
      <c r="I147" s="591">
        <v>5.3680000000000003</v>
      </c>
      <c r="J147" s="592">
        <v>5.3680000000000003</v>
      </c>
      <c r="K147" s="602" t="s">
        <v>313</v>
      </c>
    </row>
    <row r="148" spans="1:11" ht="14.4" customHeight="1" thickBot="1" x14ac:dyDescent="0.35">
      <c r="A148" s="615" t="s">
        <v>441</v>
      </c>
      <c r="B148" s="591">
        <v>0</v>
      </c>
      <c r="C148" s="591">
        <v>8.3000000000000007</v>
      </c>
      <c r="D148" s="592">
        <v>8.3000000000000007</v>
      </c>
      <c r="E148" s="601" t="s">
        <v>302</v>
      </c>
      <c r="F148" s="591">
        <v>0</v>
      </c>
      <c r="G148" s="592">
        <v>0</v>
      </c>
      <c r="H148" s="594">
        <v>0</v>
      </c>
      <c r="I148" s="591">
        <v>1.8</v>
      </c>
      <c r="J148" s="592">
        <v>1.8</v>
      </c>
      <c r="K148" s="602" t="s">
        <v>302</v>
      </c>
    </row>
    <row r="149" spans="1:11" ht="14.4" customHeight="1" thickBot="1" x14ac:dyDescent="0.35">
      <c r="A149" s="613" t="s">
        <v>442</v>
      </c>
      <c r="B149" s="591">
        <v>0</v>
      </c>
      <c r="C149" s="591">
        <v>8.3000000000000007</v>
      </c>
      <c r="D149" s="592">
        <v>8.3000000000000007</v>
      </c>
      <c r="E149" s="601" t="s">
        <v>302</v>
      </c>
      <c r="F149" s="591">
        <v>0</v>
      </c>
      <c r="G149" s="592">
        <v>0</v>
      </c>
      <c r="H149" s="594">
        <v>0</v>
      </c>
      <c r="I149" s="591">
        <v>1.8</v>
      </c>
      <c r="J149" s="592">
        <v>1.8</v>
      </c>
      <c r="K149" s="602" t="s">
        <v>302</v>
      </c>
    </row>
    <row r="150" spans="1:11" ht="14.4" customHeight="1" thickBot="1" x14ac:dyDescent="0.35">
      <c r="A150" s="610" t="s">
        <v>443</v>
      </c>
      <c r="B150" s="591">
        <v>2980.0003911916201</v>
      </c>
      <c r="C150" s="591">
        <v>3359.03087</v>
      </c>
      <c r="D150" s="592">
        <v>379.03047880838102</v>
      </c>
      <c r="E150" s="593">
        <v>1.1271914191450001</v>
      </c>
      <c r="F150" s="591">
        <v>3176.8380956743699</v>
      </c>
      <c r="G150" s="592">
        <v>1853.1555558100499</v>
      </c>
      <c r="H150" s="594">
        <v>289.44589999999999</v>
      </c>
      <c r="I150" s="591">
        <v>2142.6536599999999</v>
      </c>
      <c r="J150" s="592">
        <v>289.498104189949</v>
      </c>
      <c r="K150" s="595">
        <v>0.67446108220500001</v>
      </c>
    </row>
    <row r="151" spans="1:11" ht="14.4" customHeight="1" thickBot="1" x14ac:dyDescent="0.35">
      <c r="A151" s="611" t="s">
        <v>444</v>
      </c>
      <c r="B151" s="591">
        <v>2610.0003911916201</v>
      </c>
      <c r="C151" s="591">
        <v>2710.652</v>
      </c>
      <c r="D151" s="592">
        <v>100.651608808381</v>
      </c>
      <c r="E151" s="593">
        <v>1.0385638290120001</v>
      </c>
      <c r="F151" s="591">
        <v>3059.0070640252802</v>
      </c>
      <c r="G151" s="592">
        <v>1784.42078734808</v>
      </c>
      <c r="H151" s="594">
        <v>262.779</v>
      </c>
      <c r="I151" s="591">
        <v>1839.4860000000001</v>
      </c>
      <c r="J151" s="592">
        <v>55.065212651918998</v>
      </c>
      <c r="K151" s="595">
        <v>0.60133434199299995</v>
      </c>
    </row>
    <row r="152" spans="1:11" ht="14.4" customHeight="1" thickBot="1" x14ac:dyDescent="0.35">
      <c r="A152" s="612" t="s">
        <v>445</v>
      </c>
      <c r="B152" s="596">
        <v>2610.0003911916201</v>
      </c>
      <c r="C152" s="596">
        <v>2710.652</v>
      </c>
      <c r="D152" s="597">
        <v>100.651608808381</v>
      </c>
      <c r="E152" s="603">
        <v>1.0385638290120001</v>
      </c>
      <c r="F152" s="596">
        <v>3059.0070640252802</v>
      </c>
      <c r="G152" s="597">
        <v>1784.42078734808</v>
      </c>
      <c r="H152" s="599">
        <v>262.779</v>
      </c>
      <c r="I152" s="596">
        <v>1839.4860000000001</v>
      </c>
      <c r="J152" s="597">
        <v>55.065212651918998</v>
      </c>
      <c r="K152" s="604">
        <v>0.60133434199299995</v>
      </c>
    </row>
    <row r="153" spans="1:11" ht="14.4" customHeight="1" thickBot="1" x14ac:dyDescent="0.35">
      <c r="A153" s="613" t="s">
        <v>446</v>
      </c>
      <c r="B153" s="591">
        <v>112.99999644077199</v>
      </c>
      <c r="C153" s="591">
        <v>112.69499999999999</v>
      </c>
      <c r="D153" s="592">
        <v>-0.30499644077100002</v>
      </c>
      <c r="E153" s="593">
        <v>0.997300916368</v>
      </c>
      <c r="F153" s="591">
        <v>113.000260946341</v>
      </c>
      <c r="G153" s="592">
        <v>65.916818885365004</v>
      </c>
      <c r="H153" s="594">
        <v>9.4710000000000001</v>
      </c>
      <c r="I153" s="591">
        <v>66.296999999999997</v>
      </c>
      <c r="J153" s="592">
        <v>0.38018111463400001</v>
      </c>
      <c r="K153" s="595">
        <v>0.58669776020599995</v>
      </c>
    </row>
    <row r="154" spans="1:11" ht="14.4" customHeight="1" thickBot="1" x14ac:dyDescent="0.35">
      <c r="A154" s="613" t="s">
        <v>447</v>
      </c>
      <c r="B154" s="591">
        <v>2019.99993637486</v>
      </c>
      <c r="C154" s="591">
        <v>2095.549</v>
      </c>
      <c r="D154" s="592">
        <v>75.549063625141997</v>
      </c>
      <c r="E154" s="593">
        <v>1.037400527725</v>
      </c>
      <c r="F154" s="591">
        <v>2236.0051635045902</v>
      </c>
      <c r="G154" s="592">
        <v>1304.3363453776799</v>
      </c>
      <c r="H154" s="594">
        <v>194.03800000000001</v>
      </c>
      <c r="I154" s="591">
        <v>1358.299</v>
      </c>
      <c r="J154" s="592">
        <v>53.962654622324997</v>
      </c>
      <c r="K154" s="595">
        <v>0.60746684406999996</v>
      </c>
    </row>
    <row r="155" spans="1:11" ht="14.4" customHeight="1" thickBot="1" x14ac:dyDescent="0.35">
      <c r="A155" s="613" t="s">
        <v>448</v>
      </c>
      <c r="B155" s="591">
        <v>61.000508432537998</v>
      </c>
      <c r="C155" s="591">
        <v>61.289000000000001</v>
      </c>
      <c r="D155" s="592">
        <v>0.28849156746100002</v>
      </c>
      <c r="E155" s="593">
        <v>1.0047293305389999</v>
      </c>
      <c r="F155" s="591">
        <v>61.000140864838002</v>
      </c>
      <c r="G155" s="592">
        <v>35.583415504488997</v>
      </c>
      <c r="H155" s="594">
        <v>5.1070000000000002</v>
      </c>
      <c r="I155" s="591">
        <v>35.749000000000002</v>
      </c>
      <c r="J155" s="592">
        <v>0.16558449551000001</v>
      </c>
      <c r="K155" s="595">
        <v>0.586047826991</v>
      </c>
    </row>
    <row r="156" spans="1:11" ht="14.4" customHeight="1" thickBot="1" x14ac:dyDescent="0.35">
      <c r="A156" s="613" t="s">
        <v>449</v>
      </c>
      <c r="B156" s="591">
        <v>2.999962951958</v>
      </c>
      <c r="C156" s="591">
        <v>3.3</v>
      </c>
      <c r="D156" s="592">
        <v>0.30003704804100001</v>
      </c>
      <c r="E156" s="593">
        <v>1.100013584449</v>
      </c>
      <c r="F156" s="591">
        <v>3.0000069277780002</v>
      </c>
      <c r="G156" s="592">
        <v>1.7500040412040001</v>
      </c>
      <c r="H156" s="594">
        <v>0.27500000000000002</v>
      </c>
      <c r="I156" s="591">
        <v>1.925</v>
      </c>
      <c r="J156" s="592">
        <v>0.17499595879499999</v>
      </c>
      <c r="K156" s="595">
        <v>0.64166518489500002</v>
      </c>
    </row>
    <row r="157" spans="1:11" ht="14.4" customHeight="1" thickBot="1" x14ac:dyDescent="0.35">
      <c r="A157" s="613" t="s">
        <v>450</v>
      </c>
      <c r="B157" s="591">
        <v>412.99998699149302</v>
      </c>
      <c r="C157" s="591">
        <v>437.81900000000002</v>
      </c>
      <c r="D157" s="592">
        <v>24.819013008507</v>
      </c>
      <c r="E157" s="593">
        <v>1.0600944643829999</v>
      </c>
      <c r="F157" s="591">
        <v>646.00149178173604</v>
      </c>
      <c r="G157" s="592">
        <v>376.83420353934599</v>
      </c>
      <c r="H157" s="594">
        <v>53.887999999999998</v>
      </c>
      <c r="I157" s="591">
        <v>377.21600000000001</v>
      </c>
      <c r="J157" s="592">
        <v>0.38179646065299999</v>
      </c>
      <c r="K157" s="595">
        <v>0.58392434816100003</v>
      </c>
    </row>
    <row r="158" spans="1:11" ht="14.4" customHeight="1" thickBot="1" x14ac:dyDescent="0.35">
      <c r="A158" s="611" t="s">
        <v>451</v>
      </c>
      <c r="B158" s="591">
        <v>370</v>
      </c>
      <c r="C158" s="591">
        <v>648.37887000000001</v>
      </c>
      <c r="D158" s="592">
        <v>278.37887000000001</v>
      </c>
      <c r="E158" s="593">
        <v>1.7523753243239999</v>
      </c>
      <c r="F158" s="591">
        <v>117.83103164909301</v>
      </c>
      <c r="G158" s="592">
        <v>68.734768461970006</v>
      </c>
      <c r="H158" s="594">
        <v>26.666899999999998</v>
      </c>
      <c r="I158" s="591">
        <v>303.16766000000001</v>
      </c>
      <c r="J158" s="592">
        <v>234.43289153802999</v>
      </c>
      <c r="K158" s="595">
        <v>2.5729016860580001</v>
      </c>
    </row>
    <row r="159" spans="1:11" ht="14.4" customHeight="1" thickBot="1" x14ac:dyDescent="0.35">
      <c r="A159" s="612" t="s">
        <v>452</v>
      </c>
      <c r="B159" s="596">
        <v>370</v>
      </c>
      <c r="C159" s="596">
        <v>491.34156999999999</v>
      </c>
      <c r="D159" s="597">
        <v>121.34157</v>
      </c>
      <c r="E159" s="603">
        <v>1.327950189189</v>
      </c>
      <c r="F159" s="596">
        <v>42</v>
      </c>
      <c r="G159" s="597">
        <v>24.5</v>
      </c>
      <c r="H159" s="599">
        <v>26.666899999999998</v>
      </c>
      <c r="I159" s="596">
        <v>186.44379000000001</v>
      </c>
      <c r="J159" s="597">
        <v>161.94379000000001</v>
      </c>
      <c r="K159" s="604">
        <v>4.4391378571419997</v>
      </c>
    </row>
    <row r="160" spans="1:11" ht="14.4" customHeight="1" thickBot="1" x14ac:dyDescent="0.35">
      <c r="A160" s="613" t="s">
        <v>453</v>
      </c>
      <c r="B160" s="591">
        <v>370</v>
      </c>
      <c r="C160" s="591">
        <v>471.06117</v>
      </c>
      <c r="D160" s="592">
        <v>101.06117</v>
      </c>
      <c r="E160" s="593">
        <v>1.273138297297</v>
      </c>
      <c r="F160" s="591">
        <v>42</v>
      </c>
      <c r="G160" s="592">
        <v>24.5</v>
      </c>
      <c r="H160" s="594">
        <v>26.666899999999998</v>
      </c>
      <c r="I160" s="591">
        <v>183.35744</v>
      </c>
      <c r="J160" s="592">
        <v>158.85744</v>
      </c>
      <c r="K160" s="595">
        <v>4.3656533333330003</v>
      </c>
    </row>
    <row r="161" spans="1:11" ht="14.4" customHeight="1" thickBot="1" x14ac:dyDescent="0.35">
      <c r="A161" s="613" t="s">
        <v>454</v>
      </c>
      <c r="B161" s="591">
        <v>0</v>
      </c>
      <c r="C161" s="591">
        <v>3.1414</v>
      </c>
      <c r="D161" s="592">
        <v>3.1414</v>
      </c>
      <c r="E161" s="601" t="s">
        <v>313</v>
      </c>
      <c r="F161" s="591">
        <v>0</v>
      </c>
      <c r="G161" s="592">
        <v>0</v>
      </c>
      <c r="H161" s="594">
        <v>0</v>
      </c>
      <c r="I161" s="591">
        <v>3.0863499999999999</v>
      </c>
      <c r="J161" s="592">
        <v>3.0863499999999999</v>
      </c>
      <c r="K161" s="602" t="s">
        <v>302</v>
      </c>
    </row>
    <row r="162" spans="1:11" ht="14.4" customHeight="1" thickBot="1" x14ac:dyDescent="0.35">
      <c r="A162" s="613" t="s">
        <v>455</v>
      </c>
      <c r="B162" s="591">
        <v>0</v>
      </c>
      <c r="C162" s="591">
        <v>17.138999999999999</v>
      </c>
      <c r="D162" s="592">
        <v>17.138999999999999</v>
      </c>
      <c r="E162" s="601" t="s">
        <v>302</v>
      </c>
      <c r="F162" s="591">
        <v>0</v>
      </c>
      <c r="G162" s="592">
        <v>0</v>
      </c>
      <c r="H162" s="594">
        <v>0</v>
      </c>
      <c r="I162" s="591">
        <v>0</v>
      </c>
      <c r="J162" s="592">
        <v>0</v>
      </c>
      <c r="K162" s="602" t="s">
        <v>302</v>
      </c>
    </row>
    <row r="163" spans="1:11" ht="14.4" customHeight="1" thickBot="1" x14ac:dyDescent="0.35">
      <c r="A163" s="612" t="s">
        <v>456</v>
      </c>
      <c r="B163" s="596">
        <v>0</v>
      </c>
      <c r="C163" s="596">
        <v>9.7368699999999997</v>
      </c>
      <c r="D163" s="597">
        <v>9.7368699999999997</v>
      </c>
      <c r="E163" s="598" t="s">
        <v>313</v>
      </c>
      <c r="F163" s="596">
        <v>0</v>
      </c>
      <c r="G163" s="597">
        <v>0</v>
      </c>
      <c r="H163" s="599">
        <v>0</v>
      </c>
      <c r="I163" s="596">
        <v>7.2069999999999999</v>
      </c>
      <c r="J163" s="597">
        <v>7.2069999999999999</v>
      </c>
      <c r="K163" s="600" t="s">
        <v>302</v>
      </c>
    </row>
    <row r="164" spans="1:11" ht="14.4" customHeight="1" thickBot="1" x14ac:dyDescent="0.35">
      <c r="A164" s="613" t="s">
        <v>457</v>
      </c>
      <c r="B164" s="591">
        <v>0</v>
      </c>
      <c r="C164" s="591">
        <v>0</v>
      </c>
      <c r="D164" s="592">
        <v>0</v>
      </c>
      <c r="E164" s="593">
        <v>1</v>
      </c>
      <c r="F164" s="591">
        <v>0</v>
      </c>
      <c r="G164" s="592">
        <v>0</v>
      </c>
      <c r="H164" s="594">
        <v>0</v>
      </c>
      <c r="I164" s="591">
        <v>3.06</v>
      </c>
      <c r="J164" s="592">
        <v>3.06</v>
      </c>
      <c r="K164" s="602" t="s">
        <v>313</v>
      </c>
    </row>
    <row r="165" spans="1:11" ht="14.4" customHeight="1" thickBot="1" x14ac:dyDescent="0.35">
      <c r="A165" s="613" t="s">
        <v>458</v>
      </c>
      <c r="B165" s="591">
        <v>0</v>
      </c>
      <c r="C165" s="591">
        <v>5.4408700000000003</v>
      </c>
      <c r="D165" s="592">
        <v>5.4408700000000003</v>
      </c>
      <c r="E165" s="601" t="s">
        <v>313</v>
      </c>
      <c r="F165" s="591">
        <v>0</v>
      </c>
      <c r="G165" s="592">
        <v>0</v>
      </c>
      <c r="H165" s="594">
        <v>0</v>
      </c>
      <c r="I165" s="591">
        <v>4.1470000000000002</v>
      </c>
      <c r="J165" s="592">
        <v>4.1470000000000002</v>
      </c>
      <c r="K165" s="602" t="s">
        <v>302</v>
      </c>
    </row>
    <row r="166" spans="1:11" ht="14.4" customHeight="1" thickBot="1" x14ac:dyDescent="0.35">
      <c r="A166" s="613" t="s">
        <v>459</v>
      </c>
      <c r="B166" s="591">
        <v>0</v>
      </c>
      <c r="C166" s="591">
        <v>4.2960000000000003</v>
      </c>
      <c r="D166" s="592">
        <v>4.2960000000000003</v>
      </c>
      <c r="E166" s="601" t="s">
        <v>313</v>
      </c>
      <c r="F166" s="591">
        <v>0</v>
      </c>
      <c r="G166" s="592">
        <v>0</v>
      </c>
      <c r="H166" s="594">
        <v>0</v>
      </c>
      <c r="I166" s="591">
        <v>0</v>
      </c>
      <c r="J166" s="592">
        <v>0</v>
      </c>
      <c r="K166" s="602" t="s">
        <v>302</v>
      </c>
    </row>
    <row r="167" spans="1:11" ht="14.4" customHeight="1" thickBot="1" x14ac:dyDescent="0.35">
      <c r="A167" s="612" t="s">
        <v>460</v>
      </c>
      <c r="B167" s="596">
        <v>0</v>
      </c>
      <c r="C167" s="596">
        <v>51.206400000000002</v>
      </c>
      <c r="D167" s="597">
        <v>51.206400000000002</v>
      </c>
      <c r="E167" s="598" t="s">
        <v>302</v>
      </c>
      <c r="F167" s="596">
        <v>75.831031649091997</v>
      </c>
      <c r="G167" s="597">
        <v>44.234768461969999</v>
      </c>
      <c r="H167" s="599">
        <v>0</v>
      </c>
      <c r="I167" s="596">
        <v>8.4527999999999999</v>
      </c>
      <c r="J167" s="597">
        <v>-35.781968461970003</v>
      </c>
      <c r="K167" s="604">
        <v>0.111468877795</v>
      </c>
    </row>
    <row r="168" spans="1:11" ht="14.4" customHeight="1" thickBot="1" x14ac:dyDescent="0.35">
      <c r="A168" s="613" t="s">
        <v>461</v>
      </c>
      <c r="B168" s="591">
        <v>0</v>
      </c>
      <c r="C168" s="591">
        <v>30.6614</v>
      </c>
      <c r="D168" s="592">
        <v>30.6614</v>
      </c>
      <c r="E168" s="601" t="s">
        <v>302</v>
      </c>
      <c r="F168" s="591">
        <v>75.831031649091997</v>
      </c>
      <c r="G168" s="592">
        <v>44.234768461969999</v>
      </c>
      <c r="H168" s="594">
        <v>0</v>
      </c>
      <c r="I168" s="591">
        <v>4.4527999999999999</v>
      </c>
      <c r="J168" s="592">
        <v>-39.781968461970003</v>
      </c>
      <c r="K168" s="595">
        <v>5.8720024021000003E-2</v>
      </c>
    </row>
    <row r="169" spans="1:11" ht="14.4" customHeight="1" thickBot="1" x14ac:dyDescent="0.35">
      <c r="A169" s="613" t="s">
        <v>462</v>
      </c>
      <c r="B169" s="591">
        <v>0</v>
      </c>
      <c r="C169" s="591">
        <v>20.545000000000002</v>
      </c>
      <c r="D169" s="592">
        <v>20.545000000000002</v>
      </c>
      <c r="E169" s="601" t="s">
        <v>313</v>
      </c>
      <c r="F169" s="591">
        <v>0</v>
      </c>
      <c r="G169" s="592">
        <v>0</v>
      </c>
      <c r="H169" s="594">
        <v>0</v>
      </c>
      <c r="I169" s="591">
        <v>4</v>
      </c>
      <c r="J169" s="592">
        <v>4</v>
      </c>
      <c r="K169" s="602" t="s">
        <v>302</v>
      </c>
    </row>
    <row r="170" spans="1:11" ht="14.4" customHeight="1" thickBot="1" x14ac:dyDescent="0.35">
      <c r="A170" s="612" t="s">
        <v>463</v>
      </c>
      <c r="B170" s="596">
        <v>0</v>
      </c>
      <c r="C170" s="596">
        <v>96.094030000000004</v>
      </c>
      <c r="D170" s="597">
        <v>96.094030000000004</v>
      </c>
      <c r="E170" s="598" t="s">
        <v>302</v>
      </c>
      <c r="F170" s="596">
        <v>0</v>
      </c>
      <c r="G170" s="597">
        <v>0</v>
      </c>
      <c r="H170" s="599">
        <v>0</v>
      </c>
      <c r="I170" s="596">
        <v>55.411999999999999</v>
      </c>
      <c r="J170" s="597">
        <v>55.411999999999999</v>
      </c>
      <c r="K170" s="600" t="s">
        <v>302</v>
      </c>
    </row>
    <row r="171" spans="1:11" ht="14.4" customHeight="1" thickBot="1" x14ac:dyDescent="0.35">
      <c r="A171" s="613" t="s">
        <v>464</v>
      </c>
      <c r="B171" s="591">
        <v>0</v>
      </c>
      <c r="C171" s="591">
        <v>96.094030000000004</v>
      </c>
      <c r="D171" s="592">
        <v>96.094030000000004</v>
      </c>
      <c r="E171" s="601" t="s">
        <v>302</v>
      </c>
      <c r="F171" s="591">
        <v>0</v>
      </c>
      <c r="G171" s="592">
        <v>0</v>
      </c>
      <c r="H171" s="594">
        <v>0</v>
      </c>
      <c r="I171" s="591">
        <v>55.411999999999999</v>
      </c>
      <c r="J171" s="592">
        <v>55.411999999999999</v>
      </c>
      <c r="K171" s="602" t="s">
        <v>302</v>
      </c>
    </row>
    <row r="172" spans="1:11" ht="14.4" customHeight="1" thickBot="1" x14ac:dyDescent="0.35">
      <c r="A172" s="612" t="s">
        <v>465</v>
      </c>
      <c r="B172" s="596">
        <v>0</v>
      </c>
      <c r="C172" s="596">
        <v>0</v>
      </c>
      <c r="D172" s="597">
        <v>0</v>
      </c>
      <c r="E172" s="598" t="s">
        <v>302</v>
      </c>
      <c r="F172" s="596">
        <v>0</v>
      </c>
      <c r="G172" s="597">
        <v>0</v>
      </c>
      <c r="H172" s="599">
        <v>0</v>
      </c>
      <c r="I172" s="596">
        <v>45.652070000000002</v>
      </c>
      <c r="J172" s="597">
        <v>45.652070000000002</v>
      </c>
      <c r="K172" s="600" t="s">
        <v>302</v>
      </c>
    </row>
    <row r="173" spans="1:11" ht="14.4" customHeight="1" thickBot="1" x14ac:dyDescent="0.35">
      <c r="A173" s="613" t="s">
        <v>466</v>
      </c>
      <c r="B173" s="591">
        <v>0</v>
      </c>
      <c r="C173" s="591">
        <v>0</v>
      </c>
      <c r="D173" s="592">
        <v>0</v>
      </c>
      <c r="E173" s="601" t="s">
        <v>302</v>
      </c>
      <c r="F173" s="591">
        <v>0</v>
      </c>
      <c r="G173" s="592">
        <v>0</v>
      </c>
      <c r="H173" s="594">
        <v>0</v>
      </c>
      <c r="I173" s="591">
        <v>28.15307</v>
      </c>
      <c r="J173" s="592">
        <v>28.15307</v>
      </c>
      <c r="K173" s="602" t="s">
        <v>302</v>
      </c>
    </row>
    <row r="174" spans="1:11" ht="14.4" customHeight="1" thickBot="1" x14ac:dyDescent="0.35">
      <c r="A174" s="613" t="s">
        <v>467</v>
      </c>
      <c r="B174" s="591">
        <v>0</v>
      </c>
      <c r="C174" s="591">
        <v>0</v>
      </c>
      <c r="D174" s="592">
        <v>0</v>
      </c>
      <c r="E174" s="601" t="s">
        <v>302</v>
      </c>
      <c r="F174" s="591">
        <v>0</v>
      </c>
      <c r="G174" s="592">
        <v>0</v>
      </c>
      <c r="H174" s="594">
        <v>0</v>
      </c>
      <c r="I174" s="591">
        <v>17.498999999999999</v>
      </c>
      <c r="J174" s="592">
        <v>17.498999999999999</v>
      </c>
      <c r="K174" s="602" t="s">
        <v>313</v>
      </c>
    </row>
    <row r="175" spans="1:11" ht="14.4" customHeight="1" thickBot="1" x14ac:dyDescent="0.35">
      <c r="A175" s="609" t="s">
        <v>468</v>
      </c>
      <c r="B175" s="591">
        <v>68585.008519716503</v>
      </c>
      <c r="C175" s="591">
        <v>82610.70624</v>
      </c>
      <c r="D175" s="592">
        <v>14025.697720283501</v>
      </c>
      <c r="E175" s="593">
        <v>1.2045009255370001</v>
      </c>
      <c r="F175" s="591">
        <v>78620.302982781097</v>
      </c>
      <c r="G175" s="592">
        <v>45861.843406622298</v>
      </c>
      <c r="H175" s="594">
        <v>6234.7558799999997</v>
      </c>
      <c r="I175" s="591">
        <v>44731.995869999999</v>
      </c>
      <c r="J175" s="592">
        <v>-1129.8475366222799</v>
      </c>
      <c r="K175" s="595">
        <v>0.56896239486300004</v>
      </c>
    </row>
    <row r="176" spans="1:11" ht="14.4" customHeight="1" thickBot="1" x14ac:dyDescent="0.35">
      <c r="A176" s="610" t="s">
        <v>469</v>
      </c>
      <c r="B176" s="591">
        <v>68492.585828731797</v>
      </c>
      <c r="C176" s="591">
        <v>82285.5965</v>
      </c>
      <c r="D176" s="592">
        <v>13793.010671268201</v>
      </c>
      <c r="E176" s="593">
        <v>1.201379616558</v>
      </c>
      <c r="F176" s="591">
        <v>78462.894146931605</v>
      </c>
      <c r="G176" s="592">
        <v>45770.021585710099</v>
      </c>
      <c r="H176" s="594">
        <v>6221.9352699999999</v>
      </c>
      <c r="I176" s="591">
        <v>44455.627589999996</v>
      </c>
      <c r="J176" s="592">
        <v>-1314.39399571012</v>
      </c>
      <c r="K176" s="595">
        <v>0.56658154243900005</v>
      </c>
    </row>
    <row r="177" spans="1:11" ht="14.4" customHeight="1" thickBot="1" x14ac:dyDescent="0.35">
      <c r="A177" s="611" t="s">
        <v>470</v>
      </c>
      <c r="B177" s="591">
        <v>68316.585828731797</v>
      </c>
      <c r="C177" s="591">
        <v>82138.241110000003</v>
      </c>
      <c r="D177" s="592">
        <v>13821.6552812682</v>
      </c>
      <c r="E177" s="593">
        <v>1.2023177111909999</v>
      </c>
      <c r="F177" s="591">
        <v>78296.894130287095</v>
      </c>
      <c r="G177" s="592">
        <v>45673.188242667398</v>
      </c>
      <c r="H177" s="594">
        <v>6203.86438</v>
      </c>
      <c r="I177" s="591">
        <v>44375.952729999997</v>
      </c>
      <c r="J177" s="592">
        <v>-1297.2355126674399</v>
      </c>
      <c r="K177" s="595">
        <v>0.56676517278100003</v>
      </c>
    </row>
    <row r="178" spans="1:11" ht="14.4" customHeight="1" thickBot="1" x14ac:dyDescent="0.35">
      <c r="A178" s="612" t="s">
        <v>471</v>
      </c>
      <c r="B178" s="596">
        <v>1.58582871395</v>
      </c>
      <c r="C178" s="596">
        <v>17.858740000000001</v>
      </c>
      <c r="D178" s="597">
        <v>16.272911286048998</v>
      </c>
      <c r="E178" s="603">
        <v>11.261455819846001</v>
      </c>
      <c r="F178" s="596">
        <v>14.886281056014999</v>
      </c>
      <c r="G178" s="597">
        <v>8.6836639493419998</v>
      </c>
      <c r="H178" s="599">
        <v>6.1569599999999998</v>
      </c>
      <c r="I178" s="596">
        <v>32.463990000000003</v>
      </c>
      <c r="J178" s="597">
        <v>23.780326050656999</v>
      </c>
      <c r="K178" s="604">
        <v>2.1807992122300002</v>
      </c>
    </row>
    <row r="179" spans="1:11" ht="14.4" customHeight="1" thickBot="1" x14ac:dyDescent="0.35">
      <c r="A179" s="613" t="s">
        <v>472</v>
      </c>
      <c r="B179" s="591">
        <v>0</v>
      </c>
      <c r="C179" s="591">
        <v>0.19173000000000001</v>
      </c>
      <c r="D179" s="592">
        <v>0.19173000000000001</v>
      </c>
      <c r="E179" s="601" t="s">
        <v>313</v>
      </c>
      <c r="F179" s="591">
        <v>0.19687601368900001</v>
      </c>
      <c r="G179" s="592">
        <v>0.114844341318</v>
      </c>
      <c r="H179" s="594">
        <v>0</v>
      </c>
      <c r="I179" s="591">
        <v>0</v>
      </c>
      <c r="J179" s="592">
        <v>-0.114844341318</v>
      </c>
      <c r="K179" s="595">
        <v>0</v>
      </c>
    </row>
    <row r="180" spans="1:11" ht="14.4" customHeight="1" thickBot="1" x14ac:dyDescent="0.35">
      <c r="A180" s="613" t="s">
        <v>473</v>
      </c>
      <c r="B180" s="591">
        <v>0</v>
      </c>
      <c r="C180" s="591">
        <v>17.53314</v>
      </c>
      <c r="D180" s="592">
        <v>17.53314</v>
      </c>
      <c r="E180" s="601" t="s">
        <v>302</v>
      </c>
      <c r="F180" s="591">
        <v>14.428127646448999</v>
      </c>
      <c r="G180" s="592">
        <v>8.4164077937619997</v>
      </c>
      <c r="H180" s="594">
        <v>6.1569599999999998</v>
      </c>
      <c r="I180" s="591">
        <v>31.685790000000001</v>
      </c>
      <c r="J180" s="592">
        <v>23.269382206237999</v>
      </c>
      <c r="K180" s="595">
        <v>2.1961123977020001</v>
      </c>
    </row>
    <row r="181" spans="1:11" ht="14.4" customHeight="1" thickBot="1" x14ac:dyDescent="0.35">
      <c r="A181" s="613" t="s">
        <v>474</v>
      </c>
      <c r="B181" s="591">
        <v>1.58582871395</v>
      </c>
      <c r="C181" s="591">
        <v>0.13386999999999999</v>
      </c>
      <c r="D181" s="592">
        <v>-1.4519587139500001</v>
      </c>
      <c r="E181" s="593">
        <v>8.4416430868000006E-2</v>
      </c>
      <c r="F181" s="591">
        <v>0.261277395877</v>
      </c>
      <c r="G181" s="592">
        <v>0.15241181426100001</v>
      </c>
      <c r="H181" s="594">
        <v>0</v>
      </c>
      <c r="I181" s="591">
        <v>0.7782</v>
      </c>
      <c r="J181" s="592">
        <v>0.62578818573799999</v>
      </c>
      <c r="K181" s="595">
        <v>2.9784436475540002</v>
      </c>
    </row>
    <row r="182" spans="1:11" ht="14.4" customHeight="1" thickBot="1" x14ac:dyDescent="0.35">
      <c r="A182" s="612" t="s">
        <v>475</v>
      </c>
      <c r="B182" s="596">
        <v>463.00000000012102</v>
      </c>
      <c r="C182" s="596">
        <v>35.17812</v>
      </c>
      <c r="D182" s="597">
        <v>-427.82188000012098</v>
      </c>
      <c r="E182" s="603">
        <v>7.5978660907000006E-2</v>
      </c>
      <c r="F182" s="596">
        <v>4.0000004010739998</v>
      </c>
      <c r="G182" s="597">
        <v>2.3333335672929998</v>
      </c>
      <c r="H182" s="599">
        <v>0</v>
      </c>
      <c r="I182" s="596">
        <v>178.11100999999999</v>
      </c>
      <c r="J182" s="597">
        <v>175.77767643270701</v>
      </c>
      <c r="K182" s="604">
        <v>44.527748035262</v>
      </c>
    </row>
    <row r="183" spans="1:11" ht="14.4" customHeight="1" thickBot="1" x14ac:dyDescent="0.35">
      <c r="A183" s="613" t="s">
        <v>476</v>
      </c>
      <c r="B183" s="591">
        <v>463.00000000012102</v>
      </c>
      <c r="C183" s="591">
        <v>27.450320000000001</v>
      </c>
      <c r="D183" s="592">
        <v>-435.54968000012099</v>
      </c>
      <c r="E183" s="593">
        <v>5.9287948164000001E-2</v>
      </c>
      <c r="F183" s="591">
        <v>4.0000004010739998</v>
      </c>
      <c r="G183" s="592">
        <v>2.3333335672929998</v>
      </c>
      <c r="H183" s="594">
        <v>0</v>
      </c>
      <c r="I183" s="591">
        <v>11.33581</v>
      </c>
      <c r="J183" s="592">
        <v>9.0024764327060005</v>
      </c>
      <c r="K183" s="595">
        <v>2.8339522158429999</v>
      </c>
    </row>
    <row r="184" spans="1:11" ht="14.4" customHeight="1" thickBot="1" x14ac:dyDescent="0.35">
      <c r="A184" s="613" t="s">
        <v>477</v>
      </c>
      <c r="B184" s="591">
        <v>0</v>
      </c>
      <c r="C184" s="591">
        <v>7.7278000000000002</v>
      </c>
      <c r="D184" s="592">
        <v>7.7278000000000002</v>
      </c>
      <c r="E184" s="601" t="s">
        <v>302</v>
      </c>
      <c r="F184" s="591">
        <v>0</v>
      </c>
      <c r="G184" s="592">
        <v>0</v>
      </c>
      <c r="H184" s="594">
        <v>0</v>
      </c>
      <c r="I184" s="591">
        <v>166.77520000000001</v>
      </c>
      <c r="J184" s="592">
        <v>166.77520000000001</v>
      </c>
      <c r="K184" s="602" t="s">
        <v>302</v>
      </c>
    </row>
    <row r="185" spans="1:11" ht="14.4" customHeight="1" thickBot="1" x14ac:dyDescent="0.35">
      <c r="A185" s="612" t="s">
        <v>478</v>
      </c>
      <c r="B185" s="596">
        <v>786.00000000020498</v>
      </c>
      <c r="C185" s="596">
        <v>0</v>
      </c>
      <c r="D185" s="597">
        <v>-786.00000000020498</v>
      </c>
      <c r="E185" s="603">
        <v>0</v>
      </c>
      <c r="F185" s="596">
        <v>0</v>
      </c>
      <c r="G185" s="597">
        <v>0</v>
      </c>
      <c r="H185" s="599">
        <v>4.0819999999999999</v>
      </c>
      <c r="I185" s="596">
        <v>10.202</v>
      </c>
      <c r="J185" s="597">
        <v>10.202</v>
      </c>
      <c r="K185" s="600" t="s">
        <v>302</v>
      </c>
    </row>
    <row r="186" spans="1:11" ht="14.4" customHeight="1" thickBot="1" x14ac:dyDescent="0.35">
      <c r="A186" s="613" t="s">
        <v>479</v>
      </c>
      <c r="B186" s="591">
        <v>786.00000000020498</v>
      </c>
      <c r="C186" s="591">
        <v>0</v>
      </c>
      <c r="D186" s="592">
        <v>-786.00000000020498</v>
      </c>
      <c r="E186" s="593">
        <v>0</v>
      </c>
      <c r="F186" s="591">
        <v>0</v>
      </c>
      <c r="G186" s="592">
        <v>0</v>
      </c>
      <c r="H186" s="594">
        <v>0</v>
      </c>
      <c r="I186" s="591">
        <v>0</v>
      </c>
      <c r="J186" s="592">
        <v>0</v>
      </c>
      <c r="K186" s="595">
        <v>7</v>
      </c>
    </row>
    <row r="187" spans="1:11" ht="14.4" customHeight="1" thickBot="1" x14ac:dyDescent="0.35">
      <c r="A187" s="613" t="s">
        <v>480</v>
      </c>
      <c r="B187" s="591">
        <v>0</v>
      </c>
      <c r="C187" s="591">
        <v>0</v>
      </c>
      <c r="D187" s="592">
        <v>0</v>
      </c>
      <c r="E187" s="593">
        <v>1</v>
      </c>
      <c r="F187" s="591">
        <v>0</v>
      </c>
      <c r="G187" s="592">
        <v>0</v>
      </c>
      <c r="H187" s="594">
        <v>4.0819999999999999</v>
      </c>
      <c r="I187" s="591">
        <v>10.202</v>
      </c>
      <c r="J187" s="592">
        <v>10.202</v>
      </c>
      <c r="K187" s="602" t="s">
        <v>302</v>
      </c>
    </row>
    <row r="188" spans="1:11" ht="14.4" customHeight="1" thickBot="1" x14ac:dyDescent="0.35">
      <c r="A188" s="612" t="s">
        <v>481</v>
      </c>
      <c r="B188" s="596">
        <v>67066.000000017506</v>
      </c>
      <c r="C188" s="596">
        <v>78351.318499999994</v>
      </c>
      <c r="D188" s="597">
        <v>11285.318499982501</v>
      </c>
      <c r="E188" s="603">
        <v>1.168271829242</v>
      </c>
      <c r="F188" s="596">
        <v>78278.007848830006</v>
      </c>
      <c r="G188" s="597">
        <v>45662.171245150799</v>
      </c>
      <c r="H188" s="599">
        <v>6193.6254200000003</v>
      </c>
      <c r="I188" s="596">
        <v>42704.218090000002</v>
      </c>
      <c r="J188" s="597">
        <v>-2957.9531551508098</v>
      </c>
      <c r="K188" s="604">
        <v>0.54554554035699998</v>
      </c>
    </row>
    <row r="189" spans="1:11" ht="14.4" customHeight="1" thickBot="1" x14ac:dyDescent="0.35">
      <c r="A189" s="613" t="s">
        <v>482</v>
      </c>
      <c r="B189" s="591">
        <v>17667.000000004598</v>
      </c>
      <c r="C189" s="591">
        <v>23669.16862</v>
      </c>
      <c r="D189" s="592">
        <v>6002.1686199953801</v>
      </c>
      <c r="E189" s="593">
        <v>1.339738983415</v>
      </c>
      <c r="F189" s="591">
        <v>25886.002595554499</v>
      </c>
      <c r="G189" s="592">
        <v>15100.1681807401</v>
      </c>
      <c r="H189" s="594">
        <v>1759.29135</v>
      </c>
      <c r="I189" s="591">
        <v>11597.30811</v>
      </c>
      <c r="J189" s="592">
        <v>-3502.8600707401001</v>
      </c>
      <c r="K189" s="595">
        <v>0.44801463907700001</v>
      </c>
    </row>
    <row r="190" spans="1:11" ht="14.4" customHeight="1" thickBot="1" x14ac:dyDescent="0.35">
      <c r="A190" s="613" t="s">
        <v>483</v>
      </c>
      <c r="B190" s="591">
        <v>49399.0000000129</v>
      </c>
      <c r="C190" s="591">
        <v>54682.149879999997</v>
      </c>
      <c r="D190" s="592">
        <v>5283.1498799870897</v>
      </c>
      <c r="E190" s="593">
        <v>1.1069485187949999</v>
      </c>
      <c r="F190" s="591">
        <v>52392.0052532755</v>
      </c>
      <c r="G190" s="592">
        <v>30562.003064410699</v>
      </c>
      <c r="H190" s="594">
        <v>4434.3340699999999</v>
      </c>
      <c r="I190" s="591">
        <v>29947.30935</v>
      </c>
      <c r="J190" s="592">
        <v>-614.69371441069995</v>
      </c>
      <c r="K190" s="595">
        <v>0.57160074719800003</v>
      </c>
    </row>
    <row r="191" spans="1:11" ht="14.4" customHeight="1" thickBot="1" x14ac:dyDescent="0.35">
      <c r="A191" s="613" t="s">
        <v>484</v>
      </c>
      <c r="B191" s="591">
        <v>0</v>
      </c>
      <c r="C191" s="591">
        <v>0</v>
      </c>
      <c r="D191" s="592">
        <v>0</v>
      </c>
      <c r="E191" s="593">
        <v>1</v>
      </c>
      <c r="F191" s="591">
        <v>0</v>
      </c>
      <c r="G191" s="592">
        <v>0</v>
      </c>
      <c r="H191" s="594">
        <v>0</v>
      </c>
      <c r="I191" s="591">
        <v>687.89868999999999</v>
      </c>
      <c r="J191" s="592">
        <v>687.89868999999999</v>
      </c>
      <c r="K191" s="602" t="s">
        <v>313</v>
      </c>
    </row>
    <row r="192" spans="1:11" ht="14.4" customHeight="1" thickBot="1" x14ac:dyDescent="0.35">
      <c r="A192" s="613" t="s">
        <v>485</v>
      </c>
      <c r="B192" s="591">
        <v>0</v>
      </c>
      <c r="C192" s="591">
        <v>0</v>
      </c>
      <c r="D192" s="592">
        <v>0</v>
      </c>
      <c r="E192" s="593">
        <v>1</v>
      </c>
      <c r="F192" s="591">
        <v>0</v>
      </c>
      <c r="G192" s="592">
        <v>0</v>
      </c>
      <c r="H192" s="594">
        <v>0</v>
      </c>
      <c r="I192" s="591">
        <v>471.70193999999998</v>
      </c>
      <c r="J192" s="592">
        <v>471.70193999999998</v>
      </c>
      <c r="K192" s="602" t="s">
        <v>313</v>
      </c>
    </row>
    <row r="193" spans="1:11" ht="14.4" customHeight="1" thickBot="1" x14ac:dyDescent="0.35">
      <c r="A193" s="612" t="s">
        <v>486</v>
      </c>
      <c r="B193" s="596">
        <v>0</v>
      </c>
      <c r="C193" s="596">
        <v>3733.8857499999999</v>
      </c>
      <c r="D193" s="597">
        <v>3733.8857499999999</v>
      </c>
      <c r="E193" s="598" t="s">
        <v>302</v>
      </c>
      <c r="F193" s="596">
        <v>0</v>
      </c>
      <c r="G193" s="597">
        <v>0</v>
      </c>
      <c r="H193" s="599">
        <v>0</v>
      </c>
      <c r="I193" s="596">
        <v>1450.9576400000001</v>
      </c>
      <c r="J193" s="597">
        <v>1450.9576400000001</v>
      </c>
      <c r="K193" s="600" t="s">
        <v>302</v>
      </c>
    </row>
    <row r="194" spans="1:11" ht="14.4" customHeight="1" thickBot="1" x14ac:dyDescent="0.35">
      <c r="A194" s="613" t="s">
        <v>487</v>
      </c>
      <c r="B194" s="591">
        <v>0</v>
      </c>
      <c r="C194" s="591">
        <v>445.0548</v>
      </c>
      <c r="D194" s="592">
        <v>445.0548</v>
      </c>
      <c r="E194" s="601" t="s">
        <v>302</v>
      </c>
      <c r="F194" s="591">
        <v>0</v>
      </c>
      <c r="G194" s="592">
        <v>0</v>
      </c>
      <c r="H194" s="594">
        <v>0</v>
      </c>
      <c r="I194" s="591">
        <v>447.44369</v>
      </c>
      <c r="J194" s="592">
        <v>447.44369</v>
      </c>
      <c r="K194" s="602" t="s">
        <v>302</v>
      </c>
    </row>
    <row r="195" spans="1:11" ht="14.4" customHeight="1" thickBot="1" x14ac:dyDescent="0.35">
      <c r="A195" s="613" t="s">
        <v>488</v>
      </c>
      <c r="B195" s="591">
        <v>0</v>
      </c>
      <c r="C195" s="591">
        <v>3288.83095</v>
      </c>
      <c r="D195" s="592">
        <v>3288.83095</v>
      </c>
      <c r="E195" s="601" t="s">
        <v>302</v>
      </c>
      <c r="F195" s="591">
        <v>0</v>
      </c>
      <c r="G195" s="592">
        <v>0</v>
      </c>
      <c r="H195" s="594">
        <v>0</v>
      </c>
      <c r="I195" s="591">
        <v>1003.51395</v>
      </c>
      <c r="J195" s="592">
        <v>1003.51395</v>
      </c>
      <c r="K195" s="602" t="s">
        <v>302</v>
      </c>
    </row>
    <row r="196" spans="1:11" ht="14.4" customHeight="1" thickBot="1" x14ac:dyDescent="0.35">
      <c r="A196" s="611" t="s">
        <v>489</v>
      </c>
      <c r="B196" s="591">
        <v>176.00000000004599</v>
      </c>
      <c r="C196" s="591">
        <v>147.35539</v>
      </c>
      <c r="D196" s="592">
        <v>-28.644610000046001</v>
      </c>
      <c r="E196" s="593">
        <v>0.83724653409000005</v>
      </c>
      <c r="F196" s="591">
        <v>166.000016644597</v>
      </c>
      <c r="G196" s="592">
        <v>96.833343042680994</v>
      </c>
      <c r="H196" s="594">
        <v>18.070889999999999</v>
      </c>
      <c r="I196" s="591">
        <v>79.674859999999995</v>
      </c>
      <c r="J196" s="592">
        <v>-17.158483042680999</v>
      </c>
      <c r="K196" s="595">
        <v>0.47996898801799998</v>
      </c>
    </row>
    <row r="197" spans="1:11" ht="14.4" customHeight="1" thickBot="1" x14ac:dyDescent="0.35">
      <c r="A197" s="612" t="s">
        <v>490</v>
      </c>
      <c r="B197" s="596">
        <v>176.00000000004599</v>
      </c>
      <c r="C197" s="596">
        <v>147.35539</v>
      </c>
      <c r="D197" s="597">
        <v>-28.644610000046001</v>
      </c>
      <c r="E197" s="603">
        <v>0.83724653409000005</v>
      </c>
      <c r="F197" s="596">
        <v>166.000016644597</v>
      </c>
      <c r="G197" s="597">
        <v>96.833343042680994</v>
      </c>
      <c r="H197" s="599">
        <v>18.070889999999999</v>
      </c>
      <c r="I197" s="596">
        <v>79.674859999999995</v>
      </c>
      <c r="J197" s="597">
        <v>-17.158483042680999</v>
      </c>
      <c r="K197" s="604">
        <v>0.47996898801799998</v>
      </c>
    </row>
    <row r="198" spans="1:11" ht="14.4" customHeight="1" thickBot="1" x14ac:dyDescent="0.35">
      <c r="A198" s="613" t="s">
        <v>491</v>
      </c>
      <c r="B198" s="591">
        <v>176.00000000004599</v>
      </c>
      <c r="C198" s="591">
        <v>147.35539</v>
      </c>
      <c r="D198" s="592">
        <v>-28.644610000046001</v>
      </c>
      <c r="E198" s="593">
        <v>0.83724653409000005</v>
      </c>
      <c r="F198" s="591">
        <v>166.000016644597</v>
      </c>
      <c r="G198" s="592">
        <v>96.833343042680994</v>
      </c>
      <c r="H198" s="594">
        <v>18.070889999999999</v>
      </c>
      <c r="I198" s="591">
        <v>79.674859999999995</v>
      </c>
      <c r="J198" s="592">
        <v>-17.158483042680999</v>
      </c>
      <c r="K198" s="595">
        <v>0.47996898801799998</v>
      </c>
    </row>
    <row r="199" spans="1:11" ht="14.4" customHeight="1" thickBot="1" x14ac:dyDescent="0.35">
      <c r="A199" s="610" t="s">
        <v>492</v>
      </c>
      <c r="B199" s="591">
        <v>63</v>
      </c>
      <c r="C199" s="591">
        <v>170.91874000000001</v>
      </c>
      <c r="D199" s="592">
        <v>107.91874</v>
      </c>
      <c r="E199" s="593">
        <v>2.7129958730150001</v>
      </c>
      <c r="F199" s="591">
        <v>54.6820090736</v>
      </c>
      <c r="G199" s="592">
        <v>31.897838626266001</v>
      </c>
      <c r="H199" s="594">
        <v>10.758609999999999</v>
      </c>
      <c r="I199" s="591">
        <v>96.396199999999993</v>
      </c>
      <c r="J199" s="592">
        <v>64.498361373733005</v>
      </c>
      <c r="K199" s="595">
        <v>1.762850371321</v>
      </c>
    </row>
    <row r="200" spans="1:11" ht="14.4" customHeight="1" thickBot="1" x14ac:dyDescent="0.35">
      <c r="A200" s="611" t="s">
        <v>493</v>
      </c>
      <c r="B200" s="591">
        <v>0</v>
      </c>
      <c r="C200" s="591">
        <v>0</v>
      </c>
      <c r="D200" s="592">
        <v>0</v>
      </c>
      <c r="E200" s="601" t="s">
        <v>302</v>
      </c>
      <c r="F200" s="591">
        <v>0</v>
      </c>
      <c r="G200" s="592">
        <v>0</v>
      </c>
      <c r="H200" s="594">
        <v>0</v>
      </c>
      <c r="I200" s="591">
        <v>35.649000000000001</v>
      </c>
      <c r="J200" s="592">
        <v>35.649000000000001</v>
      </c>
      <c r="K200" s="602" t="s">
        <v>313</v>
      </c>
    </row>
    <row r="201" spans="1:11" ht="14.4" customHeight="1" thickBot="1" x14ac:dyDescent="0.35">
      <c r="A201" s="612" t="s">
        <v>494</v>
      </c>
      <c r="B201" s="596">
        <v>0</v>
      </c>
      <c r="C201" s="596">
        <v>0</v>
      </c>
      <c r="D201" s="597">
        <v>0</v>
      </c>
      <c r="E201" s="598" t="s">
        <v>302</v>
      </c>
      <c r="F201" s="596">
        <v>0</v>
      </c>
      <c r="G201" s="597">
        <v>0</v>
      </c>
      <c r="H201" s="599">
        <v>0</v>
      </c>
      <c r="I201" s="596">
        <v>35.649000000000001</v>
      </c>
      <c r="J201" s="597">
        <v>35.649000000000001</v>
      </c>
      <c r="K201" s="600" t="s">
        <v>313</v>
      </c>
    </row>
    <row r="202" spans="1:11" ht="14.4" customHeight="1" thickBot="1" x14ac:dyDescent="0.35">
      <c r="A202" s="613" t="s">
        <v>495</v>
      </c>
      <c r="B202" s="591">
        <v>0</v>
      </c>
      <c r="C202" s="591">
        <v>0</v>
      </c>
      <c r="D202" s="592">
        <v>0</v>
      </c>
      <c r="E202" s="601" t="s">
        <v>302</v>
      </c>
      <c r="F202" s="591">
        <v>0</v>
      </c>
      <c r="G202" s="592">
        <v>0</v>
      </c>
      <c r="H202" s="594">
        <v>0</v>
      </c>
      <c r="I202" s="591">
        <v>35.649000000000001</v>
      </c>
      <c r="J202" s="592">
        <v>35.649000000000001</v>
      </c>
      <c r="K202" s="602" t="s">
        <v>313</v>
      </c>
    </row>
    <row r="203" spans="1:11" ht="14.4" customHeight="1" thickBot="1" x14ac:dyDescent="0.35">
      <c r="A203" s="616" t="s">
        <v>496</v>
      </c>
      <c r="B203" s="596">
        <v>63</v>
      </c>
      <c r="C203" s="596">
        <v>170.91874000000001</v>
      </c>
      <c r="D203" s="597">
        <v>107.91874</v>
      </c>
      <c r="E203" s="603">
        <v>2.7129958730150001</v>
      </c>
      <c r="F203" s="596">
        <v>54.6820090736</v>
      </c>
      <c r="G203" s="597">
        <v>31.897838626266001</v>
      </c>
      <c r="H203" s="599">
        <v>10.758609999999999</v>
      </c>
      <c r="I203" s="596">
        <v>60.747199999999999</v>
      </c>
      <c r="J203" s="597">
        <v>28.849361373733</v>
      </c>
      <c r="K203" s="604">
        <v>1.1109174850950001</v>
      </c>
    </row>
    <row r="204" spans="1:11" ht="14.4" customHeight="1" thickBot="1" x14ac:dyDescent="0.35">
      <c r="A204" s="612" t="s">
        <v>497</v>
      </c>
      <c r="B204" s="596">
        <v>0</v>
      </c>
      <c r="C204" s="596">
        <v>3.6000000000000002E-4</v>
      </c>
      <c r="D204" s="597">
        <v>3.6000000000000002E-4</v>
      </c>
      <c r="E204" s="598" t="s">
        <v>302</v>
      </c>
      <c r="F204" s="596">
        <v>0</v>
      </c>
      <c r="G204" s="597">
        <v>0</v>
      </c>
      <c r="H204" s="599">
        <v>5.37399</v>
      </c>
      <c r="I204" s="596">
        <v>5.3740399999999999</v>
      </c>
      <c r="J204" s="597">
        <v>5.3740399999999999</v>
      </c>
      <c r="K204" s="600" t="s">
        <v>302</v>
      </c>
    </row>
    <row r="205" spans="1:11" ht="14.4" customHeight="1" thickBot="1" x14ac:dyDescent="0.35">
      <c r="A205" s="613" t="s">
        <v>498</v>
      </c>
      <c r="B205" s="591">
        <v>0</v>
      </c>
      <c r="C205" s="591">
        <v>3.6000000000000002E-4</v>
      </c>
      <c r="D205" s="592">
        <v>3.6000000000000002E-4</v>
      </c>
      <c r="E205" s="601" t="s">
        <v>302</v>
      </c>
      <c r="F205" s="591">
        <v>0</v>
      </c>
      <c r="G205" s="592">
        <v>0</v>
      </c>
      <c r="H205" s="594">
        <v>-1.0000000000000001E-5</v>
      </c>
      <c r="I205" s="591">
        <v>4.0000000000000003E-5</v>
      </c>
      <c r="J205" s="592">
        <v>4.0000000000000003E-5</v>
      </c>
      <c r="K205" s="602" t="s">
        <v>302</v>
      </c>
    </row>
    <row r="206" spans="1:11" ht="14.4" customHeight="1" thickBot="1" x14ac:dyDescent="0.35">
      <c r="A206" s="613" t="s">
        <v>499</v>
      </c>
      <c r="B206" s="591">
        <v>0</v>
      </c>
      <c r="C206" s="591">
        <v>0</v>
      </c>
      <c r="D206" s="592">
        <v>0</v>
      </c>
      <c r="E206" s="601" t="s">
        <v>302</v>
      </c>
      <c r="F206" s="591">
        <v>0</v>
      </c>
      <c r="G206" s="592">
        <v>0</v>
      </c>
      <c r="H206" s="594">
        <v>6.0000000000000001E-3</v>
      </c>
      <c r="I206" s="591">
        <v>6.0000000000000001E-3</v>
      </c>
      <c r="J206" s="592">
        <v>6.0000000000000001E-3</v>
      </c>
      <c r="K206" s="602" t="s">
        <v>313</v>
      </c>
    </row>
    <row r="207" spans="1:11" ht="14.4" customHeight="1" thickBot="1" x14ac:dyDescent="0.35">
      <c r="A207" s="613" t="s">
        <v>500</v>
      </c>
      <c r="B207" s="591">
        <v>0</v>
      </c>
      <c r="C207" s="591">
        <v>0</v>
      </c>
      <c r="D207" s="592">
        <v>0</v>
      </c>
      <c r="E207" s="593">
        <v>1</v>
      </c>
      <c r="F207" s="591">
        <v>0</v>
      </c>
      <c r="G207" s="592">
        <v>0</v>
      </c>
      <c r="H207" s="594">
        <v>5.3680000000000003</v>
      </c>
      <c r="I207" s="591">
        <v>5.3680000000000003</v>
      </c>
      <c r="J207" s="592">
        <v>5.3680000000000003</v>
      </c>
      <c r="K207" s="602" t="s">
        <v>313</v>
      </c>
    </row>
    <row r="208" spans="1:11" ht="14.4" customHeight="1" thickBot="1" x14ac:dyDescent="0.35">
      <c r="A208" s="612" t="s">
        <v>501</v>
      </c>
      <c r="B208" s="596">
        <v>63</v>
      </c>
      <c r="C208" s="596">
        <v>88.665379999999999</v>
      </c>
      <c r="D208" s="597">
        <v>25.665379999999999</v>
      </c>
      <c r="E208" s="603">
        <v>1.4073869841260001</v>
      </c>
      <c r="F208" s="596">
        <v>54.6820090736</v>
      </c>
      <c r="G208" s="597">
        <v>31.897838626266001</v>
      </c>
      <c r="H208" s="599">
        <v>5.38462</v>
      </c>
      <c r="I208" s="596">
        <v>42.373159999999999</v>
      </c>
      <c r="J208" s="597">
        <v>10.475321373732999</v>
      </c>
      <c r="K208" s="604">
        <v>0.77490130150400005</v>
      </c>
    </row>
    <row r="209" spans="1:11" ht="14.4" customHeight="1" thickBot="1" x14ac:dyDescent="0.35">
      <c r="A209" s="613" t="s">
        <v>502</v>
      </c>
      <c r="B209" s="591">
        <v>0</v>
      </c>
      <c r="C209" s="591">
        <v>2.9000000000000001E-2</v>
      </c>
      <c r="D209" s="592">
        <v>2.9000000000000001E-2</v>
      </c>
      <c r="E209" s="601" t="s">
        <v>313</v>
      </c>
      <c r="F209" s="591">
        <v>2.8808908742999999E-2</v>
      </c>
      <c r="G209" s="592">
        <v>1.6805196766000001E-2</v>
      </c>
      <c r="H209" s="594">
        <v>0.17799999999999999</v>
      </c>
      <c r="I209" s="591">
        <v>1.7430000000000001</v>
      </c>
      <c r="J209" s="592">
        <v>1.7261948032329999</v>
      </c>
      <c r="K209" s="595">
        <v>0</v>
      </c>
    </row>
    <row r="210" spans="1:11" ht="14.4" customHeight="1" thickBot="1" x14ac:dyDescent="0.35">
      <c r="A210" s="613" t="s">
        <v>503</v>
      </c>
      <c r="B210" s="591">
        <v>0</v>
      </c>
      <c r="C210" s="591">
        <v>0</v>
      </c>
      <c r="D210" s="592">
        <v>0</v>
      </c>
      <c r="E210" s="593">
        <v>1</v>
      </c>
      <c r="F210" s="591">
        <v>0</v>
      </c>
      <c r="G210" s="592">
        <v>0</v>
      </c>
      <c r="H210" s="594">
        <v>0</v>
      </c>
      <c r="I210" s="591">
        <v>12.25</v>
      </c>
      <c r="J210" s="592">
        <v>12.25</v>
      </c>
      <c r="K210" s="602" t="s">
        <v>313</v>
      </c>
    </row>
    <row r="211" spans="1:11" ht="14.4" customHeight="1" thickBot="1" x14ac:dyDescent="0.35">
      <c r="A211" s="613" t="s">
        <v>504</v>
      </c>
      <c r="B211" s="591">
        <v>63</v>
      </c>
      <c r="C211" s="591">
        <v>88.636380000000003</v>
      </c>
      <c r="D211" s="592">
        <v>25.636379999999999</v>
      </c>
      <c r="E211" s="593">
        <v>1.4069266666660001</v>
      </c>
      <c r="F211" s="591">
        <v>54.653200164856003</v>
      </c>
      <c r="G211" s="592">
        <v>31.881033429498999</v>
      </c>
      <c r="H211" s="594">
        <v>5.20662</v>
      </c>
      <c r="I211" s="591">
        <v>28.38016</v>
      </c>
      <c r="J211" s="592">
        <v>-3.5008734294989998</v>
      </c>
      <c r="K211" s="595">
        <v>0.51927718622800001</v>
      </c>
    </row>
    <row r="212" spans="1:11" ht="14.4" customHeight="1" thickBot="1" x14ac:dyDescent="0.35">
      <c r="A212" s="612" t="s">
        <v>505</v>
      </c>
      <c r="B212" s="596">
        <v>0</v>
      </c>
      <c r="C212" s="596">
        <v>82.253</v>
      </c>
      <c r="D212" s="597">
        <v>82.253</v>
      </c>
      <c r="E212" s="598" t="s">
        <v>302</v>
      </c>
      <c r="F212" s="596">
        <v>0</v>
      </c>
      <c r="G212" s="597">
        <v>0</v>
      </c>
      <c r="H212" s="599">
        <v>0</v>
      </c>
      <c r="I212" s="596">
        <v>13</v>
      </c>
      <c r="J212" s="597">
        <v>13</v>
      </c>
      <c r="K212" s="600" t="s">
        <v>302</v>
      </c>
    </row>
    <row r="213" spans="1:11" ht="14.4" customHeight="1" thickBot="1" x14ac:dyDescent="0.35">
      <c r="A213" s="613" t="s">
        <v>506</v>
      </c>
      <c r="B213" s="591">
        <v>0</v>
      </c>
      <c r="C213" s="591">
        <v>82.253</v>
      </c>
      <c r="D213" s="592">
        <v>82.253</v>
      </c>
      <c r="E213" s="601" t="s">
        <v>302</v>
      </c>
      <c r="F213" s="591">
        <v>0</v>
      </c>
      <c r="G213" s="592">
        <v>0</v>
      </c>
      <c r="H213" s="594">
        <v>0</v>
      </c>
      <c r="I213" s="591">
        <v>13</v>
      </c>
      <c r="J213" s="592">
        <v>13</v>
      </c>
      <c r="K213" s="602" t="s">
        <v>302</v>
      </c>
    </row>
    <row r="214" spans="1:11" ht="14.4" customHeight="1" thickBot="1" x14ac:dyDescent="0.35">
      <c r="A214" s="610" t="s">
        <v>507</v>
      </c>
      <c r="B214" s="591">
        <v>29.422690984669</v>
      </c>
      <c r="C214" s="591">
        <v>154.191</v>
      </c>
      <c r="D214" s="592">
        <v>124.768309015331</v>
      </c>
      <c r="E214" s="593">
        <v>5.2405471709000002</v>
      </c>
      <c r="F214" s="591">
        <v>102.72682677580799</v>
      </c>
      <c r="G214" s="592">
        <v>59.923982285887</v>
      </c>
      <c r="H214" s="594">
        <v>2.0619999999999998</v>
      </c>
      <c r="I214" s="591">
        <v>179.97208000000001</v>
      </c>
      <c r="J214" s="592">
        <v>120.048097714112</v>
      </c>
      <c r="K214" s="595">
        <v>1.7519482071879999</v>
      </c>
    </row>
    <row r="215" spans="1:11" ht="14.4" customHeight="1" thickBot="1" x14ac:dyDescent="0.35">
      <c r="A215" s="616" t="s">
        <v>508</v>
      </c>
      <c r="B215" s="596">
        <v>29.422690984669</v>
      </c>
      <c r="C215" s="596">
        <v>154.191</v>
      </c>
      <c r="D215" s="597">
        <v>124.768309015331</v>
      </c>
      <c r="E215" s="603">
        <v>5.2405471709000002</v>
      </c>
      <c r="F215" s="596">
        <v>102.72682677580799</v>
      </c>
      <c r="G215" s="597">
        <v>59.923982285887</v>
      </c>
      <c r="H215" s="599">
        <v>2.0619999999999998</v>
      </c>
      <c r="I215" s="596">
        <v>179.97208000000001</v>
      </c>
      <c r="J215" s="597">
        <v>120.048097714112</v>
      </c>
      <c r="K215" s="604">
        <v>1.7519482071879999</v>
      </c>
    </row>
    <row r="216" spans="1:11" ht="14.4" customHeight="1" thickBot="1" x14ac:dyDescent="0.35">
      <c r="A216" s="612" t="s">
        <v>509</v>
      </c>
      <c r="B216" s="596">
        <v>0</v>
      </c>
      <c r="C216" s="596">
        <v>129.44399999999999</v>
      </c>
      <c r="D216" s="597">
        <v>129.44399999999999</v>
      </c>
      <c r="E216" s="598" t="s">
        <v>302</v>
      </c>
      <c r="F216" s="596">
        <v>79.585702606208002</v>
      </c>
      <c r="G216" s="597">
        <v>46.424993186955</v>
      </c>
      <c r="H216" s="599">
        <v>0</v>
      </c>
      <c r="I216" s="596">
        <v>165.53808000000001</v>
      </c>
      <c r="J216" s="597">
        <v>119.113086813045</v>
      </c>
      <c r="K216" s="604">
        <v>2.079997720433</v>
      </c>
    </row>
    <row r="217" spans="1:11" ht="14.4" customHeight="1" thickBot="1" x14ac:dyDescent="0.35">
      <c r="A217" s="613" t="s">
        <v>510</v>
      </c>
      <c r="B217" s="591">
        <v>0</v>
      </c>
      <c r="C217" s="591">
        <v>129.44399999999999</v>
      </c>
      <c r="D217" s="592">
        <v>129.44399999999999</v>
      </c>
      <c r="E217" s="601" t="s">
        <v>313</v>
      </c>
      <c r="F217" s="591">
        <v>79.585702606208002</v>
      </c>
      <c r="G217" s="592">
        <v>46.424993186955</v>
      </c>
      <c r="H217" s="594">
        <v>0</v>
      </c>
      <c r="I217" s="591">
        <v>125.33808000000001</v>
      </c>
      <c r="J217" s="592">
        <v>78.913086813044004</v>
      </c>
      <c r="K217" s="595">
        <v>1.5748818681679999</v>
      </c>
    </row>
    <row r="218" spans="1:11" ht="14.4" customHeight="1" thickBot="1" x14ac:dyDescent="0.35">
      <c r="A218" s="613" t="s">
        <v>511</v>
      </c>
      <c r="B218" s="591">
        <v>0</v>
      </c>
      <c r="C218" s="591">
        <v>0</v>
      </c>
      <c r="D218" s="592">
        <v>0</v>
      </c>
      <c r="E218" s="601" t="s">
        <v>302</v>
      </c>
      <c r="F218" s="591">
        <v>0</v>
      </c>
      <c r="G218" s="592">
        <v>0</v>
      </c>
      <c r="H218" s="594">
        <v>0</v>
      </c>
      <c r="I218" s="591">
        <v>40.200000000000003</v>
      </c>
      <c r="J218" s="592">
        <v>40.200000000000003</v>
      </c>
      <c r="K218" s="602" t="s">
        <v>313</v>
      </c>
    </row>
    <row r="219" spans="1:11" ht="14.4" customHeight="1" thickBot="1" x14ac:dyDescent="0.35">
      <c r="A219" s="615" t="s">
        <v>512</v>
      </c>
      <c r="B219" s="591">
        <v>29.422690984669</v>
      </c>
      <c r="C219" s="591">
        <v>24.747</v>
      </c>
      <c r="D219" s="592">
        <v>-4.675690984669</v>
      </c>
      <c r="E219" s="593">
        <v>0.84108554220499998</v>
      </c>
      <c r="F219" s="591">
        <v>23.141124169598999</v>
      </c>
      <c r="G219" s="592">
        <v>13.498989098932</v>
      </c>
      <c r="H219" s="594">
        <v>2.0619999999999998</v>
      </c>
      <c r="I219" s="591">
        <v>14.433999999999999</v>
      </c>
      <c r="J219" s="592">
        <v>0.93501090106700002</v>
      </c>
      <c r="K219" s="595">
        <v>0.62373806450400004</v>
      </c>
    </row>
    <row r="220" spans="1:11" ht="14.4" customHeight="1" thickBot="1" x14ac:dyDescent="0.35">
      <c r="A220" s="613" t="s">
        <v>513</v>
      </c>
      <c r="B220" s="591">
        <v>29.422690984669</v>
      </c>
      <c r="C220" s="591">
        <v>24.747</v>
      </c>
      <c r="D220" s="592">
        <v>-4.675690984669</v>
      </c>
      <c r="E220" s="593">
        <v>0.84108554220499998</v>
      </c>
      <c r="F220" s="591">
        <v>23.141124169598999</v>
      </c>
      <c r="G220" s="592">
        <v>13.498989098932</v>
      </c>
      <c r="H220" s="594">
        <v>2.0619999999999998</v>
      </c>
      <c r="I220" s="591">
        <v>14.433999999999999</v>
      </c>
      <c r="J220" s="592">
        <v>0.93501090106700002</v>
      </c>
      <c r="K220" s="595">
        <v>0.62373806450400004</v>
      </c>
    </row>
    <row r="221" spans="1:11" ht="14.4" customHeight="1" thickBot="1" x14ac:dyDescent="0.35">
      <c r="A221" s="609" t="s">
        <v>514</v>
      </c>
      <c r="B221" s="591">
        <v>6076.8037259481498</v>
      </c>
      <c r="C221" s="591">
        <v>7834.17011000001</v>
      </c>
      <c r="D221" s="592">
        <v>1757.36638405186</v>
      </c>
      <c r="E221" s="593">
        <v>1.289192553076</v>
      </c>
      <c r="F221" s="591">
        <v>6417.9805649107302</v>
      </c>
      <c r="G221" s="592">
        <v>3743.8219961979298</v>
      </c>
      <c r="H221" s="594">
        <v>837.57973000000004</v>
      </c>
      <c r="I221" s="591">
        <v>4615.7449500000002</v>
      </c>
      <c r="J221" s="592">
        <v>871.92295380207497</v>
      </c>
      <c r="K221" s="595">
        <v>0.71918961164100004</v>
      </c>
    </row>
    <row r="222" spans="1:11" ht="14.4" customHeight="1" thickBot="1" x14ac:dyDescent="0.35">
      <c r="A222" s="614" t="s">
        <v>515</v>
      </c>
      <c r="B222" s="596">
        <v>6076.8037259481498</v>
      </c>
      <c r="C222" s="596">
        <v>7834.17011000001</v>
      </c>
      <c r="D222" s="597">
        <v>1757.36638405186</v>
      </c>
      <c r="E222" s="603">
        <v>1.289192553076</v>
      </c>
      <c r="F222" s="596">
        <v>6417.9805649107302</v>
      </c>
      <c r="G222" s="597">
        <v>3743.8219961979298</v>
      </c>
      <c r="H222" s="599">
        <v>837.57973000000004</v>
      </c>
      <c r="I222" s="596">
        <v>4615.7449500000002</v>
      </c>
      <c r="J222" s="597">
        <v>871.92295380207497</v>
      </c>
      <c r="K222" s="604">
        <v>0.71918961164100004</v>
      </c>
    </row>
    <row r="223" spans="1:11" ht="14.4" customHeight="1" thickBot="1" x14ac:dyDescent="0.35">
      <c r="A223" s="616" t="s">
        <v>47</v>
      </c>
      <c r="B223" s="596">
        <v>6076.8037259481498</v>
      </c>
      <c r="C223" s="596">
        <v>7834.17011000001</v>
      </c>
      <c r="D223" s="597">
        <v>1757.36638405186</v>
      </c>
      <c r="E223" s="603">
        <v>1.289192553076</v>
      </c>
      <c r="F223" s="596">
        <v>6417.9805649107302</v>
      </c>
      <c r="G223" s="597">
        <v>3743.8219961979298</v>
      </c>
      <c r="H223" s="599">
        <v>837.57973000000004</v>
      </c>
      <c r="I223" s="596">
        <v>4615.7449500000002</v>
      </c>
      <c r="J223" s="597">
        <v>871.92295380207497</v>
      </c>
      <c r="K223" s="604">
        <v>0.71918961164100004</v>
      </c>
    </row>
    <row r="224" spans="1:11" ht="14.4" customHeight="1" thickBot="1" x14ac:dyDescent="0.35">
      <c r="A224" s="612" t="s">
        <v>516</v>
      </c>
      <c r="B224" s="596">
        <v>77.694224087486006</v>
      </c>
      <c r="C224" s="596">
        <v>93.231250000000003</v>
      </c>
      <c r="D224" s="597">
        <v>15.537025912513</v>
      </c>
      <c r="E224" s="603">
        <v>1.1999765889289999</v>
      </c>
      <c r="F224" s="596">
        <v>95.140157598238005</v>
      </c>
      <c r="G224" s="597">
        <v>55.498425265637998</v>
      </c>
      <c r="H224" s="599">
        <v>7.0469999999999997</v>
      </c>
      <c r="I224" s="596">
        <v>50.756999999999998</v>
      </c>
      <c r="J224" s="597">
        <v>-4.741425265638</v>
      </c>
      <c r="K224" s="604">
        <v>0.53349711921099996</v>
      </c>
    </row>
    <row r="225" spans="1:11" ht="14.4" customHeight="1" thickBot="1" x14ac:dyDescent="0.35">
      <c r="A225" s="613" t="s">
        <v>517</v>
      </c>
      <c r="B225" s="591">
        <v>77.694224087486006</v>
      </c>
      <c r="C225" s="591">
        <v>93.231250000000003</v>
      </c>
      <c r="D225" s="592">
        <v>15.537025912513</v>
      </c>
      <c r="E225" s="593">
        <v>1.1999765889289999</v>
      </c>
      <c r="F225" s="591">
        <v>95.140157598238005</v>
      </c>
      <c r="G225" s="592">
        <v>55.498425265637998</v>
      </c>
      <c r="H225" s="594">
        <v>7.0469999999999997</v>
      </c>
      <c r="I225" s="591">
        <v>50.756999999999998</v>
      </c>
      <c r="J225" s="592">
        <v>-4.741425265638</v>
      </c>
      <c r="K225" s="595">
        <v>0.53349711921099996</v>
      </c>
    </row>
    <row r="226" spans="1:11" ht="14.4" customHeight="1" thickBot="1" x14ac:dyDescent="0.35">
      <c r="A226" s="612" t="s">
        <v>518</v>
      </c>
      <c r="B226" s="596">
        <v>59.963499265674997</v>
      </c>
      <c r="C226" s="596">
        <v>75.321200000000005</v>
      </c>
      <c r="D226" s="597">
        <v>15.357700734325</v>
      </c>
      <c r="E226" s="603">
        <v>1.2561174868439999</v>
      </c>
      <c r="F226" s="596">
        <v>87.005825730732994</v>
      </c>
      <c r="G226" s="597">
        <v>50.753398342926999</v>
      </c>
      <c r="H226" s="599">
        <v>6.2823599999999997</v>
      </c>
      <c r="I226" s="596">
        <v>47.952240000000003</v>
      </c>
      <c r="J226" s="597">
        <v>-2.8011583429270002</v>
      </c>
      <c r="K226" s="604">
        <v>0.55113826686</v>
      </c>
    </row>
    <row r="227" spans="1:11" ht="14.4" customHeight="1" thickBot="1" x14ac:dyDescent="0.35">
      <c r="A227" s="613" t="s">
        <v>519</v>
      </c>
      <c r="B227" s="591">
        <v>24.590413094310001</v>
      </c>
      <c r="C227" s="591">
        <v>31.161999999999999</v>
      </c>
      <c r="D227" s="592">
        <v>6.5715869056890002</v>
      </c>
      <c r="E227" s="593">
        <v>1.2672418263359999</v>
      </c>
      <c r="F227" s="591">
        <v>16.179514259771</v>
      </c>
      <c r="G227" s="592">
        <v>9.4380499848659998</v>
      </c>
      <c r="H227" s="594">
        <v>2.2200000000000002</v>
      </c>
      <c r="I227" s="591">
        <v>11.84</v>
      </c>
      <c r="J227" s="592">
        <v>2.401950015133</v>
      </c>
      <c r="K227" s="595">
        <v>0.73178958341400002</v>
      </c>
    </row>
    <row r="228" spans="1:11" ht="14.4" customHeight="1" thickBot="1" x14ac:dyDescent="0.35">
      <c r="A228" s="613" t="s">
        <v>520</v>
      </c>
      <c r="B228" s="591">
        <v>4.8727534148089999</v>
      </c>
      <c r="C228" s="591">
        <v>0</v>
      </c>
      <c r="D228" s="592">
        <v>-4.8727534148089999</v>
      </c>
      <c r="E228" s="593">
        <v>0</v>
      </c>
      <c r="F228" s="591">
        <v>1.374575619265</v>
      </c>
      <c r="G228" s="592">
        <v>0.80183577790399996</v>
      </c>
      <c r="H228" s="594">
        <v>0</v>
      </c>
      <c r="I228" s="591">
        <v>0.30869999999999997</v>
      </c>
      <c r="J228" s="592">
        <v>-0.49313577790399998</v>
      </c>
      <c r="K228" s="595">
        <v>0.22457840490700001</v>
      </c>
    </row>
    <row r="229" spans="1:11" ht="14.4" customHeight="1" thickBot="1" x14ac:dyDescent="0.35">
      <c r="A229" s="613" t="s">
        <v>521</v>
      </c>
      <c r="B229" s="591">
        <v>30.500332756555</v>
      </c>
      <c r="C229" s="591">
        <v>44.159199999999998</v>
      </c>
      <c r="D229" s="592">
        <v>13.658867243444</v>
      </c>
      <c r="E229" s="593">
        <v>1.447826827086</v>
      </c>
      <c r="F229" s="591">
        <v>69.451735851695005</v>
      </c>
      <c r="G229" s="592">
        <v>40.513512580155002</v>
      </c>
      <c r="H229" s="594">
        <v>4.06236</v>
      </c>
      <c r="I229" s="591">
        <v>35.803539999999998</v>
      </c>
      <c r="J229" s="592">
        <v>-4.7099725801550001</v>
      </c>
      <c r="K229" s="595">
        <v>0.515516848656</v>
      </c>
    </row>
    <row r="230" spans="1:11" ht="14.4" customHeight="1" thickBot="1" x14ac:dyDescent="0.35">
      <c r="A230" s="612" t="s">
        <v>522</v>
      </c>
      <c r="B230" s="596">
        <v>859.90845802579997</v>
      </c>
      <c r="C230" s="596">
        <v>883.14403000000095</v>
      </c>
      <c r="D230" s="597">
        <v>23.235571974199999</v>
      </c>
      <c r="E230" s="603">
        <v>1.0270209831720001</v>
      </c>
      <c r="F230" s="596">
        <v>836.55762799270099</v>
      </c>
      <c r="G230" s="597">
        <v>487.99194966240901</v>
      </c>
      <c r="H230" s="599">
        <v>76.249979999999994</v>
      </c>
      <c r="I230" s="596">
        <v>521.32803000000001</v>
      </c>
      <c r="J230" s="597">
        <v>33.336080337591</v>
      </c>
      <c r="K230" s="604">
        <v>0.62318244739499995</v>
      </c>
    </row>
    <row r="231" spans="1:11" ht="14.4" customHeight="1" thickBot="1" x14ac:dyDescent="0.35">
      <c r="A231" s="613" t="s">
        <v>523</v>
      </c>
      <c r="B231" s="591">
        <v>859.90845802579997</v>
      </c>
      <c r="C231" s="591">
        <v>883.14403000000095</v>
      </c>
      <c r="D231" s="592">
        <v>23.235571974199999</v>
      </c>
      <c r="E231" s="593">
        <v>1.0270209831720001</v>
      </c>
      <c r="F231" s="591">
        <v>836.55762799270099</v>
      </c>
      <c r="G231" s="592">
        <v>487.99194966240901</v>
      </c>
      <c r="H231" s="594">
        <v>76.249979999999994</v>
      </c>
      <c r="I231" s="591">
        <v>521.32803000000001</v>
      </c>
      <c r="J231" s="592">
        <v>33.336080337591</v>
      </c>
      <c r="K231" s="595">
        <v>0.62318244739499995</v>
      </c>
    </row>
    <row r="232" spans="1:11" ht="14.4" customHeight="1" thickBot="1" x14ac:dyDescent="0.35">
      <c r="A232" s="612" t="s">
        <v>524</v>
      </c>
      <c r="B232" s="596">
        <v>0</v>
      </c>
      <c r="C232" s="596">
        <v>9.7279999999999998</v>
      </c>
      <c r="D232" s="597">
        <v>9.7279999999999998</v>
      </c>
      <c r="E232" s="598" t="s">
        <v>302</v>
      </c>
      <c r="F232" s="596">
        <v>0</v>
      </c>
      <c r="G232" s="597">
        <v>0</v>
      </c>
      <c r="H232" s="599">
        <v>0.94399999999999995</v>
      </c>
      <c r="I232" s="596">
        <v>5.5960000000000001</v>
      </c>
      <c r="J232" s="597">
        <v>5.5960000000000001</v>
      </c>
      <c r="K232" s="600" t="s">
        <v>313</v>
      </c>
    </row>
    <row r="233" spans="1:11" ht="14.4" customHeight="1" thickBot="1" x14ac:dyDescent="0.35">
      <c r="A233" s="613" t="s">
        <v>525</v>
      </c>
      <c r="B233" s="591">
        <v>0</v>
      </c>
      <c r="C233" s="591">
        <v>9.7279999999999998</v>
      </c>
      <c r="D233" s="592">
        <v>9.7279999999999998</v>
      </c>
      <c r="E233" s="601" t="s">
        <v>302</v>
      </c>
      <c r="F233" s="591">
        <v>0</v>
      </c>
      <c r="G233" s="592">
        <v>0</v>
      </c>
      <c r="H233" s="594">
        <v>0.94399999999999995</v>
      </c>
      <c r="I233" s="591">
        <v>5.5960000000000001</v>
      </c>
      <c r="J233" s="592">
        <v>5.5960000000000001</v>
      </c>
      <c r="K233" s="602" t="s">
        <v>313</v>
      </c>
    </row>
    <row r="234" spans="1:11" ht="14.4" customHeight="1" thickBot="1" x14ac:dyDescent="0.35">
      <c r="A234" s="612" t="s">
        <v>526</v>
      </c>
      <c r="B234" s="596">
        <v>563</v>
      </c>
      <c r="C234" s="596">
        <v>514.34069</v>
      </c>
      <c r="D234" s="597">
        <v>-48.659309999999003</v>
      </c>
      <c r="E234" s="603">
        <v>0.91357138543500005</v>
      </c>
      <c r="F234" s="596">
        <v>609.20637217425406</v>
      </c>
      <c r="G234" s="597">
        <v>355.37038376831498</v>
      </c>
      <c r="H234" s="599">
        <v>36.872599999999998</v>
      </c>
      <c r="I234" s="596">
        <v>316.91520000000003</v>
      </c>
      <c r="J234" s="597">
        <v>-38.455183768315003</v>
      </c>
      <c r="K234" s="604">
        <v>0.52020992306500002</v>
      </c>
    </row>
    <row r="235" spans="1:11" ht="14.4" customHeight="1" thickBot="1" x14ac:dyDescent="0.35">
      <c r="A235" s="613" t="s">
        <v>527</v>
      </c>
      <c r="B235" s="591">
        <v>563</v>
      </c>
      <c r="C235" s="591">
        <v>514.34069</v>
      </c>
      <c r="D235" s="592">
        <v>-48.659309999999003</v>
      </c>
      <c r="E235" s="593">
        <v>0.91357138543500005</v>
      </c>
      <c r="F235" s="591">
        <v>609.20637217425406</v>
      </c>
      <c r="G235" s="592">
        <v>355.37038376831498</v>
      </c>
      <c r="H235" s="594">
        <v>36.872599999999998</v>
      </c>
      <c r="I235" s="591">
        <v>316.91520000000003</v>
      </c>
      <c r="J235" s="592">
        <v>-38.455183768315003</v>
      </c>
      <c r="K235" s="595">
        <v>0.52020992306500002</v>
      </c>
    </row>
    <row r="236" spans="1:11" ht="14.4" customHeight="1" thickBot="1" x14ac:dyDescent="0.35">
      <c r="A236" s="612" t="s">
        <v>528</v>
      </c>
      <c r="B236" s="596">
        <v>0</v>
      </c>
      <c r="C236" s="596">
        <v>1431.7002</v>
      </c>
      <c r="D236" s="597">
        <v>1431.7002</v>
      </c>
      <c r="E236" s="598" t="s">
        <v>302</v>
      </c>
      <c r="F236" s="596">
        <v>0</v>
      </c>
      <c r="G236" s="597">
        <v>0</v>
      </c>
      <c r="H236" s="599">
        <v>266.30525</v>
      </c>
      <c r="I236" s="596">
        <v>932.40283999999997</v>
      </c>
      <c r="J236" s="597">
        <v>932.40283999999997</v>
      </c>
      <c r="K236" s="600" t="s">
        <v>313</v>
      </c>
    </row>
    <row r="237" spans="1:11" ht="14.4" customHeight="1" thickBot="1" x14ac:dyDescent="0.35">
      <c r="A237" s="613" t="s">
        <v>529</v>
      </c>
      <c r="B237" s="591">
        <v>0</v>
      </c>
      <c r="C237" s="591">
        <v>1431.7002</v>
      </c>
      <c r="D237" s="592">
        <v>1431.7002</v>
      </c>
      <c r="E237" s="601" t="s">
        <v>302</v>
      </c>
      <c r="F237" s="591">
        <v>0</v>
      </c>
      <c r="G237" s="592">
        <v>0</v>
      </c>
      <c r="H237" s="594">
        <v>266.30525</v>
      </c>
      <c r="I237" s="591">
        <v>932.40283999999997</v>
      </c>
      <c r="J237" s="592">
        <v>932.40283999999997</v>
      </c>
      <c r="K237" s="602" t="s">
        <v>313</v>
      </c>
    </row>
    <row r="238" spans="1:11" ht="14.4" customHeight="1" thickBot="1" x14ac:dyDescent="0.35">
      <c r="A238" s="612" t="s">
        <v>530</v>
      </c>
      <c r="B238" s="596">
        <v>4516.2375445691896</v>
      </c>
      <c r="C238" s="596">
        <v>4826.7047400000001</v>
      </c>
      <c r="D238" s="597">
        <v>310.46719543081798</v>
      </c>
      <c r="E238" s="603">
        <v>1.0687446557810001</v>
      </c>
      <c r="F238" s="596">
        <v>4790.0705814147996</v>
      </c>
      <c r="G238" s="597">
        <v>2794.2078391586401</v>
      </c>
      <c r="H238" s="599">
        <v>443.87853999999999</v>
      </c>
      <c r="I238" s="596">
        <v>2740.7936399999999</v>
      </c>
      <c r="J238" s="597">
        <v>-53.414199158635</v>
      </c>
      <c r="K238" s="604">
        <v>0.57218230784199997</v>
      </c>
    </row>
    <row r="239" spans="1:11" ht="14.4" customHeight="1" thickBot="1" x14ac:dyDescent="0.35">
      <c r="A239" s="613" t="s">
        <v>531</v>
      </c>
      <c r="B239" s="591">
        <v>4516.2375445691896</v>
      </c>
      <c r="C239" s="591">
        <v>4826.7047400000001</v>
      </c>
      <c r="D239" s="592">
        <v>310.46719543081798</v>
      </c>
      <c r="E239" s="593">
        <v>1.0687446557810001</v>
      </c>
      <c r="F239" s="591">
        <v>4790.0705814147996</v>
      </c>
      <c r="G239" s="592">
        <v>2794.2078391586401</v>
      </c>
      <c r="H239" s="594">
        <v>443.87853999999999</v>
      </c>
      <c r="I239" s="591">
        <v>2740.7936399999999</v>
      </c>
      <c r="J239" s="592">
        <v>-53.414199158635</v>
      </c>
      <c r="K239" s="595">
        <v>0.57218230784199997</v>
      </c>
    </row>
    <row r="240" spans="1:11" ht="14.4" customHeight="1" thickBot="1" x14ac:dyDescent="0.35">
      <c r="A240" s="617" t="s">
        <v>532</v>
      </c>
      <c r="B240" s="596">
        <v>0</v>
      </c>
      <c r="C240" s="596">
        <v>0.11987</v>
      </c>
      <c r="D240" s="597">
        <v>0.11987</v>
      </c>
      <c r="E240" s="598" t="s">
        <v>302</v>
      </c>
      <c r="F240" s="596">
        <v>0</v>
      </c>
      <c r="G240" s="597">
        <v>0</v>
      </c>
      <c r="H240" s="599">
        <v>8.4400000000000003E-2</v>
      </c>
      <c r="I240" s="596">
        <v>0.14363999999999999</v>
      </c>
      <c r="J240" s="597">
        <v>0.14363999999999999</v>
      </c>
      <c r="K240" s="600" t="s">
        <v>313</v>
      </c>
    </row>
    <row r="241" spans="1:11" ht="14.4" customHeight="1" thickBot="1" x14ac:dyDescent="0.35">
      <c r="A241" s="614" t="s">
        <v>533</v>
      </c>
      <c r="B241" s="596">
        <v>0</v>
      </c>
      <c r="C241" s="596">
        <v>0.11987</v>
      </c>
      <c r="D241" s="597">
        <v>0.11987</v>
      </c>
      <c r="E241" s="598" t="s">
        <v>302</v>
      </c>
      <c r="F241" s="596">
        <v>0</v>
      </c>
      <c r="G241" s="597">
        <v>0</v>
      </c>
      <c r="H241" s="599">
        <v>8.4400000000000003E-2</v>
      </c>
      <c r="I241" s="596">
        <v>0.14363999999999999</v>
      </c>
      <c r="J241" s="597">
        <v>0.14363999999999999</v>
      </c>
      <c r="K241" s="600" t="s">
        <v>313</v>
      </c>
    </row>
    <row r="242" spans="1:11" ht="14.4" customHeight="1" thickBot="1" x14ac:dyDescent="0.35">
      <c r="A242" s="616" t="s">
        <v>534</v>
      </c>
      <c r="B242" s="596">
        <v>0</v>
      </c>
      <c r="C242" s="596">
        <v>0.11987</v>
      </c>
      <c r="D242" s="597">
        <v>0.11987</v>
      </c>
      <c r="E242" s="598" t="s">
        <v>302</v>
      </c>
      <c r="F242" s="596">
        <v>0</v>
      </c>
      <c r="G242" s="597">
        <v>0</v>
      </c>
      <c r="H242" s="599">
        <v>8.4400000000000003E-2</v>
      </c>
      <c r="I242" s="596">
        <v>0.14363999999999999</v>
      </c>
      <c r="J242" s="597">
        <v>0.14363999999999999</v>
      </c>
      <c r="K242" s="600" t="s">
        <v>313</v>
      </c>
    </row>
    <row r="243" spans="1:11" ht="14.4" customHeight="1" thickBot="1" x14ac:dyDescent="0.35">
      <c r="A243" s="612" t="s">
        <v>535</v>
      </c>
      <c r="B243" s="596">
        <v>0</v>
      </c>
      <c r="C243" s="596">
        <v>0.11987</v>
      </c>
      <c r="D243" s="597">
        <v>0.11987</v>
      </c>
      <c r="E243" s="598" t="s">
        <v>313</v>
      </c>
      <c r="F243" s="596">
        <v>0</v>
      </c>
      <c r="G243" s="597">
        <v>0</v>
      </c>
      <c r="H243" s="599">
        <v>8.4400000000000003E-2</v>
      </c>
      <c r="I243" s="596">
        <v>0.14363999999999999</v>
      </c>
      <c r="J243" s="597">
        <v>0.14363999999999999</v>
      </c>
      <c r="K243" s="600" t="s">
        <v>313</v>
      </c>
    </row>
    <row r="244" spans="1:11" ht="14.4" customHeight="1" thickBot="1" x14ac:dyDescent="0.35">
      <c r="A244" s="613" t="s">
        <v>536</v>
      </c>
      <c r="B244" s="591">
        <v>0</v>
      </c>
      <c r="C244" s="591">
        <v>0.11987</v>
      </c>
      <c r="D244" s="592">
        <v>0.11987</v>
      </c>
      <c r="E244" s="601" t="s">
        <v>313</v>
      </c>
      <c r="F244" s="591">
        <v>0</v>
      </c>
      <c r="G244" s="592">
        <v>0</v>
      </c>
      <c r="H244" s="594">
        <v>8.4400000000000003E-2</v>
      </c>
      <c r="I244" s="591">
        <v>0.14363999999999999</v>
      </c>
      <c r="J244" s="592">
        <v>0.14363999999999999</v>
      </c>
      <c r="K244" s="602" t="s">
        <v>313</v>
      </c>
    </row>
    <row r="245" spans="1:11" ht="14.4" customHeight="1" thickBot="1" x14ac:dyDescent="0.35">
      <c r="A245" s="618"/>
      <c r="B245" s="591">
        <v>5909.5792596682704</v>
      </c>
      <c r="C245" s="591">
        <v>11621.18909</v>
      </c>
      <c r="D245" s="592">
        <v>5711.6098303317003</v>
      </c>
      <c r="E245" s="593">
        <v>1.9665002497399999</v>
      </c>
      <c r="F245" s="591">
        <v>6139.9315611500097</v>
      </c>
      <c r="G245" s="592">
        <v>3581.6267440041702</v>
      </c>
      <c r="H245" s="594">
        <v>-1230.89159</v>
      </c>
      <c r="I245" s="591">
        <v>-133.38822000001301</v>
      </c>
      <c r="J245" s="592">
        <v>-3715.01496400418</v>
      </c>
      <c r="K245" s="595">
        <v>-2.1724707950000002E-2</v>
      </c>
    </row>
    <row r="246" spans="1:11" ht="14.4" customHeight="1" thickBot="1" x14ac:dyDescent="0.35">
      <c r="A246" s="619" t="s">
        <v>59</v>
      </c>
      <c r="B246" s="605">
        <v>5909.5792596682704</v>
      </c>
      <c r="C246" s="605">
        <v>11621.18909</v>
      </c>
      <c r="D246" s="606">
        <v>5711.6098303317103</v>
      </c>
      <c r="E246" s="607" t="s">
        <v>302</v>
      </c>
      <c r="F246" s="605">
        <v>6139.9315611500097</v>
      </c>
      <c r="G246" s="606">
        <v>3581.6267440041602</v>
      </c>
      <c r="H246" s="605">
        <v>-1230.89159</v>
      </c>
      <c r="I246" s="605">
        <v>-133.388220000015</v>
      </c>
      <c r="J246" s="606">
        <v>-3715.01496400418</v>
      </c>
      <c r="K246" s="608">
        <v>-2.1724707950000002E-2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7" customWidth="1"/>
    <col min="2" max="2" width="61.109375" style="327" customWidth="1"/>
    <col min="3" max="3" width="9.5546875" style="244" customWidth="1"/>
    <col min="4" max="4" width="9.5546875" style="328" customWidth="1"/>
    <col min="5" max="5" width="2.21875" style="328" customWidth="1"/>
    <col min="6" max="6" width="9.5546875" style="329" customWidth="1"/>
    <col min="7" max="7" width="9.5546875" style="326" customWidth="1"/>
    <col min="8" max="9" width="9.5546875" style="244" customWidth="1"/>
    <col min="10" max="10" width="0" style="244" hidden="1" customWidth="1"/>
    <col min="11" max="16384" width="8.88671875" style="244"/>
  </cols>
  <sheetData>
    <row r="1" spans="1:10" ht="18.600000000000001" customHeight="1" thickBot="1" x14ac:dyDescent="0.4">
      <c r="A1" s="493" t="s">
        <v>168</v>
      </c>
      <c r="B1" s="494"/>
      <c r="C1" s="494"/>
      <c r="D1" s="494"/>
      <c r="E1" s="494"/>
      <c r="F1" s="494"/>
      <c r="G1" s="465"/>
      <c r="H1" s="495"/>
      <c r="I1" s="495"/>
    </row>
    <row r="2" spans="1:10" ht="14.4" customHeight="1" thickBot="1" x14ac:dyDescent="0.35">
      <c r="A2" s="368" t="s">
        <v>301</v>
      </c>
      <c r="B2" s="325"/>
      <c r="C2" s="325"/>
      <c r="D2" s="325"/>
      <c r="E2" s="325"/>
      <c r="F2" s="325"/>
    </row>
    <row r="3" spans="1:10" ht="14.4" customHeight="1" thickBot="1" x14ac:dyDescent="0.35">
      <c r="A3" s="368"/>
      <c r="B3" s="325"/>
      <c r="C3" s="426">
        <v>2014</v>
      </c>
      <c r="D3" s="427">
        <v>2015</v>
      </c>
      <c r="E3" s="11"/>
      <c r="F3" s="488">
        <v>2016</v>
      </c>
      <c r="G3" s="489"/>
      <c r="H3" s="489"/>
      <c r="I3" s="490"/>
    </row>
    <row r="4" spans="1:10" ht="14.4" customHeight="1" thickBot="1" x14ac:dyDescent="0.35">
      <c r="A4" s="431" t="s">
        <v>0</v>
      </c>
      <c r="B4" s="432" t="s">
        <v>247</v>
      </c>
      <c r="C4" s="491" t="s">
        <v>87</v>
      </c>
      <c r="D4" s="492"/>
      <c r="E4" s="433"/>
      <c r="F4" s="428" t="s">
        <v>87</v>
      </c>
      <c r="G4" s="429" t="s">
        <v>88</v>
      </c>
      <c r="H4" s="429" t="s">
        <v>62</v>
      </c>
      <c r="I4" s="430" t="s">
        <v>89</v>
      </c>
    </row>
    <row r="5" spans="1:10" ht="14.4" customHeight="1" x14ac:dyDescent="0.3">
      <c r="A5" s="620" t="s">
        <v>537</v>
      </c>
      <c r="B5" s="621" t="s">
        <v>538</v>
      </c>
      <c r="C5" s="622" t="s">
        <v>539</v>
      </c>
      <c r="D5" s="622" t="s">
        <v>539</v>
      </c>
      <c r="E5" s="622"/>
      <c r="F5" s="622" t="s">
        <v>539</v>
      </c>
      <c r="G5" s="622" t="s">
        <v>539</v>
      </c>
      <c r="H5" s="622" t="s">
        <v>539</v>
      </c>
      <c r="I5" s="623" t="s">
        <v>539</v>
      </c>
      <c r="J5" s="624" t="s">
        <v>67</v>
      </c>
    </row>
    <row r="6" spans="1:10" ht="14.4" customHeight="1" x14ac:dyDescent="0.3">
      <c r="A6" s="620" t="s">
        <v>537</v>
      </c>
      <c r="B6" s="621" t="s">
        <v>310</v>
      </c>
      <c r="C6" s="622">
        <v>954.00470999999993</v>
      </c>
      <c r="D6" s="622">
        <v>1141.7625599999999</v>
      </c>
      <c r="E6" s="622"/>
      <c r="F6" s="622">
        <v>1247.00109</v>
      </c>
      <c r="G6" s="622">
        <v>1072.7500968473139</v>
      </c>
      <c r="H6" s="622">
        <v>174.25099315268608</v>
      </c>
      <c r="I6" s="623">
        <v>1.1624339104370991</v>
      </c>
      <c r="J6" s="624" t="s">
        <v>1</v>
      </c>
    </row>
    <row r="7" spans="1:10" ht="14.4" customHeight="1" x14ac:dyDescent="0.3">
      <c r="A7" s="620" t="s">
        <v>537</v>
      </c>
      <c r="B7" s="621" t="s">
        <v>311</v>
      </c>
      <c r="C7" s="622" t="s">
        <v>539</v>
      </c>
      <c r="D7" s="622">
        <v>0</v>
      </c>
      <c r="E7" s="622"/>
      <c r="F7" s="622">
        <v>35.716999999999999</v>
      </c>
      <c r="G7" s="622">
        <v>72.916673249545994</v>
      </c>
      <c r="H7" s="622">
        <v>-37.199673249545995</v>
      </c>
      <c r="I7" s="623">
        <v>0.48983309863526153</v>
      </c>
      <c r="J7" s="624" t="s">
        <v>1</v>
      </c>
    </row>
    <row r="8" spans="1:10" ht="14.4" customHeight="1" x14ac:dyDescent="0.3">
      <c r="A8" s="620" t="s">
        <v>537</v>
      </c>
      <c r="B8" s="621" t="s">
        <v>312</v>
      </c>
      <c r="C8" s="622" t="s">
        <v>539</v>
      </c>
      <c r="D8" s="622">
        <v>0</v>
      </c>
      <c r="E8" s="622"/>
      <c r="F8" s="622">
        <v>92.900499999999994</v>
      </c>
      <c r="G8" s="622">
        <v>15.750013160236831</v>
      </c>
      <c r="H8" s="622">
        <v>77.150486839763161</v>
      </c>
      <c r="I8" s="623">
        <v>5.8984395158818437</v>
      </c>
      <c r="J8" s="624" t="s">
        <v>1</v>
      </c>
    </row>
    <row r="9" spans="1:10" ht="14.4" customHeight="1" x14ac:dyDescent="0.3">
      <c r="A9" s="620" t="s">
        <v>537</v>
      </c>
      <c r="B9" s="621" t="s">
        <v>314</v>
      </c>
      <c r="C9" s="622">
        <v>71.28716</v>
      </c>
      <c r="D9" s="622">
        <v>94.681539999999998</v>
      </c>
      <c r="E9" s="622"/>
      <c r="F9" s="622">
        <v>35.942869999999999</v>
      </c>
      <c r="G9" s="622">
        <v>57.285094171902337</v>
      </c>
      <c r="H9" s="622">
        <v>-21.342224171902338</v>
      </c>
      <c r="I9" s="623">
        <v>0.62743843786207043</v>
      </c>
      <c r="J9" s="624" t="s">
        <v>1</v>
      </c>
    </row>
    <row r="10" spans="1:10" ht="14.4" customHeight="1" x14ac:dyDescent="0.3">
      <c r="A10" s="620" t="s">
        <v>537</v>
      </c>
      <c r="B10" s="621" t="s">
        <v>315</v>
      </c>
      <c r="C10" s="622">
        <v>13.552499999999998</v>
      </c>
      <c r="D10" s="622">
        <v>17.979340000000001</v>
      </c>
      <c r="E10" s="622"/>
      <c r="F10" s="622">
        <v>6.7670700000000004</v>
      </c>
      <c r="G10" s="622">
        <v>17.500001579890668</v>
      </c>
      <c r="H10" s="622">
        <v>-10.732931579890668</v>
      </c>
      <c r="I10" s="623">
        <v>0.38668967937557625</v>
      </c>
      <c r="J10" s="624" t="s">
        <v>1</v>
      </c>
    </row>
    <row r="11" spans="1:10" ht="14.4" customHeight="1" x14ac:dyDescent="0.3">
      <c r="A11" s="620" t="s">
        <v>537</v>
      </c>
      <c r="B11" s="621" t="s">
        <v>316</v>
      </c>
      <c r="C11" s="622">
        <v>86.891969999999986</v>
      </c>
      <c r="D11" s="622">
        <v>79.961359999999999</v>
      </c>
      <c r="E11" s="622"/>
      <c r="F11" s="622">
        <v>50.763109999999998</v>
      </c>
      <c r="G11" s="622">
        <v>75.833340179527582</v>
      </c>
      <c r="H11" s="622">
        <v>-25.070230179527584</v>
      </c>
      <c r="I11" s="623">
        <v>0.6694035879182374</v>
      </c>
      <c r="J11" s="624" t="s">
        <v>1</v>
      </c>
    </row>
    <row r="12" spans="1:10" ht="14.4" customHeight="1" x14ac:dyDescent="0.3">
      <c r="A12" s="620" t="s">
        <v>537</v>
      </c>
      <c r="B12" s="621" t="s">
        <v>317</v>
      </c>
      <c r="C12" s="622">
        <v>5.15442</v>
      </c>
      <c r="D12" s="622">
        <v>5.27182</v>
      </c>
      <c r="E12" s="622"/>
      <c r="F12" s="622">
        <v>4.6686199999999998</v>
      </c>
      <c r="G12" s="622">
        <v>7.5830845037733328</v>
      </c>
      <c r="H12" s="622">
        <v>-2.914464503773333</v>
      </c>
      <c r="I12" s="623">
        <v>0.6156623993411785</v>
      </c>
      <c r="J12" s="624" t="s">
        <v>1</v>
      </c>
    </row>
    <row r="13" spans="1:10" ht="14.4" customHeight="1" x14ac:dyDescent="0.3">
      <c r="A13" s="620" t="s">
        <v>537</v>
      </c>
      <c r="B13" s="621" t="s">
        <v>318</v>
      </c>
      <c r="C13" s="622" t="s">
        <v>539</v>
      </c>
      <c r="D13" s="622" t="s">
        <v>539</v>
      </c>
      <c r="E13" s="622"/>
      <c r="F13" s="622">
        <v>2738.1990999999998</v>
      </c>
      <c r="G13" s="622">
        <v>2100.0001895869209</v>
      </c>
      <c r="H13" s="622">
        <v>638.19891041307892</v>
      </c>
      <c r="I13" s="623">
        <v>1.3039042156175307</v>
      </c>
      <c r="J13" s="624" t="s">
        <v>1</v>
      </c>
    </row>
    <row r="14" spans="1:10" ht="14.4" customHeight="1" x14ac:dyDescent="0.3">
      <c r="A14" s="620" t="s">
        <v>537</v>
      </c>
      <c r="B14" s="621" t="s">
        <v>319</v>
      </c>
      <c r="C14" s="622">
        <v>319.23820000000001</v>
      </c>
      <c r="D14" s="622">
        <v>182.16041000000001</v>
      </c>
      <c r="E14" s="622"/>
      <c r="F14" s="622">
        <v>167.1514</v>
      </c>
      <c r="G14" s="622">
        <v>183.75001658885549</v>
      </c>
      <c r="H14" s="622">
        <v>-16.598616588855492</v>
      </c>
      <c r="I14" s="623">
        <v>0.9096674008688922</v>
      </c>
      <c r="J14" s="624" t="s">
        <v>1</v>
      </c>
    </row>
    <row r="15" spans="1:10" ht="14.4" customHeight="1" x14ac:dyDescent="0.3">
      <c r="A15" s="620" t="s">
        <v>537</v>
      </c>
      <c r="B15" s="621" t="s">
        <v>540</v>
      </c>
      <c r="C15" s="622">
        <v>1450.12896</v>
      </c>
      <c r="D15" s="622">
        <v>1521.8170299999999</v>
      </c>
      <c r="E15" s="622"/>
      <c r="F15" s="622">
        <v>4379.1107599999996</v>
      </c>
      <c r="G15" s="622">
        <v>3603.3685098679671</v>
      </c>
      <c r="H15" s="622">
        <v>775.7422501320325</v>
      </c>
      <c r="I15" s="623">
        <v>1.2152825191227685</v>
      </c>
      <c r="J15" s="624" t="s">
        <v>541</v>
      </c>
    </row>
    <row r="17" spans="1:10" ht="14.4" customHeight="1" x14ac:dyDescent="0.3">
      <c r="A17" s="620" t="s">
        <v>537</v>
      </c>
      <c r="B17" s="621" t="s">
        <v>538</v>
      </c>
      <c r="C17" s="622" t="s">
        <v>539</v>
      </c>
      <c r="D17" s="622" t="s">
        <v>539</v>
      </c>
      <c r="E17" s="622"/>
      <c r="F17" s="622" t="s">
        <v>539</v>
      </c>
      <c r="G17" s="622" t="s">
        <v>539</v>
      </c>
      <c r="H17" s="622" t="s">
        <v>539</v>
      </c>
      <c r="I17" s="623" t="s">
        <v>539</v>
      </c>
      <c r="J17" s="624" t="s">
        <v>67</v>
      </c>
    </row>
    <row r="18" spans="1:10" ht="14.4" customHeight="1" x14ac:dyDescent="0.3">
      <c r="A18" s="620" t="s">
        <v>542</v>
      </c>
      <c r="B18" s="621" t="s">
        <v>543</v>
      </c>
      <c r="C18" s="622" t="s">
        <v>539</v>
      </c>
      <c r="D18" s="622" t="s">
        <v>539</v>
      </c>
      <c r="E18" s="622"/>
      <c r="F18" s="622" t="s">
        <v>539</v>
      </c>
      <c r="G18" s="622" t="s">
        <v>539</v>
      </c>
      <c r="H18" s="622" t="s">
        <v>539</v>
      </c>
      <c r="I18" s="623" t="s">
        <v>539</v>
      </c>
      <c r="J18" s="624" t="s">
        <v>0</v>
      </c>
    </row>
    <row r="19" spans="1:10" ht="14.4" customHeight="1" x14ac:dyDescent="0.3">
      <c r="A19" s="620" t="s">
        <v>542</v>
      </c>
      <c r="B19" s="621" t="s">
        <v>310</v>
      </c>
      <c r="C19" s="622">
        <v>105.07883000000001</v>
      </c>
      <c r="D19" s="622">
        <v>104.27513</v>
      </c>
      <c r="E19" s="622"/>
      <c r="F19" s="622">
        <v>115.39023</v>
      </c>
      <c r="G19" s="622">
        <v>108.08599751481701</v>
      </c>
      <c r="H19" s="622">
        <v>7.3042324851829932</v>
      </c>
      <c r="I19" s="623">
        <v>1.0675779717366414</v>
      </c>
      <c r="J19" s="624" t="s">
        <v>1</v>
      </c>
    </row>
    <row r="20" spans="1:10" ht="14.4" customHeight="1" x14ac:dyDescent="0.3">
      <c r="A20" s="620" t="s">
        <v>542</v>
      </c>
      <c r="B20" s="621" t="s">
        <v>314</v>
      </c>
      <c r="C20" s="622">
        <v>0</v>
      </c>
      <c r="D20" s="622">
        <v>0</v>
      </c>
      <c r="E20" s="622"/>
      <c r="F20" s="622">
        <v>1.8262</v>
      </c>
      <c r="G20" s="622">
        <v>3.4439960790433335</v>
      </c>
      <c r="H20" s="622">
        <v>-1.6177960790433334</v>
      </c>
      <c r="I20" s="623">
        <v>0.53025612053172788</v>
      </c>
      <c r="J20" s="624" t="s">
        <v>1</v>
      </c>
    </row>
    <row r="21" spans="1:10" ht="14.4" customHeight="1" x14ac:dyDescent="0.3">
      <c r="A21" s="620" t="s">
        <v>542</v>
      </c>
      <c r="B21" s="621" t="s">
        <v>315</v>
      </c>
      <c r="C21" s="622" t="s">
        <v>539</v>
      </c>
      <c r="D21" s="622">
        <v>5.2437000000000005</v>
      </c>
      <c r="E21" s="622"/>
      <c r="F21" s="622">
        <v>0</v>
      </c>
      <c r="G21" s="622">
        <v>3.6652859295814997</v>
      </c>
      <c r="H21" s="622">
        <v>-3.6652859295814997</v>
      </c>
      <c r="I21" s="623">
        <v>0</v>
      </c>
      <c r="J21" s="624" t="s">
        <v>1</v>
      </c>
    </row>
    <row r="22" spans="1:10" ht="14.4" customHeight="1" x14ac:dyDescent="0.3">
      <c r="A22" s="620" t="s">
        <v>542</v>
      </c>
      <c r="B22" s="621" t="s">
        <v>316</v>
      </c>
      <c r="C22" s="622">
        <v>6.8611499999999994</v>
      </c>
      <c r="D22" s="622">
        <v>6.6998399999999991</v>
      </c>
      <c r="E22" s="622"/>
      <c r="F22" s="622">
        <v>4.5127199999999998</v>
      </c>
      <c r="G22" s="622">
        <v>6.3548331271961658</v>
      </c>
      <c r="H22" s="622">
        <v>-1.8421131271961659</v>
      </c>
      <c r="I22" s="623">
        <v>0.71012407559332247</v>
      </c>
      <c r="J22" s="624" t="s">
        <v>1</v>
      </c>
    </row>
    <row r="23" spans="1:10" ht="14.4" customHeight="1" x14ac:dyDescent="0.3">
      <c r="A23" s="620" t="s">
        <v>542</v>
      </c>
      <c r="B23" s="621" t="s">
        <v>317</v>
      </c>
      <c r="C23" s="622">
        <v>1.5597599999999998</v>
      </c>
      <c r="D23" s="622">
        <v>1.8162999999999998</v>
      </c>
      <c r="E23" s="622"/>
      <c r="F23" s="622">
        <v>2.16866</v>
      </c>
      <c r="G23" s="622">
        <v>2.4150380340467499</v>
      </c>
      <c r="H23" s="622">
        <v>-0.24637803404674985</v>
      </c>
      <c r="I23" s="623">
        <v>0.89798171682045624</v>
      </c>
      <c r="J23" s="624" t="s">
        <v>1</v>
      </c>
    </row>
    <row r="24" spans="1:10" ht="14.4" customHeight="1" x14ac:dyDescent="0.3">
      <c r="A24" s="620" t="s">
        <v>542</v>
      </c>
      <c r="B24" s="621" t="s">
        <v>319</v>
      </c>
      <c r="C24" s="622">
        <v>87.09320000000001</v>
      </c>
      <c r="D24" s="622">
        <v>83.510329999999996</v>
      </c>
      <c r="E24" s="622"/>
      <c r="F24" s="622">
        <v>79.389700000000005</v>
      </c>
      <c r="G24" s="622">
        <v>82.566910786373413</v>
      </c>
      <c r="H24" s="622">
        <v>-3.1772107863734078</v>
      </c>
      <c r="I24" s="623">
        <v>0.96151956327161314</v>
      </c>
      <c r="J24" s="624" t="s">
        <v>1</v>
      </c>
    </row>
    <row r="25" spans="1:10" ht="14.4" customHeight="1" x14ac:dyDescent="0.3">
      <c r="A25" s="620" t="s">
        <v>542</v>
      </c>
      <c r="B25" s="621" t="s">
        <v>544</v>
      </c>
      <c r="C25" s="622">
        <v>200.59294</v>
      </c>
      <c r="D25" s="622">
        <v>201.5453</v>
      </c>
      <c r="E25" s="622"/>
      <c r="F25" s="622">
        <v>203.28751</v>
      </c>
      <c r="G25" s="622">
        <v>206.53206147105817</v>
      </c>
      <c r="H25" s="622">
        <v>-3.2445514710581733</v>
      </c>
      <c r="I25" s="623">
        <v>0.98429032544415462</v>
      </c>
      <c r="J25" s="624" t="s">
        <v>545</v>
      </c>
    </row>
    <row r="26" spans="1:10" ht="14.4" customHeight="1" x14ac:dyDescent="0.3">
      <c r="A26" s="620" t="s">
        <v>539</v>
      </c>
      <c r="B26" s="621" t="s">
        <v>539</v>
      </c>
      <c r="C26" s="622" t="s">
        <v>539</v>
      </c>
      <c r="D26" s="622" t="s">
        <v>539</v>
      </c>
      <c r="E26" s="622"/>
      <c r="F26" s="622" t="s">
        <v>539</v>
      </c>
      <c r="G26" s="622" t="s">
        <v>539</v>
      </c>
      <c r="H26" s="622" t="s">
        <v>539</v>
      </c>
      <c r="I26" s="623" t="s">
        <v>539</v>
      </c>
      <c r="J26" s="624" t="s">
        <v>546</v>
      </c>
    </row>
    <row r="27" spans="1:10" ht="14.4" customHeight="1" x14ac:dyDescent="0.3">
      <c r="A27" s="620" t="s">
        <v>547</v>
      </c>
      <c r="B27" s="621" t="s">
        <v>548</v>
      </c>
      <c r="C27" s="622" t="s">
        <v>539</v>
      </c>
      <c r="D27" s="622" t="s">
        <v>539</v>
      </c>
      <c r="E27" s="622"/>
      <c r="F27" s="622" t="s">
        <v>539</v>
      </c>
      <c r="G27" s="622" t="s">
        <v>539</v>
      </c>
      <c r="H27" s="622" t="s">
        <v>539</v>
      </c>
      <c r="I27" s="623" t="s">
        <v>539</v>
      </c>
      <c r="J27" s="624" t="s">
        <v>0</v>
      </c>
    </row>
    <row r="28" spans="1:10" ht="14.4" customHeight="1" x14ac:dyDescent="0.3">
      <c r="A28" s="620" t="s">
        <v>547</v>
      </c>
      <c r="B28" s="621" t="s">
        <v>310</v>
      </c>
      <c r="C28" s="622">
        <v>75.678970000000007</v>
      </c>
      <c r="D28" s="622">
        <v>77.66152000000001</v>
      </c>
      <c r="E28" s="622"/>
      <c r="F28" s="622">
        <v>89.727180000000004</v>
      </c>
      <c r="G28" s="622">
        <v>74.093768618073753</v>
      </c>
      <c r="H28" s="622">
        <v>15.633411381926251</v>
      </c>
      <c r="I28" s="623">
        <v>1.2109949550887438</v>
      </c>
      <c r="J28" s="624" t="s">
        <v>1</v>
      </c>
    </row>
    <row r="29" spans="1:10" ht="14.4" customHeight="1" x14ac:dyDescent="0.3">
      <c r="A29" s="620" t="s">
        <v>547</v>
      </c>
      <c r="B29" s="621" t="s">
        <v>314</v>
      </c>
      <c r="C29" s="622">
        <v>1.9333299999999998</v>
      </c>
      <c r="D29" s="622">
        <v>0.37709999999999999</v>
      </c>
      <c r="E29" s="622"/>
      <c r="F29" s="622">
        <v>0</v>
      </c>
      <c r="G29" s="622">
        <v>0.44877007110775002</v>
      </c>
      <c r="H29" s="622">
        <v>-0.44877007110775002</v>
      </c>
      <c r="I29" s="623">
        <v>0</v>
      </c>
      <c r="J29" s="624" t="s">
        <v>1</v>
      </c>
    </row>
    <row r="30" spans="1:10" ht="14.4" customHeight="1" x14ac:dyDescent="0.3">
      <c r="A30" s="620" t="s">
        <v>547</v>
      </c>
      <c r="B30" s="621" t="s">
        <v>316</v>
      </c>
      <c r="C30" s="622">
        <v>6.9003299999999994</v>
      </c>
      <c r="D30" s="622">
        <v>14.612119999999999</v>
      </c>
      <c r="E30" s="622"/>
      <c r="F30" s="622">
        <v>4.69611</v>
      </c>
      <c r="G30" s="622">
        <v>9.514730100719083</v>
      </c>
      <c r="H30" s="622">
        <v>-4.818620100719083</v>
      </c>
      <c r="I30" s="623">
        <v>0.49356208219138953</v>
      </c>
      <c r="J30" s="624" t="s">
        <v>1</v>
      </c>
    </row>
    <row r="31" spans="1:10" ht="14.4" customHeight="1" x14ac:dyDescent="0.3">
      <c r="A31" s="620" t="s">
        <v>547</v>
      </c>
      <c r="B31" s="621" t="s">
        <v>317</v>
      </c>
      <c r="C31" s="622">
        <v>0.72725999999999991</v>
      </c>
      <c r="D31" s="622">
        <v>0.67208999999999997</v>
      </c>
      <c r="E31" s="622"/>
      <c r="F31" s="622">
        <v>0.65278000000000003</v>
      </c>
      <c r="G31" s="622">
        <v>1.7212681024810832</v>
      </c>
      <c r="H31" s="622">
        <v>-1.0684881024810831</v>
      </c>
      <c r="I31" s="623">
        <v>0.37924365127028437</v>
      </c>
      <c r="J31" s="624" t="s">
        <v>1</v>
      </c>
    </row>
    <row r="32" spans="1:10" ht="14.4" customHeight="1" x14ac:dyDescent="0.3">
      <c r="A32" s="620" t="s">
        <v>547</v>
      </c>
      <c r="B32" s="621" t="s">
        <v>319</v>
      </c>
      <c r="C32" s="622" t="s">
        <v>539</v>
      </c>
      <c r="D32" s="622">
        <v>0</v>
      </c>
      <c r="E32" s="622"/>
      <c r="F32" s="622">
        <v>0.41399999999999998</v>
      </c>
      <c r="G32" s="622">
        <v>0</v>
      </c>
      <c r="H32" s="622">
        <v>0.41399999999999998</v>
      </c>
      <c r="I32" s="623" t="s">
        <v>539</v>
      </c>
      <c r="J32" s="624" t="s">
        <v>1</v>
      </c>
    </row>
    <row r="33" spans="1:10" ht="14.4" customHeight="1" x14ac:dyDescent="0.3">
      <c r="A33" s="620" t="s">
        <v>547</v>
      </c>
      <c r="B33" s="621" t="s">
        <v>549</v>
      </c>
      <c r="C33" s="622">
        <v>85.239890000000003</v>
      </c>
      <c r="D33" s="622">
        <v>93.32283000000001</v>
      </c>
      <c r="E33" s="622"/>
      <c r="F33" s="622">
        <v>95.490070000000017</v>
      </c>
      <c r="G33" s="622">
        <v>85.778536892381652</v>
      </c>
      <c r="H33" s="622">
        <v>9.7115331076183651</v>
      </c>
      <c r="I33" s="623">
        <v>1.1132163529415584</v>
      </c>
      <c r="J33" s="624" t="s">
        <v>545</v>
      </c>
    </row>
    <row r="34" spans="1:10" ht="14.4" customHeight="1" x14ac:dyDescent="0.3">
      <c r="A34" s="620" t="s">
        <v>539</v>
      </c>
      <c r="B34" s="621" t="s">
        <v>539</v>
      </c>
      <c r="C34" s="622" t="s">
        <v>539</v>
      </c>
      <c r="D34" s="622" t="s">
        <v>539</v>
      </c>
      <c r="E34" s="622"/>
      <c r="F34" s="622" t="s">
        <v>539</v>
      </c>
      <c r="G34" s="622" t="s">
        <v>539</v>
      </c>
      <c r="H34" s="622" t="s">
        <v>539</v>
      </c>
      <c r="I34" s="623" t="s">
        <v>539</v>
      </c>
      <c r="J34" s="624" t="s">
        <v>546</v>
      </c>
    </row>
    <row r="35" spans="1:10" ht="14.4" customHeight="1" x14ac:dyDescent="0.3">
      <c r="A35" s="620" t="s">
        <v>550</v>
      </c>
      <c r="B35" s="621" t="s">
        <v>551</v>
      </c>
      <c r="C35" s="622" t="s">
        <v>539</v>
      </c>
      <c r="D35" s="622" t="s">
        <v>539</v>
      </c>
      <c r="E35" s="622"/>
      <c r="F35" s="622" t="s">
        <v>539</v>
      </c>
      <c r="G35" s="622" t="s">
        <v>539</v>
      </c>
      <c r="H35" s="622" t="s">
        <v>539</v>
      </c>
      <c r="I35" s="623" t="s">
        <v>539</v>
      </c>
      <c r="J35" s="624" t="s">
        <v>0</v>
      </c>
    </row>
    <row r="36" spans="1:10" ht="14.4" customHeight="1" x14ac:dyDescent="0.3">
      <c r="A36" s="620" t="s">
        <v>550</v>
      </c>
      <c r="B36" s="621" t="s">
        <v>310</v>
      </c>
      <c r="C36" s="622">
        <v>773.24690999999996</v>
      </c>
      <c r="D36" s="622">
        <v>959.82590999999991</v>
      </c>
      <c r="E36" s="622"/>
      <c r="F36" s="622">
        <v>1041.8836799999999</v>
      </c>
      <c r="G36" s="622">
        <v>890.57033071442322</v>
      </c>
      <c r="H36" s="622">
        <v>151.31334928557669</v>
      </c>
      <c r="I36" s="623">
        <v>1.1699061197830292</v>
      </c>
      <c r="J36" s="624" t="s">
        <v>1</v>
      </c>
    </row>
    <row r="37" spans="1:10" ht="14.4" customHeight="1" x14ac:dyDescent="0.3">
      <c r="A37" s="620" t="s">
        <v>550</v>
      </c>
      <c r="B37" s="621" t="s">
        <v>311</v>
      </c>
      <c r="C37" s="622" t="s">
        <v>539</v>
      </c>
      <c r="D37" s="622">
        <v>0</v>
      </c>
      <c r="E37" s="622"/>
      <c r="F37" s="622">
        <v>35.716999999999999</v>
      </c>
      <c r="G37" s="622">
        <v>72.916673249545994</v>
      </c>
      <c r="H37" s="622">
        <v>-37.199673249545995</v>
      </c>
      <c r="I37" s="623">
        <v>0.48983309863526153</v>
      </c>
      <c r="J37" s="624" t="s">
        <v>1</v>
      </c>
    </row>
    <row r="38" spans="1:10" ht="14.4" customHeight="1" x14ac:dyDescent="0.3">
      <c r="A38" s="620" t="s">
        <v>550</v>
      </c>
      <c r="B38" s="621" t="s">
        <v>312</v>
      </c>
      <c r="C38" s="622" t="s">
        <v>539</v>
      </c>
      <c r="D38" s="622">
        <v>0</v>
      </c>
      <c r="E38" s="622"/>
      <c r="F38" s="622">
        <v>92.900499999999994</v>
      </c>
      <c r="G38" s="622">
        <v>15.750013160236831</v>
      </c>
      <c r="H38" s="622">
        <v>77.150486839763161</v>
      </c>
      <c r="I38" s="623">
        <v>5.8984395158818437</v>
      </c>
      <c r="J38" s="624" t="s">
        <v>1</v>
      </c>
    </row>
    <row r="39" spans="1:10" ht="14.4" customHeight="1" x14ac:dyDescent="0.3">
      <c r="A39" s="620" t="s">
        <v>550</v>
      </c>
      <c r="B39" s="621" t="s">
        <v>314</v>
      </c>
      <c r="C39" s="622">
        <v>69.353830000000002</v>
      </c>
      <c r="D39" s="622">
        <v>94.30444</v>
      </c>
      <c r="E39" s="622"/>
      <c r="F39" s="622">
        <v>34.116669999999999</v>
      </c>
      <c r="G39" s="622">
        <v>53.392328021751254</v>
      </c>
      <c r="H39" s="622">
        <v>-19.275658021751255</v>
      </c>
      <c r="I39" s="623">
        <v>0.63898075367871887</v>
      </c>
      <c r="J39" s="624" t="s">
        <v>1</v>
      </c>
    </row>
    <row r="40" spans="1:10" ht="14.4" customHeight="1" x14ac:dyDescent="0.3">
      <c r="A40" s="620" t="s">
        <v>550</v>
      </c>
      <c r="B40" s="621" t="s">
        <v>315</v>
      </c>
      <c r="C40" s="622">
        <v>13.552499999999998</v>
      </c>
      <c r="D40" s="622">
        <v>12.73564</v>
      </c>
      <c r="E40" s="622"/>
      <c r="F40" s="622">
        <v>6.7670700000000004</v>
      </c>
      <c r="G40" s="622">
        <v>13.834715650309168</v>
      </c>
      <c r="H40" s="622">
        <v>-7.0676456503091671</v>
      </c>
      <c r="I40" s="623">
        <v>0.48913690537967619</v>
      </c>
      <c r="J40" s="624" t="s">
        <v>1</v>
      </c>
    </row>
    <row r="41" spans="1:10" ht="14.4" customHeight="1" x14ac:dyDescent="0.3">
      <c r="A41" s="620" t="s">
        <v>550</v>
      </c>
      <c r="B41" s="621" t="s">
        <v>316</v>
      </c>
      <c r="C41" s="622">
        <v>73.130489999999995</v>
      </c>
      <c r="D41" s="622">
        <v>58.6494</v>
      </c>
      <c r="E41" s="622"/>
      <c r="F41" s="622">
        <v>41.554279999999999</v>
      </c>
      <c r="G41" s="622">
        <v>59.963776951612338</v>
      </c>
      <c r="H41" s="622">
        <v>-18.40949695161234</v>
      </c>
      <c r="I41" s="623">
        <v>0.6929897033259288</v>
      </c>
      <c r="J41" s="624" t="s">
        <v>1</v>
      </c>
    </row>
    <row r="42" spans="1:10" ht="14.4" customHeight="1" x14ac:dyDescent="0.3">
      <c r="A42" s="620" t="s">
        <v>550</v>
      </c>
      <c r="B42" s="621" t="s">
        <v>317</v>
      </c>
      <c r="C42" s="622">
        <v>2.8673999999999999</v>
      </c>
      <c r="D42" s="622">
        <v>2.7834299999999996</v>
      </c>
      <c r="E42" s="622"/>
      <c r="F42" s="622">
        <v>1.84718</v>
      </c>
      <c r="G42" s="622">
        <v>3.4467783672454999</v>
      </c>
      <c r="H42" s="622">
        <v>-1.5995983672454999</v>
      </c>
      <c r="I42" s="623">
        <v>0.53591493365329945</v>
      </c>
      <c r="J42" s="624" t="s">
        <v>1</v>
      </c>
    </row>
    <row r="43" spans="1:10" ht="14.4" customHeight="1" x14ac:dyDescent="0.3">
      <c r="A43" s="620" t="s">
        <v>550</v>
      </c>
      <c r="B43" s="621" t="s">
        <v>319</v>
      </c>
      <c r="C43" s="622">
        <v>232.14499999999998</v>
      </c>
      <c r="D43" s="622">
        <v>98.650080000000017</v>
      </c>
      <c r="E43" s="622"/>
      <c r="F43" s="622">
        <v>87.347699999999989</v>
      </c>
      <c r="G43" s="622">
        <v>101.18310580248207</v>
      </c>
      <c r="H43" s="622">
        <v>-13.835405802482086</v>
      </c>
      <c r="I43" s="623">
        <v>0.86326367734263898</v>
      </c>
      <c r="J43" s="624" t="s">
        <v>1</v>
      </c>
    </row>
    <row r="44" spans="1:10" ht="14.4" customHeight="1" x14ac:dyDescent="0.3">
      <c r="A44" s="620" t="s">
        <v>550</v>
      </c>
      <c r="B44" s="621" t="s">
        <v>552</v>
      </c>
      <c r="C44" s="622">
        <v>1164.2961299999999</v>
      </c>
      <c r="D44" s="622">
        <v>1226.9489000000001</v>
      </c>
      <c r="E44" s="622"/>
      <c r="F44" s="622">
        <v>1342.1340800000003</v>
      </c>
      <c r="G44" s="622">
        <v>1211.0577219176062</v>
      </c>
      <c r="H44" s="622">
        <v>131.07635808239411</v>
      </c>
      <c r="I44" s="623">
        <v>1.1082329567866063</v>
      </c>
      <c r="J44" s="624" t="s">
        <v>545</v>
      </c>
    </row>
    <row r="45" spans="1:10" ht="14.4" customHeight="1" x14ac:dyDescent="0.3">
      <c r="A45" s="620" t="s">
        <v>539</v>
      </c>
      <c r="B45" s="621" t="s">
        <v>539</v>
      </c>
      <c r="C45" s="622" t="s">
        <v>539</v>
      </c>
      <c r="D45" s="622" t="s">
        <v>539</v>
      </c>
      <c r="E45" s="622"/>
      <c r="F45" s="622" t="s">
        <v>539</v>
      </c>
      <c r="G45" s="622" t="s">
        <v>539</v>
      </c>
      <c r="H45" s="622" t="s">
        <v>539</v>
      </c>
      <c r="I45" s="623" t="s">
        <v>539</v>
      </c>
      <c r="J45" s="624" t="s">
        <v>546</v>
      </c>
    </row>
    <row r="46" spans="1:10" ht="14.4" customHeight="1" x14ac:dyDescent="0.3">
      <c r="A46" s="620" t="s">
        <v>553</v>
      </c>
      <c r="B46" s="621" t="s">
        <v>554</v>
      </c>
      <c r="C46" s="622" t="s">
        <v>539</v>
      </c>
      <c r="D46" s="622" t="s">
        <v>539</v>
      </c>
      <c r="E46" s="622"/>
      <c r="F46" s="622" t="s">
        <v>539</v>
      </c>
      <c r="G46" s="622" t="s">
        <v>539</v>
      </c>
      <c r="H46" s="622" t="s">
        <v>539</v>
      </c>
      <c r="I46" s="623" t="s">
        <v>539</v>
      </c>
      <c r="J46" s="624" t="s">
        <v>0</v>
      </c>
    </row>
    <row r="47" spans="1:10" ht="14.4" customHeight="1" x14ac:dyDescent="0.3">
      <c r="A47" s="620" t="s">
        <v>553</v>
      </c>
      <c r="B47" s="621" t="s">
        <v>318</v>
      </c>
      <c r="C47" s="622" t="s">
        <v>539</v>
      </c>
      <c r="D47" s="622" t="s">
        <v>539</v>
      </c>
      <c r="E47" s="622"/>
      <c r="F47" s="622">
        <v>2738.1990999999998</v>
      </c>
      <c r="G47" s="622">
        <v>2100.0001895869209</v>
      </c>
      <c r="H47" s="622">
        <v>638.19891041307892</v>
      </c>
      <c r="I47" s="623">
        <v>1.3039042156175307</v>
      </c>
      <c r="J47" s="624" t="s">
        <v>1</v>
      </c>
    </row>
    <row r="48" spans="1:10" ht="14.4" customHeight="1" x14ac:dyDescent="0.3">
      <c r="A48" s="620" t="s">
        <v>553</v>
      </c>
      <c r="B48" s="621" t="s">
        <v>555</v>
      </c>
      <c r="C48" s="622" t="s">
        <v>539</v>
      </c>
      <c r="D48" s="622" t="s">
        <v>539</v>
      </c>
      <c r="E48" s="622"/>
      <c r="F48" s="622">
        <v>2738.1990999999998</v>
      </c>
      <c r="G48" s="622">
        <v>2100.0001895869209</v>
      </c>
      <c r="H48" s="622">
        <v>638.19891041307892</v>
      </c>
      <c r="I48" s="623">
        <v>1.3039042156175307</v>
      </c>
      <c r="J48" s="624" t="s">
        <v>545</v>
      </c>
    </row>
    <row r="49" spans="1:10" ht="14.4" customHeight="1" x14ac:dyDescent="0.3">
      <c r="A49" s="620" t="s">
        <v>539</v>
      </c>
      <c r="B49" s="621" t="s">
        <v>539</v>
      </c>
      <c r="C49" s="622" t="s">
        <v>539</v>
      </c>
      <c r="D49" s="622" t="s">
        <v>539</v>
      </c>
      <c r="E49" s="622"/>
      <c r="F49" s="622" t="s">
        <v>539</v>
      </c>
      <c r="G49" s="622" t="s">
        <v>539</v>
      </c>
      <c r="H49" s="622" t="s">
        <v>539</v>
      </c>
      <c r="I49" s="623" t="s">
        <v>539</v>
      </c>
      <c r="J49" s="624" t="s">
        <v>546</v>
      </c>
    </row>
    <row r="50" spans="1:10" ht="14.4" customHeight="1" x14ac:dyDescent="0.3">
      <c r="A50" s="620" t="s">
        <v>537</v>
      </c>
      <c r="B50" s="621" t="s">
        <v>540</v>
      </c>
      <c r="C50" s="622">
        <v>1450.12896</v>
      </c>
      <c r="D50" s="622">
        <v>1521.8170299999999</v>
      </c>
      <c r="E50" s="622"/>
      <c r="F50" s="622">
        <v>4379.1107599999996</v>
      </c>
      <c r="G50" s="622">
        <v>3603.3685098679671</v>
      </c>
      <c r="H50" s="622">
        <v>775.7422501320325</v>
      </c>
      <c r="I50" s="623">
        <v>1.2152825191227685</v>
      </c>
      <c r="J50" s="624" t="s">
        <v>541</v>
      </c>
    </row>
  </sheetData>
  <mergeCells count="3">
    <mergeCell ref="F3:I3"/>
    <mergeCell ref="C4:D4"/>
    <mergeCell ref="A1:I1"/>
  </mergeCells>
  <conditionalFormatting sqref="F16 F51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50">
    <cfRule type="expression" dxfId="67" priority="5">
      <formula>$H17&gt;0</formula>
    </cfRule>
  </conditionalFormatting>
  <conditionalFormatting sqref="A17:A50">
    <cfRule type="expression" dxfId="66" priority="2">
      <formula>AND($J17&lt;&gt;"mezeraKL",$J17&lt;&gt;"")</formula>
    </cfRule>
  </conditionalFormatting>
  <conditionalFormatting sqref="I17:I50">
    <cfRule type="expression" dxfId="65" priority="6">
      <formula>$I17&gt;1</formula>
    </cfRule>
  </conditionalFormatting>
  <conditionalFormatting sqref="B17:B50">
    <cfRule type="expression" dxfId="64" priority="1">
      <formula>OR($J17="NS",$J17="SumaNS",$J17="Účet")</formula>
    </cfRule>
  </conditionalFormatting>
  <conditionalFormatting sqref="A17:D50 F17:I50">
    <cfRule type="expression" dxfId="63" priority="8">
      <formula>AND($J17&lt;&gt;"",$J17&lt;&gt;"mezeraKL")</formula>
    </cfRule>
  </conditionalFormatting>
  <conditionalFormatting sqref="B17:D50 F17:I50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0 F17:I50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4" hidden="1" customWidth="1" outlineLevel="1"/>
    <col min="2" max="2" width="28.33203125" style="244" hidden="1" customWidth="1" outlineLevel="1"/>
    <col min="3" max="3" width="5.33203125" style="328" bestFit="1" customWidth="1" collapsed="1"/>
    <col min="4" max="4" width="18.77734375" style="332" customWidth="1"/>
    <col min="5" max="5" width="9" style="328" bestFit="1" customWidth="1"/>
    <col min="6" max="6" width="18.77734375" style="332" customWidth="1"/>
    <col min="7" max="7" width="5" style="328" customWidth="1"/>
    <col min="8" max="8" width="12.44140625" style="328" hidden="1" customWidth="1" outlineLevel="1"/>
    <col min="9" max="9" width="8.5546875" style="328" hidden="1" customWidth="1" outlineLevel="1"/>
    <col min="10" max="10" width="25.77734375" style="328" customWidth="1" collapsed="1"/>
    <col min="11" max="11" width="8.77734375" style="328" customWidth="1"/>
    <col min="12" max="13" width="7.77734375" style="326" customWidth="1"/>
    <col min="14" max="14" width="11.109375" style="326" customWidth="1"/>
    <col min="15" max="16384" width="8.88671875" style="244"/>
  </cols>
  <sheetData>
    <row r="1" spans="1:14" ht="18.600000000000001" customHeight="1" thickBot="1" x14ac:dyDescent="0.4">
      <c r="A1" s="500" t="s">
        <v>196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14" ht="14.4" customHeight="1" thickBot="1" x14ac:dyDescent="0.35">
      <c r="A2" s="368" t="s">
        <v>301</v>
      </c>
      <c r="B2" s="66"/>
      <c r="C2" s="330"/>
      <c r="D2" s="330"/>
      <c r="E2" s="330"/>
      <c r="F2" s="330"/>
      <c r="G2" s="330"/>
      <c r="H2" s="330"/>
      <c r="I2" s="330"/>
      <c r="J2" s="330"/>
      <c r="K2" s="330"/>
      <c r="L2" s="331"/>
      <c r="M2" s="331"/>
      <c r="N2" s="331"/>
    </row>
    <row r="3" spans="1:14" ht="14.4" customHeight="1" thickBot="1" x14ac:dyDescent="0.35">
      <c r="A3" s="66"/>
      <c r="B3" s="66"/>
      <c r="C3" s="496"/>
      <c r="D3" s="497"/>
      <c r="E3" s="497"/>
      <c r="F3" s="497"/>
      <c r="G3" s="497"/>
      <c r="H3" s="497"/>
      <c r="I3" s="497"/>
      <c r="J3" s="498" t="s">
        <v>151</v>
      </c>
      <c r="K3" s="499"/>
      <c r="L3" s="197">
        <f>IF(M3&lt;&gt;0,N3/M3,0)</f>
        <v>432.00645422087814</v>
      </c>
      <c r="M3" s="197">
        <f>SUBTOTAL(9,M5:M1048576)</f>
        <v>10213.807999999999</v>
      </c>
      <c r="N3" s="198">
        <f>SUBTOTAL(9,N5:N1048576)</f>
        <v>4412430.9781728387</v>
      </c>
    </row>
    <row r="4" spans="1:14" s="327" customFormat="1" ht="14.4" customHeight="1" thickBot="1" x14ac:dyDescent="0.35">
      <c r="A4" s="625" t="s">
        <v>4</v>
      </c>
      <c r="B4" s="626" t="s">
        <v>5</v>
      </c>
      <c r="C4" s="626" t="s">
        <v>0</v>
      </c>
      <c r="D4" s="626" t="s">
        <v>6</v>
      </c>
      <c r="E4" s="626" t="s">
        <v>7</v>
      </c>
      <c r="F4" s="626" t="s">
        <v>1</v>
      </c>
      <c r="G4" s="626" t="s">
        <v>8</v>
      </c>
      <c r="H4" s="626" t="s">
        <v>9</v>
      </c>
      <c r="I4" s="626" t="s">
        <v>10</v>
      </c>
      <c r="J4" s="627" t="s">
        <v>11</v>
      </c>
      <c r="K4" s="627" t="s">
        <v>12</v>
      </c>
      <c r="L4" s="628" t="s">
        <v>176</v>
      </c>
      <c r="M4" s="628" t="s">
        <v>13</v>
      </c>
      <c r="N4" s="629" t="s">
        <v>192</v>
      </c>
    </row>
    <row r="5" spans="1:14" ht="14.4" customHeight="1" x14ac:dyDescent="0.3">
      <c r="A5" s="632" t="s">
        <v>537</v>
      </c>
      <c r="B5" s="633" t="s">
        <v>538</v>
      </c>
      <c r="C5" s="634" t="s">
        <v>542</v>
      </c>
      <c r="D5" s="635" t="s">
        <v>1127</v>
      </c>
      <c r="E5" s="634" t="s">
        <v>556</v>
      </c>
      <c r="F5" s="635" t="s">
        <v>1131</v>
      </c>
      <c r="G5" s="634" t="s">
        <v>557</v>
      </c>
      <c r="H5" s="634" t="s">
        <v>558</v>
      </c>
      <c r="I5" s="634" t="s">
        <v>558</v>
      </c>
      <c r="J5" s="634" t="s">
        <v>559</v>
      </c>
      <c r="K5" s="634" t="s">
        <v>560</v>
      </c>
      <c r="L5" s="636">
        <v>171.60000000000002</v>
      </c>
      <c r="M5" s="636">
        <v>3</v>
      </c>
      <c r="N5" s="637">
        <v>514.80000000000007</v>
      </c>
    </row>
    <row r="6" spans="1:14" ht="14.4" customHeight="1" x14ac:dyDescent="0.3">
      <c r="A6" s="638" t="s">
        <v>537</v>
      </c>
      <c r="B6" s="639" t="s">
        <v>538</v>
      </c>
      <c r="C6" s="640" t="s">
        <v>542</v>
      </c>
      <c r="D6" s="641" t="s">
        <v>1127</v>
      </c>
      <c r="E6" s="640" t="s">
        <v>556</v>
      </c>
      <c r="F6" s="641" t="s">
        <v>1131</v>
      </c>
      <c r="G6" s="640" t="s">
        <v>557</v>
      </c>
      <c r="H6" s="640" t="s">
        <v>561</v>
      </c>
      <c r="I6" s="640" t="s">
        <v>562</v>
      </c>
      <c r="J6" s="640" t="s">
        <v>563</v>
      </c>
      <c r="K6" s="640" t="s">
        <v>564</v>
      </c>
      <c r="L6" s="642">
        <v>87.029999999999987</v>
      </c>
      <c r="M6" s="642">
        <v>4</v>
      </c>
      <c r="N6" s="643">
        <v>348.11999999999995</v>
      </c>
    </row>
    <row r="7" spans="1:14" ht="14.4" customHeight="1" x14ac:dyDescent="0.3">
      <c r="A7" s="638" t="s">
        <v>537</v>
      </c>
      <c r="B7" s="639" t="s">
        <v>538</v>
      </c>
      <c r="C7" s="640" t="s">
        <v>542</v>
      </c>
      <c r="D7" s="641" t="s">
        <v>1127</v>
      </c>
      <c r="E7" s="640" t="s">
        <v>556</v>
      </c>
      <c r="F7" s="641" t="s">
        <v>1131</v>
      </c>
      <c r="G7" s="640" t="s">
        <v>557</v>
      </c>
      <c r="H7" s="640" t="s">
        <v>565</v>
      </c>
      <c r="I7" s="640" t="s">
        <v>566</v>
      </c>
      <c r="J7" s="640" t="s">
        <v>567</v>
      </c>
      <c r="K7" s="640" t="s">
        <v>568</v>
      </c>
      <c r="L7" s="642">
        <v>79.225972157805032</v>
      </c>
      <c r="M7" s="642">
        <v>30</v>
      </c>
      <c r="N7" s="643">
        <v>2376.779164734151</v>
      </c>
    </row>
    <row r="8" spans="1:14" ht="14.4" customHeight="1" x14ac:dyDescent="0.3">
      <c r="A8" s="638" t="s">
        <v>537</v>
      </c>
      <c r="B8" s="639" t="s">
        <v>538</v>
      </c>
      <c r="C8" s="640" t="s">
        <v>542</v>
      </c>
      <c r="D8" s="641" t="s">
        <v>1127</v>
      </c>
      <c r="E8" s="640" t="s">
        <v>556</v>
      </c>
      <c r="F8" s="641" t="s">
        <v>1131</v>
      </c>
      <c r="G8" s="640" t="s">
        <v>557</v>
      </c>
      <c r="H8" s="640" t="s">
        <v>569</v>
      </c>
      <c r="I8" s="640" t="s">
        <v>570</v>
      </c>
      <c r="J8" s="640" t="s">
        <v>571</v>
      </c>
      <c r="K8" s="640" t="s">
        <v>572</v>
      </c>
      <c r="L8" s="642">
        <v>74.173893896334548</v>
      </c>
      <c r="M8" s="642">
        <v>350</v>
      </c>
      <c r="N8" s="643">
        <v>25960.862863717091</v>
      </c>
    </row>
    <row r="9" spans="1:14" ht="14.4" customHeight="1" x14ac:dyDescent="0.3">
      <c r="A9" s="638" t="s">
        <v>537</v>
      </c>
      <c r="B9" s="639" t="s">
        <v>538</v>
      </c>
      <c r="C9" s="640" t="s">
        <v>542</v>
      </c>
      <c r="D9" s="641" t="s">
        <v>1127</v>
      </c>
      <c r="E9" s="640" t="s">
        <v>556</v>
      </c>
      <c r="F9" s="641" t="s">
        <v>1131</v>
      </c>
      <c r="G9" s="640" t="s">
        <v>557</v>
      </c>
      <c r="H9" s="640" t="s">
        <v>573</v>
      </c>
      <c r="I9" s="640" t="s">
        <v>574</v>
      </c>
      <c r="J9" s="640" t="s">
        <v>575</v>
      </c>
      <c r="K9" s="640" t="s">
        <v>576</v>
      </c>
      <c r="L9" s="642">
        <v>38.980000000000004</v>
      </c>
      <c r="M9" s="642">
        <v>1</v>
      </c>
      <c r="N9" s="643">
        <v>38.980000000000004</v>
      </c>
    </row>
    <row r="10" spans="1:14" ht="14.4" customHeight="1" x14ac:dyDescent="0.3">
      <c r="A10" s="638" t="s">
        <v>537</v>
      </c>
      <c r="B10" s="639" t="s">
        <v>538</v>
      </c>
      <c r="C10" s="640" t="s">
        <v>542</v>
      </c>
      <c r="D10" s="641" t="s">
        <v>1127</v>
      </c>
      <c r="E10" s="640" t="s">
        <v>556</v>
      </c>
      <c r="F10" s="641" t="s">
        <v>1131</v>
      </c>
      <c r="G10" s="640" t="s">
        <v>557</v>
      </c>
      <c r="H10" s="640" t="s">
        <v>577</v>
      </c>
      <c r="I10" s="640" t="s">
        <v>578</v>
      </c>
      <c r="J10" s="640" t="s">
        <v>579</v>
      </c>
      <c r="K10" s="640"/>
      <c r="L10" s="642">
        <v>218.2</v>
      </c>
      <c r="M10" s="642">
        <v>2</v>
      </c>
      <c r="N10" s="643">
        <v>436.4</v>
      </c>
    </row>
    <row r="11" spans="1:14" ht="14.4" customHeight="1" x14ac:dyDescent="0.3">
      <c r="A11" s="638" t="s">
        <v>537</v>
      </c>
      <c r="B11" s="639" t="s">
        <v>538</v>
      </c>
      <c r="C11" s="640" t="s">
        <v>542</v>
      </c>
      <c r="D11" s="641" t="s">
        <v>1127</v>
      </c>
      <c r="E11" s="640" t="s">
        <v>556</v>
      </c>
      <c r="F11" s="641" t="s">
        <v>1131</v>
      </c>
      <c r="G11" s="640" t="s">
        <v>557</v>
      </c>
      <c r="H11" s="640" t="s">
        <v>580</v>
      </c>
      <c r="I11" s="640" t="s">
        <v>581</v>
      </c>
      <c r="J11" s="640" t="s">
        <v>582</v>
      </c>
      <c r="K11" s="640" t="s">
        <v>583</v>
      </c>
      <c r="L11" s="642">
        <v>179.39994090387034</v>
      </c>
      <c r="M11" s="642">
        <v>2</v>
      </c>
      <c r="N11" s="643">
        <v>358.79988180774069</v>
      </c>
    </row>
    <row r="12" spans="1:14" ht="14.4" customHeight="1" x14ac:dyDescent="0.3">
      <c r="A12" s="638" t="s">
        <v>537</v>
      </c>
      <c r="B12" s="639" t="s">
        <v>538</v>
      </c>
      <c r="C12" s="640" t="s">
        <v>542</v>
      </c>
      <c r="D12" s="641" t="s">
        <v>1127</v>
      </c>
      <c r="E12" s="640" t="s">
        <v>556</v>
      </c>
      <c r="F12" s="641" t="s">
        <v>1131</v>
      </c>
      <c r="G12" s="640" t="s">
        <v>557</v>
      </c>
      <c r="H12" s="640" t="s">
        <v>584</v>
      </c>
      <c r="I12" s="640" t="s">
        <v>578</v>
      </c>
      <c r="J12" s="640" t="s">
        <v>585</v>
      </c>
      <c r="K12" s="640"/>
      <c r="L12" s="642">
        <v>37.69600270814167</v>
      </c>
      <c r="M12" s="642">
        <v>40</v>
      </c>
      <c r="N12" s="643">
        <v>1507.8401083256667</v>
      </c>
    </row>
    <row r="13" spans="1:14" ht="14.4" customHeight="1" x14ac:dyDescent="0.3">
      <c r="A13" s="638" t="s">
        <v>537</v>
      </c>
      <c r="B13" s="639" t="s">
        <v>538</v>
      </c>
      <c r="C13" s="640" t="s">
        <v>542</v>
      </c>
      <c r="D13" s="641" t="s">
        <v>1127</v>
      </c>
      <c r="E13" s="640" t="s">
        <v>556</v>
      </c>
      <c r="F13" s="641" t="s">
        <v>1131</v>
      </c>
      <c r="G13" s="640" t="s">
        <v>557</v>
      </c>
      <c r="H13" s="640" t="s">
        <v>586</v>
      </c>
      <c r="I13" s="640" t="s">
        <v>587</v>
      </c>
      <c r="J13" s="640" t="s">
        <v>567</v>
      </c>
      <c r="K13" s="640" t="s">
        <v>588</v>
      </c>
      <c r="L13" s="642">
        <v>42.17</v>
      </c>
      <c r="M13" s="642">
        <v>1</v>
      </c>
      <c r="N13" s="643">
        <v>42.17</v>
      </c>
    </row>
    <row r="14" spans="1:14" ht="14.4" customHeight="1" x14ac:dyDescent="0.3">
      <c r="A14" s="638" t="s">
        <v>537</v>
      </c>
      <c r="B14" s="639" t="s">
        <v>538</v>
      </c>
      <c r="C14" s="640" t="s">
        <v>542</v>
      </c>
      <c r="D14" s="641" t="s">
        <v>1127</v>
      </c>
      <c r="E14" s="640" t="s">
        <v>556</v>
      </c>
      <c r="F14" s="641" t="s">
        <v>1131</v>
      </c>
      <c r="G14" s="640" t="s">
        <v>557</v>
      </c>
      <c r="H14" s="640" t="s">
        <v>589</v>
      </c>
      <c r="I14" s="640" t="s">
        <v>590</v>
      </c>
      <c r="J14" s="640" t="s">
        <v>591</v>
      </c>
      <c r="K14" s="640" t="s">
        <v>592</v>
      </c>
      <c r="L14" s="642">
        <v>68.899999999999991</v>
      </c>
      <c r="M14" s="642">
        <v>1</v>
      </c>
      <c r="N14" s="643">
        <v>68.899999999999991</v>
      </c>
    </row>
    <row r="15" spans="1:14" ht="14.4" customHeight="1" x14ac:dyDescent="0.3">
      <c r="A15" s="638" t="s">
        <v>537</v>
      </c>
      <c r="B15" s="639" t="s">
        <v>538</v>
      </c>
      <c r="C15" s="640" t="s">
        <v>542</v>
      </c>
      <c r="D15" s="641" t="s">
        <v>1127</v>
      </c>
      <c r="E15" s="640" t="s">
        <v>556</v>
      </c>
      <c r="F15" s="641" t="s">
        <v>1131</v>
      </c>
      <c r="G15" s="640" t="s">
        <v>557</v>
      </c>
      <c r="H15" s="640" t="s">
        <v>593</v>
      </c>
      <c r="I15" s="640" t="s">
        <v>578</v>
      </c>
      <c r="J15" s="640" t="s">
        <v>594</v>
      </c>
      <c r="K15" s="640"/>
      <c r="L15" s="642">
        <v>46.32</v>
      </c>
      <c r="M15" s="642">
        <v>1</v>
      </c>
      <c r="N15" s="643">
        <v>46.32</v>
      </c>
    </row>
    <row r="16" spans="1:14" ht="14.4" customHeight="1" x14ac:dyDescent="0.3">
      <c r="A16" s="638" t="s">
        <v>537</v>
      </c>
      <c r="B16" s="639" t="s">
        <v>538</v>
      </c>
      <c r="C16" s="640" t="s">
        <v>542</v>
      </c>
      <c r="D16" s="641" t="s">
        <v>1127</v>
      </c>
      <c r="E16" s="640" t="s">
        <v>556</v>
      </c>
      <c r="F16" s="641" t="s">
        <v>1131</v>
      </c>
      <c r="G16" s="640" t="s">
        <v>557</v>
      </c>
      <c r="H16" s="640" t="s">
        <v>595</v>
      </c>
      <c r="I16" s="640" t="s">
        <v>578</v>
      </c>
      <c r="J16" s="640" t="s">
        <v>596</v>
      </c>
      <c r="K16" s="640"/>
      <c r="L16" s="642">
        <v>60.26618952472419</v>
      </c>
      <c r="M16" s="642">
        <v>3</v>
      </c>
      <c r="N16" s="643">
        <v>180.79856857417258</v>
      </c>
    </row>
    <row r="17" spans="1:14" ht="14.4" customHeight="1" x14ac:dyDescent="0.3">
      <c r="A17" s="638" t="s">
        <v>537</v>
      </c>
      <c r="B17" s="639" t="s">
        <v>538</v>
      </c>
      <c r="C17" s="640" t="s">
        <v>542</v>
      </c>
      <c r="D17" s="641" t="s">
        <v>1127</v>
      </c>
      <c r="E17" s="640" t="s">
        <v>556</v>
      </c>
      <c r="F17" s="641" t="s">
        <v>1131</v>
      </c>
      <c r="G17" s="640" t="s">
        <v>557</v>
      </c>
      <c r="H17" s="640" t="s">
        <v>597</v>
      </c>
      <c r="I17" s="640" t="s">
        <v>597</v>
      </c>
      <c r="J17" s="640" t="s">
        <v>598</v>
      </c>
      <c r="K17" s="640" t="s">
        <v>599</v>
      </c>
      <c r="L17" s="642">
        <v>75.502308544964166</v>
      </c>
      <c r="M17" s="642">
        <v>13</v>
      </c>
      <c r="N17" s="643">
        <v>981.53001108453418</v>
      </c>
    </row>
    <row r="18" spans="1:14" ht="14.4" customHeight="1" x14ac:dyDescent="0.3">
      <c r="A18" s="638" t="s">
        <v>537</v>
      </c>
      <c r="B18" s="639" t="s">
        <v>538</v>
      </c>
      <c r="C18" s="640" t="s">
        <v>542</v>
      </c>
      <c r="D18" s="641" t="s">
        <v>1127</v>
      </c>
      <c r="E18" s="640" t="s">
        <v>556</v>
      </c>
      <c r="F18" s="641" t="s">
        <v>1131</v>
      </c>
      <c r="G18" s="640" t="s">
        <v>557</v>
      </c>
      <c r="H18" s="640" t="s">
        <v>600</v>
      </c>
      <c r="I18" s="640" t="s">
        <v>601</v>
      </c>
      <c r="J18" s="640" t="s">
        <v>602</v>
      </c>
      <c r="K18" s="640" t="s">
        <v>603</v>
      </c>
      <c r="L18" s="642">
        <v>48.400014483512784</v>
      </c>
      <c r="M18" s="642">
        <v>79</v>
      </c>
      <c r="N18" s="643">
        <v>3823.6011441975102</v>
      </c>
    </row>
    <row r="19" spans="1:14" ht="14.4" customHeight="1" x14ac:dyDescent="0.3">
      <c r="A19" s="638" t="s">
        <v>537</v>
      </c>
      <c r="B19" s="639" t="s">
        <v>538</v>
      </c>
      <c r="C19" s="640" t="s">
        <v>542</v>
      </c>
      <c r="D19" s="641" t="s">
        <v>1127</v>
      </c>
      <c r="E19" s="640" t="s">
        <v>556</v>
      </c>
      <c r="F19" s="641" t="s">
        <v>1131</v>
      </c>
      <c r="G19" s="640" t="s">
        <v>557</v>
      </c>
      <c r="H19" s="640" t="s">
        <v>604</v>
      </c>
      <c r="I19" s="640" t="s">
        <v>578</v>
      </c>
      <c r="J19" s="640" t="s">
        <v>605</v>
      </c>
      <c r="K19" s="640" t="s">
        <v>606</v>
      </c>
      <c r="L19" s="642">
        <v>23.700651088309638</v>
      </c>
      <c r="M19" s="642">
        <v>210</v>
      </c>
      <c r="N19" s="643">
        <v>4977.1367285450242</v>
      </c>
    </row>
    <row r="20" spans="1:14" ht="14.4" customHeight="1" x14ac:dyDescent="0.3">
      <c r="A20" s="638" t="s">
        <v>537</v>
      </c>
      <c r="B20" s="639" t="s">
        <v>538</v>
      </c>
      <c r="C20" s="640" t="s">
        <v>542</v>
      </c>
      <c r="D20" s="641" t="s">
        <v>1127</v>
      </c>
      <c r="E20" s="640" t="s">
        <v>556</v>
      </c>
      <c r="F20" s="641" t="s">
        <v>1131</v>
      </c>
      <c r="G20" s="640" t="s">
        <v>557</v>
      </c>
      <c r="H20" s="640" t="s">
        <v>607</v>
      </c>
      <c r="I20" s="640" t="s">
        <v>608</v>
      </c>
      <c r="J20" s="640" t="s">
        <v>609</v>
      </c>
      <c r="K20" s="640" t="s">
        <v>610</v>
      </c>
      <c r="L20" s="642">
        <v>69.819566124856067</v>
      </c>
      <c r="M20" s="642">
        <v>6</v>
      </c>
      <c r="N20" s="643">
        <v>418.9173967491364</v>
      </c>
    </row>
    <row r="21" spans="1:14" ht="14.4" customHeight="1" x14ac:dyDescent="0.3">
      <c r="A21" s="638" t="s">
        <v>537</v>
      </c>
      <c r="B21" s="639" t="s">
        <v>538</v>
      </c>
      <c r="C21" s="640" t="s">
        <v>542</v>
      </c>
      <c r="D21" s="641" t="s">
        <v>1127</v>
      </c>
      <c r="E21" s="640" t="s">
        <v>556</v>
      </c>
      <c r="F21" s="641" t="s">
        <v>1131</v>
      </c>
      <c r="G21" s="640" t="s">
        <v>557</v>
      </c>
      <c r="H21" s="640" t="s">
        <v>611</v>
      </c>
      <c r="I21" s="640" t="s">
        <v>570</v>
      </c>
      <c r="J21" s="640" t="s">
        <v>612</v>
      </c>
      <c r="K21" s="640"/>
      <c r="L21" s="642">
        <v>450.0549121937886</v>
      </c>
      <c r="M21" s="642">
        <v>3</v>
      </c>
      <c r="N21" s="643">
        <v>1350.1647365813658</v>
      </c>
    </row>
    <row r="22" spans="1:14" ht="14.4" customHeight="1" x14ac:dyDescent="0.3">
      <c r="A22" s="638" t="s">
        <v>537</v>
      </c>
      <c r="B22" s="639" t="s">
        <v>538</v>
      </c>
      <c r="C22" s="640" t="s">
        <v>542</v>
      </c>
      <c r="D22" s="641" t="s">
        <v>1127</v>
      </c>
      <c r="E22" s="640" t="s">
        <v>556</v>
      </c>
      <c r="F22" s="641" t="s">
        <v>1131</v>
      </c>
      <c r="G22" s="640" t="s">
        <v>557</v>
      </c>
      <c r="H22" s="640" t="s">
        <v>613</v>
      </c>
      <c r="I22" s="640" t="s">
        <v>578</v>
      </c>
      <c r="J22" s="640" t="s">
        <v>614</v>
      </c>
      <c r="K22" s="640"/>
      <c r="L22" s="642">
        <v>165.02215289524446</v>
      </c>
      <c r="M22" s="642">
        <v>1</v>
      </c>
      <c r="N22" s="643">
        <v>165.02215289524446</v>
      </c>
    </row>
    <row r="23" spans="1:14" ht="14.4" customHeight="1" x14ac:dyDescent="0.3">
      <c r="A23" s="638" t="s">
        <v>537</v>
      </c>
      <c r="B23" s="639" t="s">
        <v>538</v>
      </c>
      <c r="C23" s="640" t="s">
        <v>542</v>
      </c>
      <c r="D23" s="641" t="s">
        <v>1127</v>
      </c>
      <c r="E23" s="640" t="s">
        <v>556</v>
      </c>
      <c r="F23" s="641" t="s">
        <v>1131</v>
      </c>
      <c r="G23" s="640" t="s">
        <v>557</v>
      </c>
      <c r="H23" s="640" t="s">
        <v>615</v>
      </c>
      <c r="I23" s="640" t="s">
        <v>578</v>
      </c>
      <c r="J23" s="640" t="s">
        <v>616</v>
      </c>
      <c r="K23" s="640"/>
      <c r="L23" s="642">
        <v>34.516306246161157</v>
      </c>
      <c r="M23" s="642">
        <v>2</v>
      </c>
      <c r="N23" s="643">
        <v>69.032612492322315</v>
      </c>
    </row>
    <row r="24" spans="1:14" ht="14.4" customHeight="1" x14ac:dyDescent="0.3">
      <c r="A24" s="638" t="s">
        <v>537</v>
      </c>
      <c r="B24" s="639" t="s">
        <v>538</v>
      </c>
      <c r="C24" s="640" t="s">
        <v>542</v>
      </c>
      <c r="D24" s="641" t="s">
        <v>1127</v>
      </c>
      <c r="E24" s="640" t="s">
        <v>556</v>
      </c>
      <c r="F24" s="641" t="s">
        <v>1131</v>
      </c>
      <c r="G24" s="640" t="s">
        <v>557</v>
      </c>
      <c r="H24" s="640" t="s">
        <v>617</v>
      </c>
      <c r="I24" s="640" t="s">
        <v>578</v>
      </c>
      <c r="J24" s="640" t="s">
        <v>618</v>
      </c>
      <c r="K24" s="640"/>
      <c r="L24" s="642">
        <v>89.64914927477173</v>
      </c>
      <c r="M24" s="642">
        <v>29</v>
      </c>
      <c r="N24" s="643">
        <v>2599.8253289683803</v>
      </c>
    </row>
    <row r="25" spans="1:14" ht="14.4" customHeight="1" x14ac:dyDescent="0.3">
      <c r="A25" s="638" t="s">
        <v>537</v>
      </c>
      <c r="B25" s="639" t="s">
        <v>538</v>
      </c>
      <c r="C25" s="640" t="s">
        <v>542</v>
      </c>
      <c r="D25" s="641" t="s">
        <v>1127</v>
      </c>
      <c r="E25" s="640" t="s">
        <v>556</v>
      </c>
      <c r="F25" s="641" t="s">
        <v>1131</v>
      </c>
      <c r="G25" s="640" t="s">
        <v>557</v>
      </c>
      <c r="H25" s="640" t="s">
        <v>619</v>
      </c>
      <c r="I25" s="640" t="s">
        <v>578</v>
      </c>
      <c r="J25" s="640" t="s">
        <v>620</v>
      </c>
      <c r="K25" s="640"/>
      <c r="L25" s="642">
        <v>65.114836649459619</v>
      </c>
      <c r="M25" s="642">
        <v>6</v>
      </c>
      <c r="N25" s="643">
        <v>390.68901989675771</v>
      </c>
    </row>
    <row r="26" spans="1:14" ht="14.4" customHeight="1" x14ac:dyDescent="0.3">
      <c r="A26" s="638" t="s">
        <v>537</v>
      </c>
      <c r="B26" s="639" t="s">
        <v>538</v>
      </c>
      <c r="C26" s="640" t="s">
        <v>542</v>
      </c>
      <c r="D26" s="641" t="s">
        <v>1127</v>
      </c>
      <c r="E26" s="640" t="s">
        <v>556</v>
      </c>
      <c r="F26" s="641" t="s">
        <v>1131</v>
      </c>
      <c r="G26" s="640" t="s">
        <v>557</v>
      </c>
      <c r="H26" s="640" t="s">
        <v>621</v>
      </c>
      <c r="I26" s="640" t="s">
        <v>578</v>
      </c>
      <c r="J26" s="640" t="s">
        <v>622</v>
      </c>
      <c r="K26" s="640"/>
      <c r="L26" s="642">
        <v>81.985087831703638</v>
      </c>
      <c r="M26" s="642">
        <v>180</v>
      </c>
      <c r="N26" s="643">
        <v>14757.315809706655</v>
      </c>
    </row>
    <row r="27" spans="1:14" ht="14.4" customHeight="1" x14ac:dyDescent="0.3">
      <c r="A27" s="638" t="s">
        <v>537</v>
      </c>
      <c r="B27" s="639" t="s">
        <v>538</v>
      </c>
      <c r="C27" s="640" t="s">
        <v>542</v>
      </c>
      <c r="D27" s="641" t="s">
        <v>1127</v>
      </c>
      <c r="E27" s="640" t="s">
        <v>556</v>
      </c>
      <c r="F27" s="641" t="s">
        <v>1131</v>
      </c>
      <c r="G27" s="640" t="s">
        <v>557</v>
      </c>
      <c r="H27" s="640" t="s">
        <v>623</v>
      </c>
      <c r="I27" s="640" t="s">
        <v>578</v>
      </c>
      <c r="J27" s="640" t="s">
        <v>624</v>
      </c>
      <c r="K27" s="640"/>
      <c r="L27" s="642">
        <v>145.70316425214207</v>
      </c>
      <c r="M27" s="642">
        <v>3</v>
      </c>
      <c r="N27" s="643">
        <v>437.10949275642622</v>
      </c>
    </row>
    <row r="28" spans="1:14" ht="14.4" customHeight="1" x14ac:dyDescent="0.3">
      <c r="A28" s="638" t="s">
        <v>537</v>
      </c>
      <c r="B28" s="639" t="s">
        <v>538</v>
      </c>
      <c r="C28" s="640" t="s">
        <v>542</v>
      </c>
      <c r="D28" s="641" t="s">
        <v>1127</v>
      </c>
      <c r="E28" s="640" t="s">
        <v>556</v>
      </c>
      <c r="F28" s="641" t="s">
        <v>1131</v>
      </c>
      <c r="G28" s="640" t="s">
        <v>557</v>
      </c>
      <c r="H28" s="640" t="s">
        <v>625</v>
      </c>
      <c r="I28" s="640" t="s">
        <v>578</v>
      </c>
      <c r="J28" s="640" t="s">
        <v>626</v>
      </c>
      <c r="K28" s="640"/>
      <c r="L28" s="642">
        <v>50.536081556221326</v>
      </c>
      <c r="M28" s="642">
        <v>890</v>
      </c>
      <c r="N28" s="643">
        <v>44977.112585036979</v>
      </c>
    </row>
    <row r="29" spans="1:14" ht="14.4" customHeight="1" x14ac:dyDescent="0.3">
      <c r="A29" s="638" t="s">
        <v>537</v>
      </c>
      <c r="B29" s="639" t="s">
        <v>538</v>
      </c>
      <c r="C29" s="640" t="s">
        <v>542</v>
      </c>
      <c r="D29" s="641" t="s">
        <v>1127</v>
      </c>
      <c r="E29" s="640" t="s">
        <v>556</v>
      </c>
      <c r="F29" s="641" t="s">
        <v>1131</v>
      </c>
      <c r="G29" s="640" t="s">
        <v>557</v>
      </c>
      <c r="H29" s="640" t="s">
        <v>627</v>
      </c>
      <c r="I29" s="640" t="s">
        <v>578</v>
      </c>
      <c r="J29" s="640" t="s">
        <v>628</v>
      </c>
      <c r="K29" s="640"/>
      <c r="L29" s="642">
        <v>53.95294158810507</v>
      </c>
      <c r="M29" s="642">
        <v>5</v>
      </c>
      <c r="N29" s="643">
        <v>269.76470794052534</v>
      </c>
    </row>
    <row r="30" spans="1:14" ht="14.4" customHeight="1" x14ac:dyDescent="0.3">
      <c r="A30" s="638" t="s">
        <v>537</v>
      </c>
      <c r="B30" s="639" t="s">
        <v>538</v>
      </c>
      <c r="C30" s="640" t="s">
        <v>542</v>
      </c>
      <c r="D30" s="641" t="s">
        <v>1127</v>
      </c>
      <c r="E30" s="640" t="s">
        <v>556</v>
      </c>
      <c r="F30" s="641" t="s">
        <v>1131</v>
      </c>
      <c r="G30" s="640" t="s">
        <v>557</v>
      </c>
      <c r="H30" s="640" t="s">
        <v>629</v>
      </c>
      <c r="I30" s="640" t="s">
        <v>578</v>
      </c>
      <c r="J30" s="640" t="s">
        <v>630</v>
      </c>
      <c r="K30" s="640" t="s">
        <v>631</v>
      </c>
      <c r="L30" s="642">
        <v>75.02</v>
      </c>
      <c r="M30" s="642">
        <v>1</v>
      </c>
      <c r="N30" s="643">
        <v>75.02</v>
      </c>
    </row>
    <row r="31" spans="1:14" ht="14.4" customHeight="1" x14ac:dyDescent="0.3">
      <c r="A31" s="638" t="s">
        <v>537</v>
      </c>
      <c r="B31" s="639" t="s">
        <v>538</v>
      </c>
      <c r="C31" s="640" t="s">
        <v>542</v>
      </c>
      <c r="D31" s="641" t="s">
        <v>1127</v>
      </c>
      <c r="E31" s="640" t="s">
        <v>556</v>
      </c>
      <c r="F31" s="641" t="s">
        <v>1131</v>
      </c>
      <c r="G31" s="640" t="s">
        <v>557</v>
      </c>
      <c r="H31" s="640" t="s">
        <v>632</v>
      </c>
      <c r="I31" s="640" t="s">
        <v>633</v>
      </c>
      <c r="J31" s="640" t="s">
        <v>634</v>
      </c>
      <c r="K31" s="640" t="s">
        <v>635</v>
      </c>
      <c r="L31" s="642">
        <v>27.046923076923072</v>
      </c>
      <c r="M31" s="642">
        <v>26</v>
      </c>
      <c r="N31" s="643">
        <v>703.21999999999991</v>
      </c>
    </row>
    <row r="32" spans="1:14" ht="14.4" customHeight="1" x14ac:dyDescent="0.3">
      <c r="A32" s="638" t="s">
        <v>537</v>
      </c>
      <c r="B32" s="639" t="s">
        <v>538</v>
      </c>
      <c r="C32" s="640" t="s">
        <v>542</v>
      </c>
      <c r="D32" s="641" t="s">
        <v>1127</v>
      </c>
      <c r="E32" s="640" t="s">
        <v>556</v>
      </c>
      <c r="F32" s="641" t="s">
        <v>1131</v>
      </c>
      <c r="G32" s="640" t="s">
        <v>557</v>
      </c>
      <c r="H32" s="640" t="s">
        <v>636</v>
      </c>
      <c r="I32" s="640" t="s">
        <v>636</v>
      </c>
      <c r="J32" s="640" t="s">
        <v>637</v>
      </c>
      <c r="K32" s="640" t="s">
        <v>638</v>
      </c>
      <c r="L32" s="642">
        <v>63.77</v>
      </c>
      <c r="M32" s="642">
        <v>20</v>
      </c>
      <c r="N32" s="643">
        <v>1275.4000000000001</v>
      </c>
    </row>
    <row r="33" spans="1:14" ht="14.4" customHeight="1" x14ac:dyDescent="0.3">
      <c r="A33" s="638" t="s">
        <v>537</v>
      </c>
      <c r="B33" s="639" t="s">
        <v>538</v>
      </c>
      <c r="C33" s="640" t="s">
        <v>542</v>
      </c>
      <c r="D33" s="641" t="s">
        <v>1127</v>
      </c>
      <c r="E33" s="640" t="s">
        <v>556</v>
      </c>
      <c r="F33" s="641" t="s">
        <v>1131</v>
      </c>
      <c r="G33" s="640" t="s">
        <v>557</v>
      </c>
      <c r="H33" s="640" t="s">
        <v>639</v>
      </c>
      <c r="I33" s="640" t="s">
        <v>578</v>
      </c>
      <c r="J33" s="640" t="s">
        <v>640</v>
      </c>
      <c r="K33" s="640"/>
      <c r="L33" s="642">
        <v>83.614073958152787</v>
      </c>
      <c r="M33" s="642">
        <v>96</v>
      </c>
      <c r="N33" s="643">
        <v>8026.9510999826671</v>
      </c>
    </row>
    <row r="34" spans="1:14" ht="14.4" customHeight="1" x14ac:dyDescent="0.3">
      <c r="A34" s="638" t="s">
        <v>537</v>
      </c>
      <c r="B34" s="639" t="s">
        <v>538</v>
      </c>
      <c r="C34" s="640" t="s">
        <v>542</v>
      </c>
      <c r="D34" s="641" t="s">
        <v>1127</v>
      </c>
      <c r="E34" s="640" t="s">
        <v>556</v>
      </c>
      <c r="F34" s="641" t="s">
        <v>1131</v>
      </c>
      <c r="G34" s="640" t="s">
        <v>557</v>
      </c>
      <c r="H34" s="640" t="s">
        <v>641</v>
      </c>
      <c r="I34" s="640" t="s">
        <v>642</v>
      </c>
      <c r="J34" s="640" t="s">
        <v>634</v>
      </c>
      <c r="K34" s="640" t="s">
        <v>643</v>
      </c>
      <c r="L34" s="642">
        <v>229.21995541300547</v>
      </c>
      <c r="M34" s="642">
        <v>14</v>
      </c>
      <c r="N34" s="643">
        <v>3209.0793757820766</v>
      </c>
    </row>
    <row r="35" spans="1:14" ht="14.4" customHeight="1" x14ac:dyDescent="0.3">
      <c r="A35" s="638" t="s">
        <v>537</v>
      </c>
      <c r="B35" s="639" t="s">
        <v>538</v>
      </c>
      <c r="C35" s="640" t="s">
        <v>542</v>
      </c>
      <c r="D35" s="641" t="s">
        <v>1127</v>
      </c>
      <c r="E35" s="640" t="s">
        <v>556</v>
      </c>
      <c r="F35" s="641" t="s">
        <v>1131</v>
      </c>
      <c r="G35" s="640" t="s">
        <v>557</v>
      </c>
      <c r="H35" s="640" t="s">
        <v>644</v>
      </c>
      <c r="I35" s="640" t="s">
        <v>578</v>
      </c>
      <c r="J35" s="640" t="s">
        <v>645</v>
      </c>
      <c r="K35" s="640" t="s">
        <v>646</v>
      </c>
      <c r="L35" s="642">
        <v>50.853583356107059</v>
      </c>
      <c r="M35" s="642">
        <v>1</v>
      </c>
      <c r="N35" s="643">
        <v>50.853583356107059</v>
      </c>
    </row>
    <row r="36" spans="1:14" ht="14.4" customHeight="1" x14ac:dyDescent="0.3">
      <c r="A36" s="638" t="s">
        <v>537</v>
      </c>
      <c r="B36" s="639" t="s">
        <v>538</v>
      </c>
      <c r="C36" s="640" t="s">
        <v>542</v>
      </c>
      <c r="D36" s="641" t="s">
        <v>1127</v>
      </c>
      <c r="E36" s="640" t="s">
        <v>556</v>
      </c>
      <c r="F36" s="641" t="s">
        <v>1131</v>
      </c>
      <c r="G36" s="640" t="s">
        <v>557</v>
      </c>
      <c r="H36" s="640" t="s">
        <v>647</v>
      </c>
      <c r="I36" s="640" t="s">
        <v>647</v>
      </c>
      <c r="J36" s="640" t="s">
        <v>648</v>
      </c>
      <c r="K36" s="640" t="s">
        <v>649</v>
      </c>
      <c r="L36" s="642">
        <v>45.23</v>
      </c>
      <c r="M36" s="642">
        <v>6</v>
      </c>
      <c r="N36" s="643">
        <v>271.38</v>
      </c>
    </row>
    <row r="37" spans="1:14" ht="14.4" customHeight="1" x14ac:dyDescent="0.3">
      <c r="A37" s="638" t="s">
        <v>537</v>
      </c>
      <c r="B37" s="639" t="s">
        <v>538</v>
      </c>
      <c r="C37" s="640" t="s">
        <v>542</v>
      </c>
      <c r="D37" s="641" t="s">
        <v>1127</v>
      </c>
      <c r="E37" s="640" t="s">
        <v>556</v>
      </c>
      <c r="F37" s="641" t="s">
        <v>1131</v>
      </c>
      <c r="G37" s="640" t="s">
        <v>557</v>
      </c>
      <c r="H37" s="640" t="s">
        <v>650</v>
      </c>
      <c r="I37" s="640" t="s">
        <v>650</v>
      </c>
      <c r="J37" s="640" t="s">
        <v>651</v>
      </c>
      <c r="K37" s="640" t="s">
        <v>652</v>
      </c>
      <c r="L37" s="642">
        <v>50.25</v>
      </c>
      <c r="M37" s="642">
        <v>5</v>
      </c>
      <c r="N37" s="643">
        <v>251.25</v>
      </c>
    </row>
    <row r="38" spans="1:14" ht="14.4" customHeight="1" x14ac:dyDescent="0.3">
      <c r="A38" s="638" t="s">
        <v>537</v>
      </c>
      <c r="B38" s="639" t="s">
        <v>538</v>
      </c>
      <c r="C38" s="640" t="s">
        <v>542</v>
      </c>
      <c r="D38" s="641" t="s">
        <v>1127</v>
      </c>
      <c r="E38" s="640" t="s">
        <v>556</v>
      </c>
      <c r="F38" s="641" t="s">
        <v>1131</v>
      </c>
      <c r="G38" s="640" t="s">
        <v>557</v>
      </c>
      <c r="H38" s="640" t="s">
        <v>653</v>
      </c>
      <c r="I38" s="640" t="s">
        <v>653</v>
      </c>
      <c r="J38" s="640" t="s">
        <v>654</v>
      </c>
      <c r="K38" s="640" t="s">
        <v>655</v>
      </c>
      <c r="L38" s="642">
        <v>126.55483520342075</v>
      </c>
      <c r="M38" s="642">
        <v>24</v>
      </c>
      <c r="N38" s="643">
        <v>3037.3160448820981</v>
      </c>
    </row>
    <row r="39" spans="1:14" ht="14.4" customHeight="1" x14ac:dyDescent="0.3">
      <c r="A39" s="638" t="s">
        <v>537</v>
      </c>
      <c r="B39" s="639" t="s">
        <v>538</v>
      </c>
      <c r="C39" s="640" t="s">
        <v>542</v>
      </c>
      <c r="D39" s="641" t="s">
        <v>1127</v>
      </c>
      <c r="E39" s="640" t="s">
        <v>656</v>
      </c>
      <c r="F39" s="641" t="s">
        <v>1132</v>
      </c>
      <c r="G39" s="640" t="s">
        <v>557</v>
      </c>
      <c r="H39" s="640" t="s">
        <v>657</v>
      </c>
      <c r="I39" s="640" t="s">
        <v>578</v>
      </c>
      <c r="J39" s="640" t="s">
        <v>658</v>
      </c>
      <c r="K39" s="640"/>
      <c r="L39" s="642">
        <v>480.74</v>
      </c>
      <c r="M39" s="642">
        <v>2</v>
      </c>
      <c r="N39" s="643">
        <v>961.48</v>
      </c>
    </row>
    <row r="40" spans="1:14" ht="14.4" customHeight="1" x14ac:dyDescent="0.3">
      <c r="A40" s="638" t="s">
        <v>537</v>
      </c>
      <c r="B40" s="639" t="s">
        <v>538</v>
      </c>
      <c r="C40" s="640" t="s">
        <v>542</v>
      </c>
      <c r="D40" s="641" t="s">
        <v>1127</v>
      </c>
      <c r="E40" s="640" t="s">
        <v>656</v>
      </c>
      <c r="F40" s="641" t="s">
        <v>1132</v>
      </c>
      <c r="G40" s="640" t="s">
        <v>557</v>
      </c>
      <c r="H40" s="640" t="s">
        <v>659</v>
      </c>
      <c r="I40" s="640" t="s">
        <v>578</v>
      </c>
      <c r="J40" s="640" t="s">
        <v>660</v>
      </c>
      <c r="K40" s="640"/>
      <c r="L40" s="642">
        <v>913.1</v>
      </c>
      <c r="M40" s="642">
        <v>2</v>
      </c>
      <c r="N40" s="643">
        <v>1826.2</v>
      </c>
    </row>
    <row r="41" spans="1:14" ht="14.4" customHeight="1" x14ac:dyDescent="0.3">
      <c r="A41" s="638" t="s">
        <v>537</v>
      </c>
      <c r="B41" s="639" t="s">
        <v>538</v>
      </c>
      <c r="C41" s="640" t="s">
        <v>542</v>
      </c>
      <c r="D41" s="641" t="s">
        <v>1127</v>
      </c>
      <c r="E41" s="640" t="s">
        <v>661</v>
      </c>
      <c r="F41" s="641" t="s">
        <v>1133</v>
      </c>
      <c r="G41" s="640" t="s">
        <v>557</v>
      </c>
      <c r="H41" s="640" t="s">
        <v>662</v>
      </c>
      <c r="I41" s="640" t="s">
        <v>663</v>
      </c>
      <c r="J41" s="640" t="s">
        <v>664</v>
      </c>
      <c r="K41" s="640" t="s">
        <v>665</v>
      </c>
      <c r="L41" s="642">
        <v>39.970000000000006</v>
      </c>
      <c r="M41" s="642">
        <v>2</v>
      </c>
      <c r="N41" s="643">
        <v>79.940000000000012</v>
      </c>
    </row>
    <row r="42" spans="1:14" ht="14.4" customHeight="1" x14ac:dyDescent="0.3">
      <c r="A42" s="638" t="s">
        <v>537</v>
      </c>
      <c r="B42" s="639" t="s">
        <v>538</v>
      </c>
      <c r="C42" s="640" t="s">
        <v>542</v>
      </c>
      <c r="D42" s="641" t="s">
        <v>1127</v>
      </c>
      <c r="E42" s="640" t="s">
        <v>661</v>
      </c>
      <c r="F42" s="641" t="s">
        <v>1133</v>
      </c>
      <c r="G42" s="640" t="s">
        <v>557</v>
      </c>
      <c r="H42" s="640" t="s">
        <v>666</v>
      </c>
      <c r="I42" s="640" t="s">
        <v>667</v>
      </c>
      <c r="J42" s="640" t="s">
        <v>668</v>
      </c>
      <c r="K42" s="640" t="s">
        <v>669</v>
      </c>
      <c r="L42" s="642">
        <v>67.783333333333346</v>
      </c>
      <c r="M42" s="642">
        <v>6</v>
      </c>
      <c r="N42" s="643">
        <v>406.70000000000005</v>
      </c>
    </row>
    <row r="43" spans="1:14" ht="14.4" customHeight="1" x14ac:dyDescent="0.3">
      <c r="A43" s="638" t="s">
        <v>537</v>
      </c>
      <c r="B43" s="639" t="s">
        <v>538</v>
      </c>
      <c r="C43" s="640" t="s">
        <v>542</v>
      </c>
      <c r="D43" s="641" t="s">
        <v>1127</v>
      </c>
      <c r="E43" s="640" t="s">
        <v>661</v>
      </c>
      <c r="F43" s="641" t="s">
        <v>1133</v>
      </c>
      <c r="G43" s="640" t="s">
        <v>557</v>
      </c>
      <c r="H43" s="640" t="s">
        <v>670</v>
      </c>
      <c r="I43" s="640" t="s">
        <v>670</v>
      </c>
      <c r="J43" s="640" t="s">
        <v>671</v>
      </c>
      <c r="K43" s="640" t="s">
        <v>672</v>
      </c>
      <c r="L43" s="642">
        <v>111.10999999999999</v>
      </c>
      <c r="M43" s="642">
        <v>10</v>
      </c>
      <c r="N43" s="643">
        <v>1111.0999999999999</v>
      </c>
    </row>
    <row r="44" spans="1:14" ht="14.4" customHeight="1" x14ac:dyDescent="0.3">
      <c r="A44" s="638" t="s">
        <v>537</v>
      </c>
      <c r="B44" s="639" t="s">
        <v>538</v>
      </c>
      <c r="C44" s="640" t="s">
        <v>542</v>
      </c>
      <c r="D44" s="641" t="s">
        <v>1127</v>
      </c>
      <c r="E44" s="640" t="s">
        <v>661</v>
      </c>
      <c r="F44" s="641" t="s">
        <v>1133</v>
      </c>
      <c r="G44" s="640" t="s">
        <v>557</v>
      </c>
      <c r="H44" s="640" t="s">
        <v>673</v>
      </c>
      <c r="I44" s="640" t="s">
        <v>674</v>
      </c>
      <c r="J44" s="640" t="s">
        <v>675</v>
      </c>
      <c r="K44" s="640" t="s">
        <v>676</v>
      </c>
      <c r="L44" s="642">
        <v>59.826666666666675</v>
      </c>
      <c r="M44" s="642">
        <v>6</v>
      </c>
      <c r="N44" s="643">
        <v>358.96000000000004</v>
      </c>
    </row>
    <row r="45" spans="1:14" ht="14.4" customHeight="1" x14ac:dyDescent="0.3">
      <c r="A45" s="638" t="s">
        <v>537</v>
      </c>
      <c r="B45" s="639" t="s">
        <v>538</v>
      </c>
      <c r="C45" s="640" t="s">
        <v>542</v>
      </c>
      <c r="D45" s="641" t="s">
        <v>1127</v>
      </c>
      <c r="E45" s="640" t="s">
        <v>661</v>
      </c>
      <c r="F45" s="641" t="s">
        <v>1133</v>
      </c>
      <c r="G45" s="640" t="s">
        <v>557</v>
      </c>
      <c r="H45" s="640" t="s">
        <v>677</v>
      </c>
      <c r="I45" s="640" t="s">
        <v>678</v>
      </c>
      <c r="J45" s="640" t="s">
        <v>679</v>
      </c>
      <c r="K45" s="640" t="s">
        <v>680</v>
      </c>
      <c r="L45" s="642">
        <v>23.52</v>
      </c>
      <c r="M45" s="642">
        <v>6</v>
      </c>
      <c r="N45" s="643">
        <v>141.12</v>
      </c>
    </row>
    <row r="46" spans="1:14" ht="14.4" customHeight="1" x14ac:dyDescent="0.3">
      <c r="A46" s="638" t="s">
        <v>537</v>
      </c>
      <c r="B46" s="639" t="s">
        <v>538</v>
      </c>
      <c r="C46" s="640" t="s">
        <v>542</v>
      </c>
      <c r="D46" s="641" t="s">
        <v>1127</v>
      </c>
      <c r="E46" s="640" t="s">
        <v>661</v>
      </c>
      <c r="F46" s="641" t="s">
        <v>1133</v>
      </c>
      <c r="G46" s="640" t="s">
        <v>557</v>
      </c>
      <c r="H46" s="640" t="s">
        <v>681</v>
      </c>
      <c r="I46" s="640" t="s">
        <v>682</v>
      </c>
      <c r="J46" s="640" t="s">
        <v>683</v>
      </c>
      <c r="K46" s="640" t="s">
        <v>684</v>
      </c>
      <c r="L46" s="642">
        <v>46.840023845336937</v>
      </c>
      <c r="M46" s="642">
        <v>35</v>
      </c>
      <c r="N46" s="643">
        <v>1639.4008345867928</v>
      </c>
    </row>
    <row r="47" spans="1:14" ht="14.4" customHeight="1" x14ac:dyDescent="0.3">
      <c r="A47" s="638" t="s">
        <v>537</v>
      </c>
      <c r="B47" s="639" t="s">
        <v>538</v>
      </c>
      <c r="C47" s="640" t="s">
        <v>542</v>
      </c>
      <c r="D47" s="641" t="s">
        <v>1127</v>
      </c>
      <c r="E47" s="640" t="s">
        <v>661</v>
      </c>
      <c r="F47" s="641" t="s">
        <v>1133</v>
      </c>
      <c r="G47" s="640" t="s">
        <v>557</v>
      </c>
      <c r="H47" s="640" t="s">
        <v>685</v>
      </c>
      <c r="I47" s="640" t="s">
        <v>685</v>
      </c>
      <c r="J47" s="640" t="s">
        <v>686</v>
      </c>
      <c r="K47" s="640" t="s">
        <v>687</v>
      </c>
      <c r="L47" s="642">
        <v>72.640051422811055</v>
      </c>
      <c r="M47" s="642">
        <v>2</v>
      </c>
      <c r="N47" s="643">
        <v>145.28010284562211</v>
      </c>
    </row>
    <row r="48" spans="1:14" ht="14.4" customHeight="1" x14ac:dyDescent="0.3">
      <c r="A48" s="638" t="s">
        <v>537</v>
      </c>
      <c r="B48" s="639" t="s">
        <v>538</v>
      </c>
      <c r="C48" s="640" t="s">
        <v>542</v>
      </c>
      <c r="D48" s="641" t="s">
        <v>1127</v>
      </c>
      <c r="E48" s="640" t="s">
        <v>661</v>
      </c>
      <c r="F48" s="641" t="s">
        <v>1133</v>
      </c>
      <c r="G48" s="640" t="s">
        <v>557</v>
      </c>
      <c r="H48" s="640" t="s">
        <v>688</v>
      </c>
      <c r="I48" s="640" t="s">
        <v>688</v>
      </c>
      <c r="J48" s="640" t="s">
        <v>689</v>
      </c>
      <c r="K48" s="640" t="s">
        <v>690</v>
      </c>
      <c r="L48" s="642">
        <v>194.25</v>
      </c>
      <c r="M48" s="642">
        <v>2</v>
      </c>
      <c r="N48" s="643">
        <v>388.5</v>
      </c>
    </row>
    <row r="49" spans="1:14" ht="14.4" customHeight="1" x14ac:dyDescent="0.3">
      <c r="A49" s="638" t="s">
        <v>537</v>
      </c>
      <c r="B49" s="639" t="s">
        <v>538</v>
      </c>
      <c r="C49" s="640" t="s">
        <v>542</v>
      </c>
      <c r="D49" s="641" t="s">
        <v>1127</v>
      </c>
      <c r="E49" s="640" t="s">
        <v>661</v>
      </c>
      <c r="F49" s="641" t="s">
        <v>1133</v>
      </c>
      <c r="G49" s="640" t="s">
        <v>557</v>
      </c>
      <c r="H49" s="640" t="s">
        <v>691</v>
      </c>
      <c r="I49" s="640" t="s">
        <v>691</v>
      </c>
      <c r="J49" s="640" t="s">
        <v>692</v>
      </c>
      <c r="K49" s="640" t="s">
        <v>693</v>
      </c>
      <c r="L49" s="642">
        <v>135.87000000000006</v>
      </c>
      <c r="M49" s="642">
        <v>3</v>
      </c>
      <c r="N49" s="643">
        <v>407.61000000000018</v>
      </c>
    </row>
    <row r="50" spans="1:14" ht="14.4" customHeight="1" x14ac:dyDescent="0.3">
      <c r="A50" s="638" t="s">
        <v>537</v>
      </c>
      <c r="B50" s="639" t="s">
        <v>538</v>
      </c>
      <c r="C50" s="640" t="s">
        <v>542</v>
      </c>
      <c r="D50" s="641" t="s">
        <v>1127</v>
      </c>
      <c r="E50" s="640" t="s">
        <v>661</v>
      </c>
      <c r="F50" s="641" t="s">
        <v>1133</v>
      </c>
      <c r="G50" s="640" t="s">
        <v>694</v>
      </c>
      <c r="H50" s="640" t="s">
        <v>695</v>
      </c>
      <c r="I50" s="640" t="s">
        <v>696</v>
      </c>
      <c r="J50" s="640" t="s">
        <v>697</v>
      </c>
      <c r="K50" s="640" t="s">
        <v>698</v>
      </c>
      <c r="L50" s="642">
        <v>49.529648524841342</v>
      </c>
      <c r="M50" s="642">
        <v>1</v>
      </c>
      <c r="N50" s="643">
        <v>49.529648524841342</v>
      </c>
    </row>
    <row r="51" spans="1:14" ht="14.4" customHeight="1" x14ac:dyDescent="0.3">
      <c r="A51" s="638" t="s">
        <v>537</v>
      </c>
      <c r="B51" s="639" t="s">
        <v>538</v>
      </c>
      <c r="C51" s="640" t="s">
        <v>542</v>
      </c>
      <c r="D51" s="641" t="s">
        <v>1127</v>
      </c>
      <c r="E51" s="640" t="s">
        <v>699</v>
      </c>
      <c r="F51" s="641" t="s">
        <v>1134</v>
      </c>
      <c r="G51" s="640" t="s">
        <v>557</v>
      </c>
      <c r="H51" s="640" t="s">
        <v>700</v>
      </c>
      <c r="I51" s="640" t="s">
        <v>701</v>
      </c>
      <c r="J51" s="640" t="s">
        <v>702</v>
      </c>
      <c r="K51" s="640" t="s">
        <v>703</v>
      </c>
      <c r="L51" s="642">
        <v>104.85999999999996</v>
      </c>
      <c r="M51" s="642">
        <v>2</v>
      </c>
      <c r="N51" s="643">
        <v>209.71999999999991</v>
      </c>
    </row>
    <row r="52" spans="1:14" ht="14.4" customHeight="1" x14ac:dyDescent="0.3">
      <c r="A52" s="638" t="s">
        <v>537</v>
      </c>
      <c r="B52" s="639" t="s">
        <v>538</v>
      </c>
      <c r="C52" s="640" t="s">
        <v>542</v>
      </c>
      <c r="D52" s="641" t="s">
        <v>1127</v>
      </c>
      <c r="E52" s="640" t="s">
        <v>699</v>
      </c>
      <c r="F52" s="641" t="s">
        <v>1134</v>
      </c>
      <c r="G52" s="640" t="s">
        <v>557</v>
      </c>
      <c r="H52" s="640" t="s">
        <v>704</v>
      </c>
      <c r="I52" s="640" t="s">
        <v>705</v>
      </c>
      <c r="J52" s="640" t="s">
        <v>706</v>
      </c>
      <c r="K52" s="640" t="s">
        <v>707</v>
      </c>
      <c r="L52" s="642">
        <v>108.83</v>
      </c>
      <c r="M52" s="642">
        <v>18</v>
      </c>
      <c r="N52" s="643">
        <v>1958.94</v>
      </c>
    </row>
    <row r="53" spans="1:14" ht="14.4" customHeight="1" x14ac:dyDescent="0.3">
      <c r="A53" s="638" t="s">
        <v>537</v>
      </c>
      <c r="B53" s="639" t="s">
        <v>538</v>
      </c>
      <c r="C53" s="640" t="s">
        <v>547</v>
      </c>
      <c r="D53" s="641" t="s">
        <v>1128</v>
      </c>
      <c r="E53" s="640" t="s">
        <v>556</v>
      </c>
      <c r="F53" s="641" t="s">
        <v>1131</v>
      </c>
      <c r="G53" s="640" t="s">
        <v>557</v>
      </c>
      <c r="H53" s="640" t="s">
        <v>558</v>
      </c>
      <c r="I53" s="640" t="s">
        <v>558</v>
      </c>
      <c r="J53" s="640" t="s">
        <v>559</v>
      </c>
      <c r="K53" s="640" t="s">
        <v>560</v>
      </c>
      <c r="L53" s="642">
        <v>171.59999999999994</v>
      </c>
      <c r="M53" s="642">
        <v>11</v>
      </c>
      <c r="N53" s="643">
        <v>1887.5999999999995</v>
      </c>
    </row>
    <row r="54" spans="1:14" ht="14.4" customHeight="1" x14ac:dyDescent="0.3">
      <c r="A54" s="638" t="s">
        <v>537</v>
      </c>
      <c r="B54" s="639" t="s">
        <v>538</v>
      </c>
      <c r="C54" s="640" t="s">
        <v>547</v>
      </c>
      <c r="D54" s="641" t="s">
        <v>1128</v>
      </c>
      <c r="E54" s="640" t="s">
        <v>556</v>
      </c>
      <c r="F54" s="641" t="s">
        <v>1131</v>
      </c>
      <c r="G54" s="640" t="s">
        <v>557</v>
      </c>
      <c r="H54" s="640" t="s">
        <v>708</v>
      </c>
      <c r="I54" s="640" t="s">
        <v>708</v>
      </c>
      <c r="J54" s="640" t="s">
        <v>709</v>
      </c>
      <c r="K54" s="640" t="s">
        <v>710</v>
      </c>
      <c r="L54" s="642">
        <v>222.19999882094581</v>
      </c>
      <c r="M54" s="642">
        <v>12</v>
      </c>
      <c r="N54" s="643">
        <v>2666.3999858513498</v>
      </c>
    </row>
    <row r="55" spans="1:14" ht="14.4" customHeight="1" x14ac:dyDescent="0.3">
      <c r="A55" s="638" t="s">
        <v>537</v>
      </c>
      <c r="B55" s="639" t="s">
        <v>538</v>
      </c>
      <c r="C55" s="640" t="s">
        <v>547</v>
      </c>
      <c r="D55" s="641" t="s">
        <v>1128</v>
      </c>
      <c r="E55" s="640" t="s">
        <v>556</v>
      </c>
      <c r="F55" s="641" t="s">
        <v>1131</v>
      </c>
      <c r="G55" s="640" t="s">
        <v>557</v>
      </c>
      <c r="H55" s="640" t="s">
        <v>561</v>
      </c>
      <c r="I55" s="640" t="s">
        <v>562</v>
      </c>
      <c r="J55" s="640" t="s">
        <v>563</v>
      </c>
      <c r="K55" s="640" t="s">
        <v>564</v>
      </c>
      <c r="L55" s="642">
        <v>87.029999999999987</v>
      </c>
      <c r="M55" s="642">
        <v>3</v>
      </c>
      <c r="N55" s="643">
        <v>261.08999999999997</v>
      </c>
    </row>
    <row r="56" spans="1:14" ht="14.4" customHeight="1" x14ac:dyDescent="0.3">
      <c r="A56" s="638" t="s">
        <v>537</v>
      </c>
      <c r="B56" s="639" t="s">
        <v>538</v>
      </c>
      <c r="C56" s="640" t="s">
        <v>547</v>
      </c>
      <c r="D56" s="641" t="s">
        <v>1128</v>
      </c>
      <c r="E56" s="640" t="s">
        <v>556</v>
      </c>
      <c r="F56" s="641" t="s">
        <v>1131</v>
      </c>
      <c r="G56" s="640" t="s">
        <v>557</v>
      </c>
      <c r="H56" s="640" t="s">
        <v>565</v>
      </c>
      <c r="I56" s="640" t="s">
        <v>566</v>
      </c>
      <c r="J56" s="640" t="s">
        <v>567</v>
      </c>
      <c r="K56" s="640" t="s">
        <v>568</v>
      </c>
      <c r="L56" s="642">
        <v>79.294993658200468</v>
      </c>
      <c r="M56" s="642">
        <v>6</v>
      </c>
      <c r="N56" s="643">
        <v>475.76996194920281</v>
      </c>
    </row>
    <row r="57" spans="1:14" ht="14.4" customHeight="1" x14ac:dyDescent="0.3">
      <c r="A57" s="638" t="s">
        <v>537</v>
      </c>
      <c r="B57" s="639" t="s">
        <v>538</v>
      </c>
      <c r="C57" s="640" t="s">
        <v>547</v>
      </c>
      <c r="D57" s="641" t="s">
        <v>1128</v>
      </c>
      <c r="E57" s="640" t="s">
        <v>556</v>
      </c>
      <c r="F57" s="641" t="s">
        <v>1131</v>
      </c>
      <c r="G57" s="640" t="s">
        <v>557</v>
      </c>
      <c r="H57" s="640" t="s">
        <v>569</v>
      </c>
      <c r="I57" s="640" t="s">
        <v>570</v>
      </c>
      <c r="J57" s="640" t="s">
        <v>571</v>
      </c>
      <c r="K57" s="640" t="s">
        <v>572</v>
      </c>
      <c r="L57" s="642">
        <v>75.688566255410592</v>
      </c>
      <c r="M57" s="642">
        <v>146</v>
      </c>
      <c r="N57" s="643">
        <v>11050.530673289946</v>
      </c>
    </row>
    <row r="58" spans="1:14" ht="14.4" customHeight="1" x14ac:dyDescent="0.3">
      <c r="A58" s="638" t="s">
        <v>537</v>
      </c>
      <c r="B58" s="639" t="s">
        <v>538</v>
      </c>
      <c r="C58" s="640" t="s">
        <v>547</v>
      </c>
      <c r="D58" s="641" t="s">
        <v>1128</v>
      </c>
      <c r="E58" s="640" t="s">
        <v>556</v>
      </c>
      <c r="F58" s="641" t="s">
        <v>1131</v>
      </c>
      <c r="G58" s="640" t="s">
        <v>557</v>
      </c>
      <c r="H58" s="640" t="s">
        <v>711</v>
      </c>
      <c r="I58" s="640" t="s">
        <v>712</v>
      </c>
      <c r="J58" s="640" t="s">
        <v>713</v>
      </c>
      <c r="K58" s="640" t="s">
        <v>714</v>
      </c>
      <c r="L58" s="642">
        <v>65.893333333333345</v>
      </c>
      <c r="M58" s="642">
        <v>3</v>
      </c>
      <c r="N58" s="643">
        <v>197.68000000000004</v>
      </c>
    </row>
    <row r="59" spans="1:14" ht="14.4" customHeight="1" x14ac:dyDescent="0.3">
      <c r="A59" s="638" t="s">
        <v>537</v>
      </c>
      <c r="B59" s="639" t="s">
        <v>538</v>
      </c>
      <c r="C59" s="640" t="s">
        <v>547</v>
      </c>
      <c r="D59" s="641" t="s">
        <v>1128</v>
      </c>
      <c r="E59" s="640" t="s">
        <v>556</v>
      </c>
      <c r="F59" s="641" t="s">
        <v>1131</v>
      </c>
      <c r="G59" s="640" t="s">
        <v>557</v>
      </c>
      <c r="H59" s="640" t="s">
        <v>715</v>
      </c>
      <c r="I59" s="640" t="s">
        <v>715</v>
      </c>
      <c r="J59" s="640" t="s">
        <v>716</v>
      </c>
      <c r="K59" s="640" t="s">
        <v>717</v>
      </c>
      <c r="L59" s="642">
        <v>36.530000000000008</v>
      </c>
      <c r="M59" s="642">
        <v>1</v>
      </c>
      <c r="N59" s="643">
        <v>36.530000000000008</v>
      </c>
    </row>
    <row r="60" spans="1:14" ht="14.4" customHeight="1" x14ac:dyDescent="0.3">
      <c r="A60" s="638" t="s">
        <v>537</v>
      </c>
      <c r="B60" s="639" t="s">
        <v>538</v>
      </c>
      <c r="C60" s="640" t="s">
        <v>547</v>
      </c>
      <c r="D60" s="641" t="s">
        <v>1128</v>
      </c>
      <c r="E60" s="640" t="s">
        <v>556</v>
      </c>
      <c r="F60" s="641" t="s">
        <v>1131</v>
      </c>
      <c r="G60" s="640" t="s">
        <v>557</v>
      </c>
      <c r="H60" s="640" t="s">
        <v>580</v>
      </c>
      <c r="I60" s="640" t="s">
        <v>581</v>
      </c>
      <c r="J60" s="640" t="s">
        <v>582</v>
      </c>
      <c r="K60" s="640" t="s">
        <v>583</v>
      </c>
      <c r="L60" s="642">
        <v>176.5480167016423</v>
      </c>
      <c r="M60" s="642">
        <v>5</v>
      </c>
      <c r="N60" s="643">
        <v>882.74008350821146</v>
      </c>
    </row>
    <row r="61" spans="1:14" ht="14.4" customHeight="1" x14ac:dyDescent="0.3">
      <c r="A61" s="638" t="s">
        <v>537</v>
      </c>
      <c r="B61" s="639" t="s">
        <v>538</v>
      </c>
      <c r="C61" s="640" t="s">
        <v>547</v>
      </c>
      <c r="D61" s="641" t="s">
        <v>1128</v>
      </c>
      <c r="E61" s="640" t="s">
        <v>556</v>
      </c>
      <c r="F61" s="641" t="s">
        <v>1131</v>
      </c>
      <c r="G61" s="640" t="s">
        <v>557</v>
      </c>
      <c r="H61" s="640" t="s">
        <v>584</v>
      </c>
      <c r="I61" s="640" t="s">
        <v>578</v>
      </c>
      <c r="J61" s="640" t="s">
        <v>585</v>
      </c>
      <c r="K61" s="640"/>
      <c r="L61" s="642">
        <v>37.700496004715717</v>
      </c>
      <c r="M61" s="642">
        <v>354</v>
      </c>
      <c r="N61" s="643">
        <v>13345.975585669363</v>
      </c>
    </row>
    <row r="62" spans="1:14" ht="14.4" customHeight="1" x14ac:dyDescent="0.3">
      <c r="A62" s="638" t="s">
        <v>537</v>
      </c>
      <c r="B62" s="639" t="s">
        <v>538</v>
      </c>
      <c r="C62" s="640" t="s">
        <v>547</v>
      </c>
      <c r="D62" s="641" t="s">
        <v>1128</v>
      </c>
      <c r="E62" s="640" t="s">
        <v>556</v>
      </c>
      <c r="F62" s="641" t="s">
        <v>1131</v>
      </c>
      <c r="G62" s="640" t="s">
        <v>557</v>
      </c>
      <c r="H62" s="640" t="s">
        <v>586</v>
      </c>
      <c r="I62" s="640" t="s">
        <v>587</v>
      </c>
      <c r="J62" s="640" t="s">
        <v>567</v>
      </c>
      <c r="K62" s="640" t="s">
        <v>588</v>
      </c>
      <c r="L62" s="642">
        <v>42.170047462932182</v>
      </c>
      <c r="M62" s="642">
        <v>2</v>
      </c>
      <c r="N62" s="643">
        <v>84.340094925864364</v>
      </c>
    </row>
    <row r="63" spans="1:14" ht="14.4" customHeight="1" x14ac:dyDescent="0.3">
      <c r="A63" s="638" t="s">
        <v>537</v>
      </c>
      <c r="B63" s="639" t="s">
        <v>538</v>
      </c>
      <c r="C63" s="640" t="s">
        <v>547</v>
      </c>
      <c r="D63" s="641" t="s">
        <v>1128</v>
      </c>
      <c r="E63" s="640" t="s">
        <v>556</v>
      </c>
      <c r="F63" s="641" t="s">
        <v>1131</v>
      </c>
      <c r="G63" s="640" t="s">
        <v>557</v>
      </c>
      <c r="H63" s="640" t="s">
        <v>595</v>
      </c>
      <c r="I63" s="640" t="s">
        <v>578</v>
      </c>
      <c r="J63" s="640" t="s">
        <v>596</v>
      </c>
      <c r="K63" s="640"/>
      <c r="L63" s="642">
        <v>218.61267518137356</v>
      </c>
      <c r="M63" s="642">
        <v>6</v>
      </c>
      <c r="N63" s="643">
        <v>1311.6760510882414</v>
      </c>
    </row>
    <row r="64" spans="1:14" ht="14.4" customHeight="1" x14ac:dyDescent="0.3">
      <c r="A64" s="638" t="s">
        <v>537</v>
      </c>
      <c r="B64" s="639" t="s">
        <v>538</v>
      </c>
      <c r="C64" s="640" t="s">
        <v>547</v>
      </c>
      <c r="D64" s="641" t="s">
        <v>1128</v>
      </c>
      <c r="E64" s="640" t="s">
        <v>556</v>
      </c>
      <c r="F64" s="641" t="s">
        <v>1131</v>
      </c>
      <c r="G64" s="640" t="s">
        <v>557</v>
      </c>
      <c r="H64" s="640" t="s">
        <v>597</v>
      </c>
      <c r="I64" s="640" t="s">
        <v>597</v>
      </c>
      <c r="J64" s="640" t="s">
        <v>598</v>
      </c>
      <c r="K64" s="640" t="s">
        <v>599</v>
      </c>
      <c r="L64" s="642">
        <v>75.516664946234357</v>
      </c>
      <c r="M64" s="642">
        <v>48</v>
      </c>
      <c r="N64" s="643">
        <v>3624.7999174192491</v>
      </c>
    </row>
    <row r="65" spans="1:14" ht="14.4" customHeight="1" x14ac:dyDescent="0.3">
      <c r="A65" s="638" t="s">
        <v>537</v>
      </c>
      <c r="B65" s="639" t="s">
        <v>538</v>
      </c>
      <c r="C65" s="640" t="s">
        <v>547</v>
      </c>
      <c r="D65" s="641" t="s">
        <v>1128</v>
      </c>
      <c r="E65" s="640" t="s">
        <v>556</v>
      </c>
      <c r="F65" s="641" t="s">
        <v>1131</v>
      </c>
      <c r="G65" s="640" t="s">
        <v>557</v>
      </c>
      <c r="H65" s="640" t="s">
        <v>600</v>
      </c>
      <c r="I65" s="640" t="s">
        <v>601</v>
      </c>
      <c r="J65" s="640" t="s">
        <v>602</v>
      </c>
      <c r="K65" s="640" t="s">
        <v>603</v>
      </c>
      <c r="L65" s="642">
        <v>48.399960657358783</v>
      </c>
      <c r="M65" s="642">
        <v>73</v>
      </c>
      <c r="N65" s="643">
        <v>3533.1971279871909</v>
      </c>
    </row>
    <row r="66" spans="1:14" ht="14.4" customHeight="1" x14ac:dyDescent="0.3">
      <c r="A66" s="638" t="s">
        <v>537</v>
      </c>
      <c r="B66" s="639" t="s">
        <v>538</v>
      </c>
      <c r="C66" s="640" t="s">
        <v>547</v>
      </c>
      <c r="D66" s="641" t="s">
        <v>1128</v>
      </c>
      <c r="E66" s="640" t="s">
        <v>556</v>
      </c>
      <c r="F66" s="641" t="s">
        <v>1131</v>
      </c>
      <c r="G66" s="640" t="s">
        <v>557</v>
      </c>
      <c r="H66" s="640" t="s">
        <v>718</v>
      </c>
      <c r="I66" s="640" t="s">
        <v>719</v>
      </c>
      <c r="J66" s="640" t="s">
        <v>720</v>
      </c>
      <c r="K66" s="640" t="s">
        <v>721</v>
      </c>
      <c r="L66" s="642">
        <v>110.50000000000003</v>
      </c>
      <c r="M66" s="642">
        <v>2</v>
      </c>
      <c r="N66" s="643">
        <v>221.00000000000006</v>
      </c>
    </row>
    <row r="67" spans="1:14" ht="14.4" customHeight="1" x14ac:dyDescent="0.3">
      <c r="A67" s="638" t="s">
        <v>537</v>
      </c>
      <c r="B67" s="639" t="s">
        <v>538</v>
      </c>
      <c r="C67" s="640" t="s">
        <v>547</v>
      </c>
      <c r="D67" s="641" t="s">
        <v>1128</v>
      </c>
      <c r="E67" s="640" t="s">
        <v>556</v>
      </c>
      <c r="F67" s="641" t="s">
        <v>1131</v>
      </c>
      <c r="G67" s="640" t="s">
        <v>557</v>
      </c>
      <c r="H67" s="640" t="s">
        <v>604</v>
      </c>
      <c r="I67" s="640" t="s">
        <v>578</v>
      </c>
      <c r="J67" s="640" t="s">
        <v>605</v>
      </c>
      <c r="K67" s="640" t="s">
        <v>606</v>
      </c>
      <c r="L67" s="642">
        <v>23.700636380457887</v>
      </c>
      <c r="M67" s="642">
        <v>582</v>
      </c>
      <c r="N67" s="643">
        <v>13793.770373426491</v>
      </c>
    </row>
    <row r="68" spans="1:14" ht="14.4" customHeight="1" x14ac:dyDescent="0.3">
      <c r="A68" s="638" t="s">
        <v>537</v>
      </c>
      <c r="B68" s="639" t="s">
        <v>538</v>
      </c>
      <c r="C68" s="640" t="s">
        <v>547</v>
      </c>
      <c r="D68" s="641" t="s">
        <v>1128</v>
      </c>
      <c r="E68" s="640" t="s">
        <v>556</v>
      </c>
      <c r="F68" s="641" t="s">
        <v>1131</v>
      </c>
      <c r="G68" s="640" t="s">
        <v>557</v>
      </c>
      <c r="H68" s="640" t="s">
        <v>722</v>
      </c>
      <c r="I68" s="640" t="s">
        <v>723</v>
      </c>
      <c r="J68" s="640" t="s">
        <v>724</v>
      </c>
      <c r="K68" s="640" t="s">
        <v>725</v>
      </c>
      <c r="L68" s="642">
        <v>77.280000000000044</v>
      </c>
      <c r="M68" s="642">
        <v>1</v>
      </c>
      <c r="N68" s="643">
        <v>77.280000000000044</v>
      </c>
    </row>
    <row r="69" spans="1:14" ht="14.4" customHeight="1" x14ac:dyDescent="0.3">
      <c r="A69" s="638" t="s">
        <v>537</v>
      </c>
      <c r="B69" s="639" t="s">
        <v>538</v>
      </c>
      <c r="C69" s="640" t="s">
        <v>547</v>
      </c>
      <c r="D69" s="641" t="s">
        <v>1128</v>
      </c>
      <c r="E69" s="640" t="s">
        <v>556</v>
      </c>
      <c r="F69" s="641" t="s">
        <v>1131</v>
      </c>
      <c r="G69" s="640" t="s">
        <v>557</v>
      </c>
      <c r="H69" s="640" t="s">
        <v>726</v>
      </c>
      <c r="I69" s="640" t="s">
        <v>727</v>
      </c>
      <c r="J69" s="640" t="s">
        <v>728</v>
      </c>
      <c r="K69" s="640" t="s">
        <v>729</v>
      </c>
      <c r="L69" s="642">
        <v>33.88996951166714</v>
      </c>
      <c r="M69" s="642">
        <v>5</v>
      </c>
      <c r="N69" s="643">
        <v>169.4498475583357</v>
      </c>
    </row>
    <row r="70" spans="1:14" ht="14.4" customHeight="1" x14ac:dyDescent="0.3">
      <c r="A70" s="638" t="s">
        <v>537</v>
      </c>
      <c r="B70" s="639" t="s">
        <v>538</v>
      </c>
      <c r="C70" s="640" t="s">
        <v>547</v>
      </c>
      <c r="D70" s="641" t="s">
        <v>1128</v>
      </c>
      <c r="E70" s="640" t="s">
        <v>556</v>
      </c>
      <c r="F70" s="641" t="s">
        <v>1131</v>
      </c>
      <c r="G70" s="640" t="s">
        <v>557</v>
      </c>
      <c r="H70" s="640" t="s">
        <v>607</v>
      </c>
      <c r="I70" s="640" t="s">
        <v>608</v>
      </c>
      <c r="J70" s="640" t="s">
        <v>609</v>
      </c>
      <c r="K70" s="640" t="s">
        <v>610</v>
      </c>
      <c r="L70" s="642">
        <v>70.233333333333334</v>
      </c>
      <c r="M70" s="642">
        <v>6</v>
      </c>
      <c r="N70" s="643">
        <v>421.4</v>
      </c>
    </row>
    <row r="71" spans="1:14" ht="14.4" customHeight="1" x14ac:dyDescent="0.3">
      <c r="A71" s="638" t="s">
        <v>537</v>
      </c>
      <c r="B71" s="639" t="s">
        <v>538</v>
      </c>
      <c r="C71" s="640" t="s">
        <v>547</v>
      </c>
      <c r="D71" s="641" t="s">
        <v>1128</v>
      </c>
      <c r="E71" s="640" t="s">
        <v>556</v>
      </c>
      <c r="F71" s="641" t="s">
        <v>1131</v>
      </c>
      <c r="G71" s="640" t="s">
        <v>557</v>
      </c>
      <c r="H71" s="640" t="s">
        <v>730</v>
      </c>
      <c r="I71" s="640" t="s">
        <v>731</v>
      </c>
      <c r="J71" s="640" t="s">
        <v>732</v>
      </c>
      <c r="K71" s="640" t="s">
        <v>733</v>
      </c>
      <c r="L71" s="642">
        <v>161.94999999999999</v>
      </c>
      <c r="M71" s="642">
        <v>1</v>
      </c>
      <c r="N71" s="643">
        <v>161.94999999999999</v>
      </c>
    </row>
    <row r="72" spans="1:14" ht="14.4" customHeight="1" x14ac:dyDescent="0.3">
      <c r="A72" s="638" t="s">
        <v>537</v>
      </c>
      <c r="B72" s="639" t="s">
        <v>538</v>
      </c>
      <c r="C72" s="640" t="s">
        <v>547</v>
      </c>
      <c r="D72" s="641" t="s">
        <v>1128</v>
      </c>
      <c r="E72" s="640" t="s">
        <v>556</v>
      </c>
      <c r="F72" s="641" t="s">
        <v>1131</v>
      </c>
      <c r="G72" s="640" t="s">
        <v>557</v>
      </c>
      <c r="H72" s="640" t="s">
        <v>611</v>
      </c>
      <c r="I72" s="640" t="s">
        <v>570</v>
      </c>
      <c r="J72" s="640" t="s">
        <v>612</v>
      </c>
      <c r="K72" s="640"/>
      <c r="L72" s="642">
        <v>301.05368281563085</v>
      </c>
      <c r="M72" s="642">
        <v>7</v>
      </c>
      <c r="N72" s="643">
        <v>2107.3757797094158</v>
      </c>
    </row>
    <row r="73" spans="1:14" ht="14.4" customHeight="1" x14ac:dyDescent="0.3">
      <c r="A73" s="638" t="s">
        <v>537</v>
      </c>
      <c r="B73" s="639" t="s">
        <v>538</v>
      </c>
      <c r="C73" s="640" t="s">
        <v>547</v>
      </c>
      <c r="D73" s="641" t="s">
        <v>1128</v>
      </c>
      <c r="E73" s="640" t="s">
        <v>556</v>
      </c>
      <c r="F73" s="641" t="s">
        <v>1131</v>
      </c>
      <c r="G73" s="640" t="s">
        <v>557</v>
      </c>
      <c r="H73" s="640" t="s">
        <v>734</v>
      </c>
      <c r="I73" s="640" t="s">
        <v>735</v>
      </c>
      <c r="J73" s="640" t="s">
        <v>736</v>
      </c>
      <c r="K73" s="640" t="s">
        <v>737</v>
      </c>
      <c r="L73" s="642">
        <v>309.441003349894</v>
      </c>
      <c r="M73" s="642">
        <v>4</v>
      </c>
      <c r="N73" s="643">
        <v>1237.764013399576</v>
      </c>
    </row>
    <row r="74" spans="1:14" ht="14.4" customHeight="1" x14ac:dyDescent="0.3">
      <c r="A74" s="638" t="s">
        <v>537</v>
      </c>
      <c r="B74" s="639" t="s">
        <v>538</v>
      </c>
      <c r="C74" s="640" t="s">
        <v>547</v>
      </c>
      <c r="D74" s="641" t="s">
        <v>1128</v>
      </c>
      <c r="E74" s="640" t="s">
        <v>556</v>
      </c>
      <c r="F74" s="641" t="s">
        <v>1131</v>
      </c>
      <c r="G74" s="640" t="s">
        <v>557</v>
      </c>
      <c r="H74" s="640" t="s">
        <v>738</v>
      </c>
      <c r="I74" s="640" t="s">
        <v>578</v>
      </c>
      <c r="J74" s="640" t="s">
        <v>739</v>
      </c>
      <c r="K74" s="640"/>
      <c r="L74" s="642">
        <v>52.114666666666665</v>
      </c>
      <c r="M74" s="642">
        <v>1</v>
      </c>
      <c r="N74" s="643">
        <v>52.114666666666665</v>
      </c>
    </row>
    <row r="75" spans="1:14" ht="14.4" customHeight="1" x14ac:dyDescent="0.3">
      <c r="A75" s="638" t="s">
        <v>537</v>
      </c>
      <c r="B75" s="639" t="s">
        <v>538</v>
      </c>
      <c r="C75" s="640" t="s">
        <v>547</v>
      </c>
      <c r="D75" s="641" t="s">
        <v>1128</v>
      </c>
      <c r="E75" s="640" t="s">
        <v>556</v>
      </c>
      <c r="F75" s="641" t="s">
        <v>1131</v>
      </c>
      <c r="G75" s="640" t="s">
        <v>557</v>
      </c>
      <c r="H75" s="640" t="s">
        <v>740</v>
      </c>
      <c r="I75" s="640" t="s">
        <v>741</v>
      </c>
      <c r="J75" s="640" t="s">
        <v>742</v>
      </c>
      <c r="K75" s="640" t="s">
        <v>743</v>
      </c>
      <c r="L75" s="642">
        <v>83.13</v>
      </c>
      <c r="M75" s="642">
        <v>2</v>
      </c>
      <c r="N75" s="643">
        <v>166.26</v>
      </c>
    </row>
    <row r="76" spans="1:14" ht="14.4" customHeight="1" x14ac:dyDescent="0.3">
      <c r="A76" s="638" t="s">
        <v>537</v>
      </c>
      <c r="B76" s="639" t="s">
        <v>538</v>
      </c>
      <c r="C76" s="640" t="s">
        <v>547</v>
      </c>
      <c r="D76" s="641" t="s">
        <v>1128</v>
      </c>
      <c r="E76" s="640" t="s">
        <v>556</v>
      </c>
      <c r="F76" s="641" t="s">
        <v>1131</v>
      </c>
      <c r="G76" s="640" t="s">
        <v>557</v>
      </c>
      <c r="H76" s="640" t="s">
        <v>619</v>
      </c>
      <c r="I76" s="640" t="s">
        <v>578</v>
      </c>
      <c r="J76" s="640" t="s">
        <v>620</v>
      </c>
      <c r="K76" s="640"/>
      <c r="L76" s="642">
        <v>68.628460512897703</v>
      </c>
      <c r="M76" s="642">
        <v>43</v>
      </c>
      <c r="N76" s="643">
        <v>2951.0238020546012</v>
      </c>
    </row>
    <row r="77" spans="1:14" ht="14.4" customHeight="1" x14ac:dyDescent="0.3">
      <c r="A77" s="638" t="s">
        <v>537</v>
      </c>
      <c r="B77" s="639" t="s">
        <v>538</v>
      </c>
      <c r="C77" s="640" t="s">
        <v>547</v>
      </c>
      <c r="D77" s="641" t="s">
        <v>1128</v>
      </c>
      <c r="E77" s="640" t="s">
        <v>556</v>
      </c>
      <c r="F77" s="641" t="s">
        <v>1131</v>
      </c>
      <c r="G77" s="640" t="s">
        <v>557</v>
      </c>
      <c r="H77" s="640" t="s">
        <v>625</v>
      </c>
      <c r="I77" s="640" t="s">
        <v>578</v>
      </c>
      <c r="J77" s="640" t="s">
        <v>626</v>
      </c>
      <c r="K77" s="640"/>
      <c r="L77" s="642">
        <v>50.886673049253865</v>
      </c>
      <c r="M77" s="642">
        <v>100</v>
      </c>
      <c r="N77" s="643">
        <v>5088.6673049253868</v>
      </c>
    </row>
    <row r="78" spans="1:14" ht="14.4" customHeight="1" x14ac:dyDescent="0.3">
      <c r="A78" s="638" t="s">
        <v>537</v>
      </c>
      <c r="B78" s="639" t="s">
        <v>538</v>
      </c>
      <c r="C78" s="640" t="s">
        <v>547</v>
      </c>
      <c r="D78" s="641" t="s">
        <v>1128</v>
      </c>
      <c r="E78" s="640" t="s">
        <v>556</v>
      </c>
      <c r="F78" s="641" t="s">
        <v>1131</v>
      </c>
      <c r="G78" s="640" t="s">
        <v>557</v>
      </c>
      <c r="H78" s="640" t="s">
        <v>627</v>
      </c>
      <c r="I78" s="640" t="s">
        <v>578</v>
      </c>
      <c r="J78" s="640" t="s">
        <v>628</v>
      </c>
      <c r="K78" s="640"/>
      <c r="L78" s="642">
        <v>57.60383676430861</v>
      </c>
      <c r="M78" s="642">
        <v>5</v>
      </c>
      <c r="N78" s="643">
        <v>288.01918382154304</v>
      </c>
    </row>
    <row r="79" spans="1:14" ht="14.4" customHeight="1" x14ac:dyDescent="0.3">
      <c r="A79" s="638" t="s">
        <v>537</v>
      </c>
      <c r="B79" s="639" t="s">
        <v>538</v>
      </c>
      <c r="C79" s="640" t="s">
        <v>547</v>
      </c>
      <c r="D79" s="641" t="s">
        <v>1128</v>
      </c>
      <c r="E79" s="640" t="s">
        <v>556</v>
      </c>
      <c r="F79" s="641" t="s">
        <v>1131</v>
      </c>
      <c r="G79" s="640" t="s">
        <v>557</v>
      </c>
      <c r="H79" s="640" t="s">
        <v>744</v>
      </c>
      <c r="I79" s="640" t="s">
        <v>578</v>
      </c>
      <c r="J79" s="640" t="s">
        <v>745</v>
      </c>
      <c r="K79" s="640"/>
      <c r="L79" s="642">
        <v>118.81770453047383</v>
      </c>
      <c r="M79" s="642">
        <v>43</v>
      </c>
      <c r="N79" s="643">
        <v>5109.1612948103748</v>
      </c>
    </row>
    <row r="80" spans="1:14" ht="14.4" customHeight="1" x14ac:dyDescent="0.3">
      <c r="A80" s="638" t="s">
        <v>537</v>
      </c>
      <c r="B80" s="639" t="s">
        <v>538</v>
      </c>
      <c r="C80" s="640" t="s">
        <v>547</v>
      </c>
      <c r="D80" s="641" t="s">
        <v>1128</v>
      </c>
      <c r="E80" s="640" t="s">
        <v>556</v>
      </c>
      <c r="F80" s="641" t="s">
        <v>1131</v>
      </c>
      <c r="G80" s="640" t="s">
        <v>557</v>
      </c>
      <c r="H80" s="640" t="s">
        <v>746</v>
      </c>
      <c r="I80" s="640" t="s">
        <v>747</v>
      </c>
      <c r="J80" s="640" t="s">
        <v>748</v>
      </c>
      <c r="K80" s="640" t="s">
        <v>749</v>
      </c>
      <c r="L80" s="642">
        <v>77.949807007072565</v>
      </c>
      <c r="M80" s="642">
        <v>6</v>
      </c>
      <c r="N80" s="643">
        <v>467.69884204243539</v>
      </c>
    </row>
    <row r="81" spans="1:14" ht="14.4" customHeight="1" x14ac:dyDescent="0.3">
      <c r="A81" s="638" t="s">
        <v>537</v>
      </c>
      <c r="B81" s="639" t="s">
        <v>538</v>
      </c>
      <c r="C81" s="640" t="s">
        <v>547</v>
      </c>
      <c r="D81" s="641" t="s">
        <v>1128</v>
      </c>
      <c r="E81" s="640" t="s">
        <v>556</v>
      </c>
      <c r="F81" s="641" t="s">
        <v>1131</v>
      </c>
      <c r="G81" s="640" t="s">
        <v>557</v>
      </c>
      <c r="H81" s="640" t="s">
        <v>750</v>
      </c>
      <c r="I81" s="640" t="s">
        <v>570</v>
      </c>
      <c r="J81" s="640" t="s">
        <v>751</v>
      </c>
      <c r="K81" s="640" t="s">
        <v>752</v>
      </c>
      <c r="L81" s="642">
        <v>461.57188767021415</v>
      </c>
      <c r="M81" s="642">
        <v>11</v>
      </c>
      <c r="N81" s="643">
        <v>5077.2907643723556</v>
      </c>
    </row>
    <row r="82" spans="1:14" ht="14.4" customHeight="1" x14ac:dyDescent="0.3">
      <c r="A82" s="638" t="s">
        <v>537</v>
      </c>
      <c r="B82" s="639" t="s">
        <v>538</v>
      </c>
      <c r="C82" s="640" t="s">
        <v>547</v>
      </c>
      <c r="D82" s="641" t="s">
        <v>1128</v>
      </c>
      <c r="E82" s="640" t="s">
        <v>556</v>
      </c>
      <c r="F82" s="641" t="s">
        <v>1131</v>
      </c>
      <c r="G82" s="640" t="s">
        <v>557</v>
      </c>
      <c r="H82" s="640" t="s">
        <v>753</v>
      </c>
      <c r="I82" s="640" t="s">
        <v>578</v>
      </c>
      <c r="J82" s="640" t="s">
        <v>754</v>
      </c>
      <c r="K82" s="640"/>
      <c r="L82" s="642">
        <v>150.56</v>
      </c>
      <c r="M82" s="642">
        <v>1</v>
      </c>
      <c r="N82" s="643">
        <v>150.56</v>
      </c>
    </row>
    <row r="83" spans="1:14" ht="14.4" customHeight="1" x14ac:dyDescent="0.3">
      <c r="A83" s="638" t="s">
        <v>537</v>
      </c>
      <c r="B83" s="639" t="s">
        <v>538</v>
      </c>
      <c r="C83" s="640" t="s">
        <v>547</v>
      </c>
      <c r="D83" s="641" t="s">
        <v>1128</v>
      </c>
      <c r="E83" s="640" t="s">
        <v>556</v>
      </c>
      <c r="F83" s="641" t="s">
        <v>1131</v>
      </c>
      <c r="G83" s="640" t="s">
        <v>557</v>
      </c>
      <c r="H83" s="640" t="s">
        <v>755</v>
      </c>
      <c r="I83" s="640" t="s">
        <v>570</v>
      </c>
      <c r="J83" s="640" t="s">
        <v>756</v>
      </c>
      <c r="K83" s="640" t="s">
        <v>757</v>
      </c>
      <c r="L83" s="642">
        <v>201.44886001973958</v>
      </c>
      <c r="M83" s="642">
        <v>9</v>
      </c>
      <c r="N83" s="643">
        <v>1813.0397401776563</v>
      </c>
    </row>
    <row r="84" spans="1:14" ht="14.4" customHeight="1" x14ac:dyDescent="0.3">
      <c r="A84" s="638" t="s">
        <v>537</v>
      </c>
      <c r="B84" s="639" t="s">
        <v>538</v>
      </c>
      <c r="C84" s="640" t="s">
        <v>547</v>
      </c>
      <c r="D84" s="641" t="s">
        <v>1128</v>
      </c>
      <c r="E84" s="640" t="s">
        <v>556</v>
      </c>
      <c r="F84" s="641" t="s">
        <v>1131</v>
      </c>
      <c r="G84" s="640" t="s">
        <v>557</v>
      </c>
      <c r="H84" s="640" t="s">
        <v>758</v>
      </c>
      <c r="I84" s="640" t="s">
        <v>578</v>
      </c>
      <c r="J84" s="640" t="s">
        <v>759</v>
      </c>
      <c r="K84" s="640"/>
      <c r="L84" s="642">
        <v>113.74219781495297</v>
      </c>
      <c r="M84" s="642">
        <v>23</v>
      </c>
      <c r="N84" s="643">
        <v>2616.0705497439185</v>
      </c>
    </row>
    <row r="85" spans="1:14" ht="14.4" customHeight="1" x14ac:dyDescent="0.3">
      <c r="A85" s="638" t="s">
        <v>537</v>
      </c>
      <c r="B85" s="639" t="s">
        <v>538</v>
      </c>
      <c r="C85" s="640" t="s">
        <v>547</v>
      </c>
      <c r="D85" s="641" t="s">
        <v>1128</v>
      </c>
      <c r="E85" s="640" t="s">
        <v>556</v>
      </c>
      <c r="F85" s="641" t="s">
        <v>1131</v>
      </c>
      <c r="G85" s="640" t="s">
        <v>557</v>
      </c>
      <c r="H85" s="640" t="s">
        <v>760</v>
      </c>
      <c r="I85" s="640" t="s">
        <v>578</v>
      </c>
      <c r="J85" s="640" t="s">
        <v>761</v>
      </c>
      <c r="K85" s="640"/>
      <c r="L85" s="642">
        <v>97.005977723837205</v>
      </c>
      <c r="M85" s="642">
        <v>17</v>
      </c>
      <c r="N85" s="643">
        <v>1649.1016213052326</v>
      </c>
    </row>
    <row r="86" spans="1:14" ht="14.4" customHeight="1" x14ac:dyDescent="0.3">
      <c r="A86" s="638" t="s">
        <v>537</v>
      </c>
      <c r="B86" s="639" t="s">
        <v>538</v>
      </c>
      <c r="C86" s="640" t="s">
        <v>547</v>
      </c>
      <c r="D86" s="641" t="s">
        <v>1128</v>
      </c>
      <c r="E86" s="640" t="s">
        <v>556</v>
      </c>
      <c r="F86" s="641" t="s">
        <v>1131</v>
      </c>
      <c r="G86" s="640" t="s">
        <v>557</v>
      </c>
      <c r="H86" s="640" t="s">
        <v>629</v>
      </c>
      <c r="I86" s="640" t="s">
        <v>578</v>
      </c>
      <c r="J86" s="640" t="s">
        <v>630</v>
      </c>
      <c r="K86" s="640" t="s">
        <v>631</v>
      </c>
      <c r="L86" s="642">
        <v>75.020296835443276</v>
      </c>
      <c r="M86" s="642">
        <v>1</v>
      </c>
      <c r="N86" s="643">
        <v>75.020296835443276</v>
      </c>
    </row>
    <row r="87" spans="1:14" ht="14.4" customHeight="1" x14ac:dyDescent="0.3">
      <c r="A87" s="638" t="s">
        <v>537</v>
      </c>
      <c r="B87" s="639" t="s">
        <v>538</v>
      </c>
      <c r="C87" s="640" t="s">
        <v>547</v>
      </c>
      <c r="D87" s="641" t="s">
        <v>1128</v>
      </c>
      <c r="E87" s="640" t="s">
        <v>556</v>
      </c>
      <c r="F87" s="641" t="s">
        <v>1131</v>
      </c>
      <c r="G87" s="640" t="s">
        <v>557</v>
      </c>
      <c r="H87" s="640" t="s">
        <v>762</v>
      </c>
      <c r="I87" s="640" t="s">
        <v>763</v>
      </c>
      <c r="J87" s="640" t="s">
        <v>764</v>
      </c>
      <c r="K87" s="640" t="s">
        <v>765</v>
      </c>
      <c r="L87" s="642">
        <v>18.800000000000004</v>
      </c>
      <c r="M87" s="642">
        <v>2</v>
      </c>
      <c r="N87" s="643">
        <v>37.600000000000009</v>
      </c>
    </row>
    <row r="88" spans="1:14" ht="14.4" customHeight="1" x14ac:dyDescent="0.3">
      <c r="A88" s="638" t="s">
        <v>537</v>
      </c>
      <c r="B88" s="639" t="s">
        <v>538</v>
      </c>
      <c r="C88" s="640" t="s">
        <v>547</v>
      </c>
      <c r="D88" s="641" t="s">
        <v>1128</v>
      </c>
      <c r="E88" s="640" t="s">
        <v>556</v>
      </c>
      <c r="F88" s="641" t="s">
        <v>1131</v>
      </c>
      <c r="G88" s="640" t="s">
        <v>557</v>
      </c>
      <c r="H88" s="640" t="s">
        <v>766</v>
      </c>
      <c r="I88" s="640" t="s">
        <v>767</v>
      </c>
      <c r="J88" s="640" t="s">
        <v>768</v>
      </c>
      <c r="K88" s="640" t="s">
        <v>769</v>
      </c>
      <c r="L88" s="642">
        <v>83.994706394413683</v>
      </c>
      <c r="M88" s="642">
        <v>2</v>
      </c>
      <c r="N88" s="643">
        <v>167.98941278882737</v>
      </c>
    </row>
    <row r="89" spans="1:14" ht="14.4" customHeight="1" x14ac:dyDescent="0.3">
      <c r="A89" s="638" t="s">
        <v>537</v>
      </c>
      <c r="B89" s="639" t="s">
        <v>538</v>
      </c>
      <c r="C89" s="640" t="s">
        <v>547</v>
      </c>
      <c r="D89" s="641" t="s">
        <v>1128</v>
      </c>
      <c r="E89" s="640" t="s">
        <v>556</v>
      </c>
      <c r="F89" s="641" t="s">
        <v>1131</v>
      </c>
      <c r="G89" s="640" t="s">
        <v>557</v>
      </c>
      <c r="H89" s="640" t="s">
        <v>770</v>
      </c>
      <c r="I89" s="640" t="s">
        <v>578</v>
      </c>
      <c r="J89" s="640" t="s">
        <v>771</v>
      </c>
      <c r="K89" s="640"/>
      <c r="L89" s="642">
        <v>196.98398714654249</v>
      </c>
      <c r="M89" s="642">
        <v>69</v>
      </c>
      <c r="N89" s="643">
        <v>13591.895113111432</v>
      </c>
    </row>
    <row r="90" spans="1:14" ht="14.4" customHeight="1" x14ac:dyDescent="0.3">
      <c r="A90" s="638" t="s">
        <v>537</v>
      </c>
      <c r="B90" s="639" t="s">
        <v>538</v>
      </c>
      <c r="C90" s="640" t="s">
        <v>547</v>
      </c>
      <c r="D90" s="641" t="s">
        <v>1128</v>
      </c>
      <c r="E90" s="640" t="s">
        <v>556</v>
      </c>
      <c r="F90" s="641" t="s">
        <v>1131</v>
      </c>
      <c r="G90" s="640" t="s">
        <v>557</v>
      </c>
      <c r="H90" s="640" t="s">
        <v>647</v>
      </c>
      <c r="I90" s="640" t="s">
        <v>647</v>
      </c>
      <c r="J90" s="640" t="s">
        <v>648</v>
      </c>
      <c r="K90" s="640" t="s">
        <v>649</v>
      </c>
      <c r="L90" s="642">
        <v>47.24</v>
      </c>
      <c r="M90" s="642">
        <v>6</v>
      </c>
      <c r="N90" s="643">
        <v>283.44</v>
      </c>
    </row>
    <row r="91" spans="1:14" ht="14.4" customHeight="1" x14ac:dyDescent="0.3">
      <c r="A91" s="638" t="s">
        <v>537</v>
      </c>
      <c r="B91" s="639" t="s">
        <v>538</v>
      </c>
      <c r="C91" s="640" t="s">
        <v>547</v>
      </c>
      <c r="D91" s="641" t="s">
        <v>1128</v>
      </c>
      <c r="E91" s="640" t="s">
        <v>556</v>
      </c>
      <c r="F91" s="641" t="s">
        <v>1131</v>
      </c>
      <c r="G91" s="640" t="s">
        <v>557</v>
      </c>
      <c r="H91" s="640" t="s">
        <v>772</v>
      </c>
      <c r="I91" s="640" t="s">
        <v>578</v>
      </c>
      <c r="J91" s="640" t="s">
        <v>773</v>
      </c>
      <c r="K91" s="640"/>
      <c r="L91" s="642">
        <v>468.0944918603866</v>
      </c>
      <c r="M91" s="642">
        <v>2</v>
      </c>
      <c r="N91" s="643">
        <v>936.18898372077319</v>
      </c>
    </row>
    <row r="92" spans="1:14" ht="14.4" customHeight="1" x14ac:dyDescent="0.3">
      <c r="A92" s="638" t="s">
        <v>537</v>
      </c>
      <c r="B92" s="639" t="s">
        <v>538</v>
      </c>
      <c r="C92" s="640" t="s">
        <v>547</v>
      </c>
      <c r="D92" s="641" t="s">
        <v>1128</v>
      </c>
      <c r="E92" s="640" t="s">
        <v>556</v>
      </c>
      <c r="F92" s="641" t="s">
        <v>1131</v>
      </c>
      <c r="G92" s="640" t="s">
        <v>557</v>
      </c>
      <c r="H92" s="640" t="s">
        <v>774</v>
      </c>
      <c r="I92" s="640" t="s">
        <v>578</v>
      </c>
      <c r="J92" s="640" t="s">
        <v>775</v>
      </c>
      <c r="K92" s="640" t="s">
        <v>776</v>
      </c>
      <c r="L92" s="642">
        <v>162.30000000000001</v>
      </c>
      <c r="M92" s="642">
        <v>1</v>
      </c>
      <c r="N92" s="643">
        <v>162.30000000000001</v>
      </c>
    </row>
    <row r="93" spans="1:14" ht="14.4" customHeight="1" x14ac:dyDescent="0.3">
      <c r="A93" s="638" t="s">
        <v>537</v>
      </c>
      <c r="B93" s="639" t="s">
        <v>538</v>
      </c>
      <c r="C93" s="640" t="s">
        <v>547</v>
      </c>
      <c r="D93" s="641" t="s">
        <v>1128</v>
      </c>
      <c r="E93" s="640" t="s">
        <v>656</v>
      </c>
      <c r="F93" s="641" t="s">
        <v>1132</v>
      </c>
      <c r="G93" s="640" t="s">
        <v>557</v>
      </c>
      <c r="H93" s="640" t="s">
        <v>657</v>
      </c>
      <c r="I93" s="640" t="s">
        <v>578</v>
      </c>
      <c r="J93" s="640" t="s">
        <v>658</v>
      </c>
      <c r="K93" s="640"/>
      <c r="L93" s="642">
        <v>480.74</v>
      </c>
      <c r="M93" s="642">
        <v>4</v>
      </c>
      <c r="N93" s="643">
        <v>1922.96</v>
      </c>
    </row>
    <row r="94" spans="1:14" ht="14.4" customHeight="1" x14ac:dyDescent="0.3">
      <c r="A94" s="638" t="s">
        <v>537</v>
      </c>
      <c r="B94" s="639" t="s">
        <v>538</v>
      </c>
      <c r="C94" s="640" t="s">
        <v>547</v>
      </c>
      <c r="D94" s="641" t="s">
        <v>1128</v>
      </c>
      <c r="E94" s="640" t="s">
        <v>656</v>
      </c>
      <c r="F94" s="641" t="s">
        <v>1132</v>
      </c>
      <c r="G94" s="640" t="s">
        <v>557</v>
      </c>
      <c r="H94" s="640" t="s">
        <v>659</v>
      </c>
      <c r="I94" s="640" t="s">
        <v>578</v>
      </c>
      <c r="J94" s="640" t="s">
        <v>660</v>
      </c>
      <c r="K94" s="640"/>
      <c r="L94" s="642">
        <v>913.10000000000014</v>
      </c>
      <c r="M94" s="642">
        <v>4</v>
      </c>
      <c r="N94" s="643">
        <v>3652.4000000000005</v>
      </c>
    </row>
    <row r="95" spans="1:14" ht="14.4" customHeight="1" x14ac:dyDescent="0.3">
      <c r="A95" s="638" t="s">
        <v>537</v>
      </c>
      <c r="B95" s="639" t="s">
        <v>538</v>
      </c>
      <c r="C95" s="640" t="s">
        <v>547</v>
      </c>
      <c r="D95" s="641" t="s">
        <v>1128</v>
      </c>
      <c r="E95" s="640" t="s">
        <v>661</v>
      </c>
      <c r="F95" s="641" t="s">
        <v>1133</v>
      </c>
      <c r="G95" s="640" t="s">
        <v>557</v>
      </c>
      <c r="H95" s="640" t="s">
        <v>777</v>
      </c>
      <c r="I95" s="640" t="s">
        <v>778</v>
      </c>
      <c r="J95" s="640" t="s">
        <v>692</v>
      </c>
      <c r="K95" s="640" t="s">
        <v>693</v>
      </c>
      <c r="L95" s="642">
        <v>136.53666666666666</v>
      </c>
      <c r="M95" s="642">
        <v>9</v>
      </c>
      <c r="N95" s="643">
        <v>1228.83</v>
      </c>
    </row>
    <row r="96" spans="1:14" ht="14.4" customHeight="1" x14ac:dyDescent="0.3">
      <c r="A96" s="638" t="s">
        <v>537</v>
      </c>
      <c r="B96" s="639" t="s">
        <v>538</v>
      </c>
      <c r="C96" s="640" t="s">
        <v>547</v>
      </c>
      <c r="D96" s="641" t="s">
        <v>1128</v>
      </c>
      <c r="E96" s="640" t="s">
        <v>661</v>
      </c>
      <c r="F96" s="641" t="s">
        <v>1133</v>
      </c>
      <c r="G96" s="640" t="s">
        <v>557</v>
      </c>
      <c r="H96" s="640" t="s">
        <v>673</v>
      </c>
      <c r="I96" s="640" t="s">
        <v>674</v>
      </c>
      <c r="J96" s="640" t="s">
        <v>675</v>
      </c>
      <c r="K96" s="640" t="s">
        <v>676</v>
      </c>
      <c r="L96" s="642">
        <v>59.824500000000008</v>
      </c>
      <c r="M96" s="642">
        <v>4</v>
      </c>
      <c r="N96" s="643">
        <v>239.29800000000003</v>
      </c>
    </row>
    <row r="97" spans="1:14" ht="14.4" customHeight="1" x14ac:dyDescent="0.3">
      <c r="A97" s="638" t="s">
        <v>537</v>
      </c>
      <c r="B97" s="639" t="s">
        <v>538</v>
      </c>
      <c r="C97" s="640" t="s">
        <v>547</v>
      </c>
      <c r="D97" s="641" t="s">
        <v>1128</v>
      </c>
      <c r="E97" s="640" t="s">
        <v>661</v>
      </c>
      <c r="F97" s="641" t="s">
        <v>1133</v>
      </c>
      <c r="G97" s="640" t="s">
        <v>557</v>
      </c>
      <c r="H97" s="640" t="s">
        <v>677</v>
      </c>
      <c r="I97" s="640" t="s">
        <v>678</v>
      </c>
      <c r="J97" s="640" t="s">
        <v>679</v>
      </c>
      <c r="K97" s="640" t="s">
        <v>680</v>
      </c>
      <c r="L97" s="642">
        <v>23.519941376299819</v>
      </c>
      <c r="M97" s="642">
        <v>2</v>
      </c>
      <c r="N97" s="643">
        <v>47.039882752599638</v>
      </c>
    </row>
    <row r="98" spans="1:14" ht="14.4" customHeight="1" x14ac:dyDescent="0.3">
      <c r="A98" s="638" t="s">
        <v>537</v>
      </c>
      <c r="B98" s="639" t="s">
        <v>538</v>
      </c>
      <c r="C98" s="640" t="s">
        <v>547</v>
      </c>
      <c r="D98" s="641" t="s">
        <v>1128</v>
      </c>
      <c r="E98" s="640" t="s">
        <v>661</v>
      </c>
      <c r="F98" s="641" t="s">
        <v>1133</v>
      </c>
      <c r="G98" s="640" t="s">
        <v>557</v>
      </c>
      <c r="H98" s="640" t="s">
        <v>681</v>
      </c>
      <c r="I98" s="640" t="s">
        <v>682</v>
      </c>
      <c r="J98" s="640" t="s">
        <v>683</v>
      </c>
      <c r="K98" s="640" t="s">
        <v>684</v>
      </c>
      <c r="L98" s="642">
        <v>46.839980954479422</v>
      </c>
      <c r="M98" s="642">
        <v>17</v>
      </c>
      <c r="N98" s="643">
        <v>796.27967622615017</v>
      </c>
    </row>
    <row r="99" spans="1:14" ht="14.4" customHeight="1" x14ac:dyDescent="0.3">
      <c r="A99" s="638" t="s">
        <v>537</v>
      </c>
      <c r="B99" s="639" t="s">
        <v>538</v>
      </c>
      <c r="C99" s="640" t="s">
        <v>547</v>
      </c>
      <c r="D99" s="641" t="s">
        <v>1128</v>
      </c>
      <c r="E99" s="640" t="s">
        <v>661</v>
      </c>
      <c r="F99" s="641" t="s">
        <v>1133</v>
      </c>
      <c r="G99" s="640" t="s">
        <v>557</v>
      </c>
      <c r="H99" s="640" t="s">
        <v>779</v>
      </c>
      <c r="I99" s="640" t="s">
        <v>780</v>
      </c>
      <c r="J99" s="640" t="s">
        <v>781</v>
      </c>
      <c r="K99" s="640" t="s">
        <v>782</v>
      </c>
      <c r="L99" s="642">
        <v>772.08</v>
      </c>
      <c r="M99" s="642">
        <v>1</v>
      </c>
      <c r="N99" s="643">
        <v>772.08</v>
      </c>
    </row>
    <row r="100" spans="1:14" ht="14.4" customHeight="1" x14ac:dyDescent="0.3">
      <c r="A100" s="638" t="s">
        <v>537</v>
      </c>
      <c r="B100" s="639" t="s">
        <v>538</v>
      </c>
      <c r="C100" s="640" t="s">
        <v>547</v>
      </c>
      <c r="D100" s="641" t="s">
        <v>1128</v>
      </c>
      <c r="E100" s="640" t="s">
        <v>661</v>
      </c>
      <c r="F100" s="641" t="s">
        <v>1133</v>
      </c>
      <c r="G100" s="640" t="s">
        <v>557</v>
      </c>
      <c r="H100" s="640" t="s">
        <v>783</v>
      </c>
      <c r="I100" s="640" t="s">
        <v>783</v>
      </c>
      <c r="J100" s="640" t="s">
        <v>784</v>
      </c>
      <c r="K100" s="640" t="s">
        <v>785</v>
      </c>
      <c r="L100" s="642">
        <v>462</v>
      </c>
      <c r="M100" s="642">
        <v>1</v>
      </c>
      <c r="N100" s="643">
        <v>462</v>
      </c>
    </row>
    <row r="101" spans="1:14" ht="14.4" customHeight="1" x14ac:dyDescent="0.3">
      <c r="A101" s="638" t="s">
        <v>537</v>
      </c>
      <c r="B101" s="639" t="s">
        <v>538</v>
      </c>
      <c r="C101" s="640" t="s">
        <v>547</v>
      </c>
      <c r="D101" s="641" t="s">
        <v>1128</v>
      </c>
      <c r="E101" s="640" t="s">
        <v>661</v>
      </c>
      <c r="F101" s="641" t="s">
        <v>1133</v>
      </c>
      <c r="G101" s="640" t="s">
        <v>557</v>
      </c>
      <c r="H101" s="640" t="s">
        <v>685</v>
      </c>
      <c r="I101" s="640" t="s">
        <v>685</v>
      </c>
      <c r="J101" s="640" t="s">
        <v>686</v>
      </c>
      <c r="K101" s="640" t="s">
        <v>687</v>
      </c>
      <c r="L101" s="642">
        <v>72.64</v>
      </c>
      <c r="M101" s="642">
        <v>1</v>
      </c>
      <c r="N101" s="643">
        <v>72.64</v>
      </c>
    </row>
    <row r="102" spans="1:14" ht="14.4" customHeight="1" x14ac:dyDescent="0.3">
      <c r="A102" s="638" t="s">
        <v>537</v>
      </c>
      <c r="B102" s="639" t="s">
        <v>538</v>
      </c>
      <c r="C102" s="640" t="s">
        <v>547</v>
      </c>
      <c r="D102" s="641" t="s">
        <v>1128</v>
      </c>
      <c r="E102" s="640" t="s">
        <v>661</v>
      </c>
      <c r="F102" s="641" t="s">
        <v>1133</v>
      </c>
      <c r="G102" s="640" t="s">
        <v>557</v>
      </c>
      <c r="H102" s="640" t="s">
        <v>786</v>
      </c>
      <c r="I102" s="640" t="s">
        <v>786</v>
      </c>
      <c r="J102" s="640" t="s">
        <v>787</v>
      </c>
      <c r="K102" s="640" t="s">
        <v>788</v>
      </c>
      <c r="L102" s="642">
        <v>316.02999999999997</v>
      </c>
      <c r="M102" s="642">
        <v>2</v>
      </c>
      <c r="N102" s="643">
        <v>632.05999999999995</v>
      </c>
    </row>
    <row r="103" spans="1:14" ht="14.4" customHeight="1" x14ac:dyDescent="0.3">
      <c r="A103" s="638" t="s">
        <v>537</v>
      </c>
      <c r="B103" s="639" t="s">
        <v>538</v>
      </c>
      <c r="C103" s="640" t="s">
        <v>547</v>
      </c>
      <c r="D103" s="641" t="s">
        <v>1128</v>
      </c>
      <c r="E103" s="640" t="s">
        <v>661</v>
      </c>
      <c r="F103" s="641" t="s">
        <v>1133</v>
      </c>
      <c r="G103" s="640" t="s">
        <v>557</v>
      </c>
      <c r="H103" s="640" t="s">
        <v>691</v>
      </c>
      <c r="I103" s="640" t="s">
        <v>691</v>
      </c>
      <c r="J103" s="640" t="s">
        <v>692</v>
      </c>
      <c r="K103" s="640" t="s">
        <v>693</v>
      </c>
      <c r="L103" s="642">
        <v>137.14999999999998</v>
      </c>
      <c r="M103" s="642">
        <v>6.6</v>
      </c>
      <c r="N103" s="643">
        <v>905.18999999999983</v>
      </c>
    </row>
    <row r="104" spans="1:14" ht="14.4" customHeight="1" x14ac:dyDescent="0.3">
      <c r="A104" s="638" t="s">
        <v>537</v>
      </c>
      <c r="B104" s="639" t="s">
        <v>538</v>
      </c>
      <c r="C104" s="640" t="s">
        <v>547</v>
      </c>
      <c r="D104" s="641" t="s">
        <v>1128</v>
      </c>
      <c r="E104" s="640" t="s">
        <v>661</v>
      </c>
      <c r="F104" s="641" t="s">
        <v>1133</v>
      </c>
      <c r="G104" s="640" t="s">
        <v>694</v>
      </c>
      <c r="H104" s="640" t="s">
        <v>695</v>
      </c>
      <c r="I104" s="640" t="s">
        <v>696</v>
      </c>
      <c r="J104" s="640" t="s">
        <v>697</v>
      </c>
      <c r="K104" s="640" t="s">
        <v>698</v>
      </c>
      <c r="L104" s="642">
        <v>49.529775772689064</v>
      </c>
      <c r="M104" s="642">
        <v>2</v>
      </c>
      <c r="N104" s="643">
        <v>99.059551545378127</v>
      </c>
    </row>
    <row r="105" spans="1:14" ht="14.4" customHeight="1" x14ac:dyDescent="0.3">
      <c r="A105" s="638" t="s">
        <v>537</v>
      </c>
      <c r="B105" s="639" t="s">
        <v>538</v>
      </c>
      <c r="C105" s="640" t="s">
        <v>547</v>
      </c>
      <c r="D105" s="641" t="s">
        <v>1128</v>
      </c>
      <c r="E105" s="640" t="s">
        <v>699</v>
      </c>
      <c r="F105" s="641" t="s">
        <v>1134</v>
      </c>
      <c r="G105" s="640" t="s">
        <v>557</v>
      </c>
      <c r="H105" s="640" t="s">
        <v>704</v>
      </c>
      <c r="I105" s="640" t="s">
        <v>705</v>
      </c>
      <c r="J105" s="640" t="s">
        <v>706</v>
      </c>
      <c r="K105" s="640" t="s">
        <v>707</v>
      </c>
      <c r="L105" s="642">
        <v>108.79740966035159</v>
      </c>
      <c r="M105" s="642">
        <v>6</v>
      </c>
      <c r="N105" s="643">
        <v>652.78445796210951</v>
      </c>
    </row>
    <row r="106" spans="1:14" ht="14.4" customHeight="1" x14ac:dyDescent="0.3">
      <c r="A106" s="638" t="s">
        <v>537</v>
      </c>
      <c r="B106" s="639" t="s">
        <v>538</v>
      </c>
      <c r="C106" s="640" t="s">
        <v>550</v>
      </c>
      <c r="D106" s="641" t="s">
        <v>1129</v>
      </c>
      <c r="E106" s="640" t="s">
        <v>556</v>
      </c>
      <c r="F106" s="641" t="s">
        <v>1131</v>
      </c>
      <c r="G106" s="640"/>
      <c r="H106" s="640" t="s">
        <v>789</v>
      </c>
      <c r="I106" s="640" t="s">
        <v>790</v>
      </c>
      <c r="J106" s="640" t="s">
        <v>791</v>
      </c>
      <c r="K106" s="640"/>
      <c r="L106" s="642">
        <v>72.680000000000021</v>
      </c>
      <c r="M106" s="642">
        <v>14</v>
      </c>
      <c r="N106" s="643">
        <v>1017.5200000000002</v>
      </c>
    </row>
    <row r="107" spans="1:14" ht="14.4" customHeight="1" x14ac:dyDescent="0.3">
      <c r="A107" s="638" t="s">
        <v>537</v>
      </c>
      <c r="B107" s="639" t="s">
        <v>538</v>
      </c>
      <c r="C107" s="640" t="s">
        <v>550</v>
      </c>
      <c r="D107" s="641" t="s">
        <v>1129</v>
      </c>
      <c r="E107" s="640" t="s">
        <v>556</v>
      </c>
      <c r="F107" s="641" t="s">
        <v>1131</v>
      </c>
      <c r="G107" s="640"/>
      <c r="H107" s="640" t="s">
        <v>792</v>
      </c>
      <c r="I107" s="640" t="s">
        <v>793</v>
      </c>
      <c r="J107" s="640" t="s">
        <v>794</v>
      </c>
      <c r="K107" s="640" t="s">
        <v>795</v>
      </c>
      <c r="L107" s="642">
        <v>128.42007238952999</v>
      </c>
      <c r="M107" s="642">
        <v>43</v>
      </c>
      <c r="N107" s="643">
        <v>5522.0631127497891</v>
      </c>
    </row>
    <row r="108" spans="1:14" ht="14.4" customHeight="1" x14ac:dyDescent="0.3">
      <c r="A108" s="638" t="s">
        <v>537</v>
      </c>
      <c r="B108" s="639" t="s">
        <v>538</v>
      </c>
      <c r="C108" s="640" t="s">
        <v>550</v>
      </c>
      <c r="D108" s="641" t="s">
        <v>1129</v>
      </c>
      <c r="E108" s="640" t="s">
        <v>556</v>
      </c>
      <c r="F108" s="641" t="s">
        <v>1131</v>
      </c>
      <c r="G108" s="640" t="s">
        <v>557</v>
      </c>
      <c r="H108" s="640" t="s">
        <v>558</v>
      </c>
      <c r="I108" s="640" t="s">
        <v>558</v>
      </c>
      <c r="J108" s="640" t="s">
        <v>559</v>
      </c>
      <c r="K108" s="640" t="s">
        <v>560</v>
      </c>
      <c r="L108" s="642">
        <v>171.59980528841214</v>
      </c>
      <c r="M108" s="642">
        <v>32</v>
      </c>
      <c r="N108" s="643">
        <v>5491.1937692291885</v>
      </c>
    </row>
    <row r="109" spans="1:14" ht="14.4" customHeight="1" x14ac:dyDescent="0.3">
      <c r="A109" s="638" t="s">
        <v>537</v>
      </c>
      <c r="B109" s="639" t="s">
        <v>538</v>
      </c>
      <c r="C109" s="640" t="s">
        <v>550</v>
      </c>
      <c r="D109" s="641" t="s">
        <v>1129</v>
      </c>
      <c r="E109" s="640" t="s">
        <v>556</v>
      </c>
      <c r="F109" s="641" t="s">
        <v>1131</v>
      </c>
      <c r="G109" s="640" t="s">
        <v>557</v>
      </c>
      <c r="H109" s="640" t="s">
        <v>796</v>
      </c>
      <c r="I109" s="640" t="s">
        <v>796</v>
      </c>
      <c r="J109" s="640" t="s">
        <v>797</v>
      </c>
      <c r="K109" s="640" t="s">
        <v>798</v>
      </c>
      <c r="L109" s="642">
        <v>173.69</v>
      </c>
      <c r="M109" s="642">
        <v>2</v>
      </c>
      <c r="N109" s="643">
        <v>347.38</v>
      </c>
    </row>
    <row r="110" spans="1:14" ht="14.4" customHeight="1" x14ac:dyDescent="0.3">
      <c r="A110" s="638" t="s">
        <v>537</v>
      </c>
      <c r="B110" s="639" t="s">
        <v>538</v>
      </c>
      <c r="C110" s="640" t="s">
        <v>550</v>
      </c>
      <c r="D110" s="641" t="s">
        <v>1129</v>
      </c>
      <c r="E110" s="640" t="s">
        <v>556</v>
      </c>
      <c r="F110" s="641" t="s">
        <v>1131</v>
      </c>
      <c r="G110" s="640" t="s">
        <v>557</v>
      </c>
      <c r="H110" s="640" t="s">
        <v>708</v>
      </c>
      <c r="I110" s="640" t="s">
        <v>708</v>
      </c>
      <c r="J110" s="640" t="s">
        <v>709</v>
      </c>
      <c r="K110" s="640" t="s">
        <v>710</v>
      </c>
      <c r="L110" s="642">
        <v>222.19999823141876</v>
      </c>
      <c r="M110" s="642">
        <v>8</v>
      </c>
      <c r="N110" s="643">
        <v>1777.5999858513501</v>
      </c>
    </row>
    <row r="111" spans="1:14" ht="14.4" customHeight="1" x14ac:dyDescent="0.3">
      <c r="A111" s="638" t="s">
        <v>537</v>
      </c>
      <c r="B111" s="639" t="s">
        <v>538</v>
      </c>
      <c r="C111" s="640" t="s">
        <v>550</v>
      </c>
      <c r="D111" s="641" t="s">
        <v>1129</v>
      </c>
      <c r="E111" s="640" t="s">
        <v>556</v>
      </c>
      <c r="F111" s="641" t="s">
        <v>1131</v>
      </c>
      <c r="G111" s="640" t="s">
        <v>557</v>
      </c>
      <c r="H111" s="640" t="s">
        <v>799</v>
      </c>
      <c r="I111" s="640" t="s">
        <v>799</v>
      </c>
      <c r="J111" s="640" t="s">
        <v>559</v>
      </c>
      <c r="K111" s="640" t="s">
        <v>800</v>
      </c>
      <c r="L111" s="642">
        <v>92.950000000000017</v>
      </c>
      <c r="M111" s="642">
        <v>17</v>
      </c>
      <c r="N111" s="643">
        <v>1580.1500000000003</v>
      </c>
    </row>
    <row r="112" spans="1:14" ht="14.4" customHeight="1" x14ac:dyDescent="0.3">
      <c r="A112" s="638" t="s">
        <v>537</v>
      </c>
      <c r="B112" s="639" t="s">
        <v>538</v>
      </c>
      <c r="C112" s="640" t="s">
        <v>550</v>
      </c>
      <c r="D112" s="641" t="s">
        <v>1129</v>
      </c>
      <c r="E112" s="640" t="s">
        <v>556</v>
      </c>
      <c r="F112" s="641" t="s">
        <v>1131</v>
      </c>
      <c r="G112" s="640" t="s">
        <v>557</v>
      </c>
      <c r="H112" s="640" t="s">
        <v>561</v>
      </c>
      <c r="I112" s="640" t="s">
        <v>562</v>
      </c>
      <c r="J112" s="640" t="s">
        <v>563</v>
      </c>
      <c r="K112" s="640" t="s">
        <v>564</v>
      </c>
      <c r="L112" s="642">
        <v>87.029999999999987</v>
      </c>
      <c r="M112" s="642">
        <v>6</v>
      </c>
      <c r="N112" s="643">
        <v>522.17999999999995</v>
      </c>
    </row>
    <row r="113" spans="1:14" ht="14.4" customHeight="1" x14ac:dyDescent="0.3">
      <c r="A113" s="638" t="s">
        <v>537</v>
      </c>
      <c r="B113" s="639" t="s">
        <v>538</v>
      </c>
      <c r="C113" s="640" t="s">
        <v>550</v>
      </c>
      <c r="D113" s="641" t="s">
        <v>1129</v>
      </c>
      <c r="E113" s="640" t="s">
        <v>556</v>
      </c>
      <c r="F113" s="641" t="s">
        <v>1131</v>
      </c>
      <c r="G113" s="640" t="s">
        <v>557</v>
      </c>
      <c r="H113" s="640" t="s">
        <v>801</v>
      </c>
      <c r="I113" s="640" t="s">
        <v>802</v>
      </c>
      <c r="J113" s="640" t="s">
        <v>803</v>
      </c>
      <c r="K113" s="640" t="s">
        <v>804</v>
      </c>
      <c r="L113" s="642">
        <v>96.820051282051296</v>
      </c>
      <c r="M113" s="642">
        <v>39</v>
      </c>
      <c r="N113" s="643">
        <v>3775.9820000000004</v>
      </c>
    </row>
    <row r="114" spans="1:14" ht="14.4" customHeight="1" x14ac:dyDescent="0.3">
      <c r="A114" s="638" t="s">
        <v>537</v>
      </c>
      <c r="B114" s="639" t="s">
        <v>538</v>
      </c>
      <c r="C114" s="640" t="s">
        <v>550</v>
      </c>
      <c r="D114" s="641" t="s">
        <v>1129</v>
      </c>
      <c r="E114" s="640" t="s">
        <v>556</v>
      </c>
      <c r="F114" s="641" t="s">
        <v>1131</v>
      </c>
      <c r="G114" s="640" t="s">
        <v>557</v>
      </c>
      <c r="H114" s="640" t="s">
        <v>565</v>
      </c>
      <c r="I114" s="640" t="s">
        <v>566</v>
      </c>
      <c r="J114" s="640" t="s">
        <v>567</v>
      </c>
      <c r="K114" s="640" t="s">
        <v>568</v>
      </c>
      <c r="L114" s="642">
        <v>79.180000000000007</v>
      </c>
      <c r="M114" s="642">
        <v>4</v>
      </c>
      <c r="N114" s="643">
        <v>316.72000000000003</v>
      </c>
    </row>
    <row r="115" spans="1:14" ht="14.4" customHeight="1" x14ac:dyDescent="0.3">
      <c r="A115" s="638" t="s">
        <v>537</v>
      </c>
      <c r="B115" s="639" t="s">
        <v>538</v>
      </c>
      <c r="C115" s="640" t="s">
        <v>550</v>
      </c>
      <c r="D115" s="641" t="s">
        <v>1129</v>
      </c>
      <c r="E115" s="640" t="s">
        <v>556</v>
      </c>
      <c r="F115" s="641" t="s">
        <v>1131</v>
      </c>
      <c r="G115" s="640" t="s">
        <v>557</v>
      </c>
      <c r="H115" s="640" t="s">
        <v>569</v>
      </c>
      <c r="I115" s="640" t="s">
        <v>570</v>
      </c>
      <c r="J115" s="640" t="s">
        <v>571</v>
      </c>
      <c r="K115" s="640" t="s">
        <v>572</v>
      </c>
      <c r="L115" s="642">
        <v>76.333698606466839</v>
      </c>
      <c r="M115" s="642">
        <v>87</v>
      </c>
      <c r="N115" s="643">
        <v>6641.0317787626154</v>
      </c>
    </row>
    <row r="116" spans="1:14" ht="14.4" customHeight="1" x14ac:dyDescent="0.3">
      <c r="A116" s="638" t="s">
        <v>537</v>
      </c>
      <c r="B116" s="639" t="s">
        <v>538</v>
      </c>
      <c r="C116" s="640" t="s">
        <v>550</v>
      </c>
      <c r="D116" s="641" t="s">
        <v>1129</v>
      </c>
      <c r="E116" s="640" t="s">
        <v>556</v>
      </c>
      <c r="F116" s="641" t="s">
        <v>1131</v>
      </c>
      <c r="G116" s="640" t="s">
        <v>557</v>
      </c>
      <c r="H116" s="640" t="s">
        <v>805</v>
      </c>
      <c r="I116" s="640" t="s">
        <v>806</v>
      </c>
      <c r="J116" s="640" t="s">
        <v>807</v>
      </c>
      <c r="K116" s="640" t="s">
        <v>714</v>
      </c>
      <c r="L116" s="642">
        <v>86.054694969519574</v>
      </c>
      <c r="M116" s="642">
        <v>2</v>
      </c>
      <c r="N116" s="643">
        <v>172.10938993903915</v>
      </c>
    </row>
    <row r="117" spans="1:14" ht="14.4" customHeight="1" x14ac:dyDescent="0.3">
      <c r="A117" s="638" t="s">
        <v>537</v>
      </c>
      <c r="B117" s="639" t="s">
        <v>538</v>
      </c>
      <c r="C117" s="640" t="s">
        <v>550</v>
      </c>
      <c r="D117" s="641" t="s">
        <v>1129</v>
      </c>
      <c r="E117" s="640" t="s">
        <v>556</v>
      </c>
      <c r="F117" s="641" t="s">
        <v>1131</v>
      </c>
      <c r="G117" s="640" t="s">
        <v>557</v>
      </c>
      <c r="H117" s="640" t="s">
        <v>808</v>
      </c>
      <c r="I117" s="640" t="s">
        <v>809</v>
      </c>
      <c r="J117" s="640" t="s">
        <v>637</v>
      </c>
      <c r="K117" s="640" t="s">
        <v>669</v>
      </c>
      <c r="L117" s="642">
        <v>63.949999999999996</v>
      </c>
      <c r="M117" s="642">
        <v>2</v>
      </c>
      <c r="N117" s="643">
        <v>127.89999999999999</v>
      </c>
    </row>
    <row r="118" spans="1:14" ht="14.4" customHeight="1" x14ac:dyDescent="0.3">
      <c r="A118" s="638" t="s">
        <v>537</v>
      </c>
      <c r="B118" s="639" t="s">
        <v>538</v>
      </c>
      <c r="C118" s="640" t="s">
        <v>550</v>
      </c>
      <c r="D118" s="641" t="s">
        <v>1129</v>
      </c>
      <c r="E118" s="640" t="s">
        <v>556</v>
      </c>
      <c r="F118" s="641" t="s">
        <v>1131</v>
      </c>
      <c r="G118" s="640" t="s">
        <v>557</v>
      </c>
      <c r="H118" s="640" t="s">
        <v>810</v>
      </c>
      <c r="I118" s="640" t="s">
        <v>811</v>
      </c>
      <c r="J118" s="640" t="s">
        <v>812</v>
      </c>
      <c r="K118" s="640" t="s">
        <v>714</v>
      </c>
      <c r="L118" s="642">
        <v>30.199892847266387</v>
      </c>
      <c r="M118" s="642">
        <v>4</v>
      </c>
      <c r="N118" s="643">
        <v>120.79957138906555</v>
      </c>
    </row>
    <row r="119" spans="1:14" ht="14.4" customHeight="1" x14ac:dyDescent="0.3">
      <c r="A119" s="638" t="s">
        <v>537</v>
      </c>
      <c r="B119" s="639" t="s">
        <v>538</v>
      </c>
      <c r="C119" s="640" t="s">
        <v>550</v>
      </c>
      <c r="D119" s="641" t="s">
        <v>1129</v>
      </c>
      <c r="E119" s="640" t="s">
        <v>556</v>
      </c>
      <c r="F119" s="641" t="s">
        <v>1131</v>
      </c>
      <c r="G119" s="640" t="s">
        <v>557</v>
      </c>
      <c r="H119" s="640" t="s">
        <v>813</v>
      </c>
      <c r="I119" s="640" t="s">
        <v>814</v>
      </c>
      <c r="J119" s="640" t="s">
        <v>815</v>
      </c>
      <c r="K119" s="640" t="s">
        <v>816</v>
      </c>
      <c r="L119" s="642">
        <v>27.750000000000007</v>
      </c>
      <c r="M119" s="642">
        <v>7</v>
      </c>
      <c r="N119" s="643">
        <v>194.25000000000006</v>
      </c>
    </row>
    <row r="120" spans="1:14" ht="14.4" customHeight="1" x14ac:dyDescent="0.3">
      <c r="A120" s="638" t="s">
        <v>537</v>
      </c>
      <c r="B120" s="639" t="s">
        <v>538</v>
      </c>
      <c r="C120" s="640" t="s">
        <v>550</v>
      </c>
      <c r="D120" s="641" t="s">
        <v>1129</v>
      </c>
      <c r="E120" s="640" t="s">
        <v>556</v>
      </c>
      <c r="F120" s="641" t="s">
        <v>1131</v>
      </c>
      <c r="G120" s="640" t="s">
        <v>557</v>
      </c>
      <c r="H120" s="640" t="s">
        <v>817</v>
      </c>
      <c r="I120" s="640" t="s">
        <v>818</v>
      </c>
      <c r="J120" s="640" t="s">
        <v>819</v>
      </c>
      <c r="K120" s="640" t="s">
        <v>820</v>
      </c>
      <c r="L120" s="642">
        <v>115.86555594227252</v>
      </c>
      <c r="M120" s="642">
        <v>18</v>
      </c>
      <c r="N120" s="643">
        <v>2085.5800069609054</v>
      </c>
    </row>
    <row r="121" spans="1:14" ht="14.4" customHeight="1" x14ac:dyDescent="0.3">
      <c r="A121" s="638" t="s">
        <v>537</v>
      </c>
      <c r="B121" s="639" t="s">
        <v>538</v>
      </c>
      <c r="C121" s="640" t="s">
        <v>550</v>
      </c>
      <c r="D121" s="641" t="s">
        <v>1129</v>
      </c>
      <c r="E121" s="640" t="s">
        <v>556</v>
      </c>
      <c r="F121" s="641" t="s">
        <v>1131</v>
      </c>
      <c r="G121" s="640" t="s">
        <v>557</v>
      </c>
      <c r="H121" s="640" t="s">
        <v>711</v>
      </c>
      <c r="I121" s="640" t="s">
        <v>712</v>
      </c>
      <c r="J121" s="640" t="s">
        <v>713</v>
      </c>
      <c r="K121" s="640" t="s">
        <v>714</v>
      </c>
      <c r="L121" s="642">
        <v>66.2577239274748</v>
      </c>
      <c r="M121" s="642">
        <v>9</v>
      </c>
      <c r="N121" s="643">
        <v>596.31951534727318</v>
      </c>
    </row>
    <row r="122" spans="1:14" ht="14.4" customHeight="1" x14ac:dyDescent="0.3">
      <c r="A122" s="638" t="s">
        <v>537</v>
      </c>
      <c r="B122" s="639" t="s">
        <v>538</v>
      </c>
      <c r="C122" s="640" t="s">
        <v>550</v>
      </c>
      <c r="D122" s="641" t="s">
        <v>1129</v>
      </c>
      <c r="E122" s="640" t="s">
        <v>556</v>
      </c>
      <c r="F122" s="641" t="s">
        <v>1131</v>
      </c>
      <c r="G122" s="640" t="s">
        <v>557</v>
      </c>
      <c r="H122" s="640" t="s">
        <v>715</v>
      </c>
      <c r="I122" s="640" t="s">
        <v>715</v>
      </c>
      <c r="J122" s="640" t="s">
        <v>716</v>
      </c>
      <c r="K122" s="640" t="s">
        <v>717</v>
      </c>
      <c r="L122" s="642">
        <v>36.530005164252572</v>
      </c>
      <c r="M122" s="642">
        <v>48</v>
      </c>
      <c r="N122" s="643">
        <v>1753.4402478841234</v>
      </c>
    </row>
    <row r="123" spans="1:14" ht="14.4" customHeight="1" x14ac:dyDescent="0.3">
      <c r="A123" s="638" t="s">
        <v>537</v>
      </c>
      <c r="B123" s="639" t="s">
        <v>538</v>
      </c>
      <c r="C123" s="640" t="s">
        <v>550</v>
      </c>
      <c r="D123" s="641" t="s">
        <v>1129</v>
      </c>
      <c r="E123" s="640" t="s">
        <v>556</v>
      </c>
      <c r="F123" s="641" t="s">
        <v>1131</v>
      </c>
      <c r="G123" s="640" t="s">
        <v>557</v>
      </c>
      <c r="H123" s="640" t="s">
        <v>821</v>
      </c>
      <c r="I123" s="640" t="s">
        <v>822</v>
      </c>
      <c r="J123" s="640" t="s">
        <v>823</v>
      </c>
      <c r="K123" s="640" t="s">
        <v>824</v>
      </c>
      <c r="L123" s="642">
        <v>270.60810816357372</v>
      </c>
      <c r="M123" s="642">
        <v>3</v>
      </c>
      <c r="N123" s="643">
        <v>811.82432449072121</v>
      </c>
    </row>
    <row r="124" spans="1:14" ht="14.4" customHeight="1" x14ac:dyDescent="0.3">
      <c r="A124" s="638" t="s">
        <v>537</v>
      </c>
      <c r="B124" s="639" t="s">
        <v>538</v>
      </c>
      <c r="C124" s="640" t="s">
        <v>550</v>
      </c>
      <c r="D124" s="641" t="s">
        <v>1129</v>
      </c>
      <c r="E124" s="640" t="s">
        <v>556</v>
      </c>
      <c r="F124" s="641" t="s">
        <v>1131</v>
      </c>
      <c r="G124" s="640" t="s">
        <v>557</v>
      </c>
      <c r="H124" s="640" t="s">
        <v>825</v>
      </c>
      <c r="I124" s="640" t="s">
        <v>826</v>
      </c>
      <c r="J124" s="640" t="s">
        <v>827</v>
      </c>
      <c r="K124" s="640" t="s">
        <v>828</v>
      </c>
      <c r="L124" s="642">
        <v>299.00027936017398</v>
      </c>
      <c r="M124" s="642">
        <v>13</v>
      </c>
      <c r="N124" s="643">
        <v>3887.003631682262</v>
      </c>
    </row>
    <row r="125" spans="1:14" ht="14.4" customHeight="1" x14ac:dyDescent="0.3">
      <c r="A125" s="638" t="s">
        <v>537</v>
      </c>
      <c r="B125" s="639" t="s">
        <v>538</v>
      </c>
      <c r="C125" s="640" t="s">
        <v>550</v>
      </c>
      <c r="D125" s="641" t="s">
        <v>1129</v>
      </c>
      <c r="E125" s="640" t="s">
        <v>556</v>
      </c>
      <c r="F125" s="641" t="s">
        <v>1131</v>
      </c>
      <c r="G125" s="640" t="s">
        <v>557</v>
      </c>
      <c r="H125" s="640" t="s">
        <v>573</v>
      </c>
      <c r="I125" s="640" t="s">
        <v>574</v>
      </c>
      <c r="J125" s="640" t="s">
        <v>575</v>
      </c>
      <c r="K125" s="640" t="s">
        <v>576</v>
      </c>
      <c r="L125" s="642">
        <v>38.979999999999997</v>
      </c>
      <c r="M125" s="642">
        <v>8</v>
      </c>
      <c r="N125" s="643">
        <v>311.83999999999997</v>
      </c>
    </row>
    <row r="126" spans="1:14" ht="14.4" customHeight="1" x14ac:dyDescent="0.3">
      <c r="A126" s="638" t="s">
        <v>537</v>
      </c>
      <c r="B126" s="639" t="s">
        <v>538</v>
      </c>
      <c r="C126" s="640" t="s">
        <v>550</v>
      </c>
      <c r="D126" s="641" t="s">
        <v>1129</v>
      </c>
      <c r="E126" s="640" t="s">
        <v>556</v>
      </c>
      <c r="F126" s="641" t="s">
        <v>1131</v>
      </c>
      <c r="G126" s="640" t="s">
        <v>557</v>
      </c>
      <c r="H126" s="640" t="s">
        <v>829</v>
      </c>
      <c r="I126" s="640" t="s">
        <v>830</v>
      </c>
      <c r="J126" s="640" t="s">
        <v>831</v>
      </c>
      <c r="K126" s="640" t="s">
        <v>832</v>
      </c>
      <c r="L126" s="642">
        <v>74.869999999999976</v>
      </c>
      <c r="M126" s="642">
        <v>2</v>
      </c>
      <c r="N126" s="643">
        <v>149.73999999999995</v>
      </c>
    </row>
    <row r="127" spans="1:14" ht="14.4" customHeight="1" x14ac:dyDescent="0.3">
      <c r="A127" s="638" t="s">
        <v>537</v>
      </c>
      <c r="B127" s="639" t="s">
        <v>538</v>
      </c>
      <c r="C127" s="640" t="s">
        <v>550</v>
      </c>
      <c r="D127" s="641" t="s">
        <v>1129</v>
      </c>
      <c r="E127" s="640" t="s">
        <v>556</v>
      </c>
      <c r="F127" s="641" t="s">
        <v>1131</v>
      </c>
      <c r="G127" s="640" t="s">
        <v>557</v>
      </c>
      <c r="H127" s="640" t="s">
        <v>833</v>
      </c>
      <c r="I127" s="640" t="s">
        <v>834</v>
      </c>
      <c r="J127" s="640" t="s">
        <v>835</v>
      </c>
      <c r="K127" s="640" t="s">
        <v>836</v>
      </c>
      <c r="L127" s="642">
        <v>60.67</v>
      </c>
      <c r="M127" s="642">
        <v>1</v>
      </c>
      <c r="N127" s="643">
        <v>60.67</v>
      </c>
    </row>
    <row r="128" spans="1:14" ht="14.4" customHeight="1" x14ac:dyDescent="0.3">
      <c r="A128" s="638" t="s">
        <v>537</v>
      </c>
      <c r="B128" s="639" t="s">
        <v>538</v>
      </c>
      <c r="C128" s="640" t="s">
        <v>550</v>
      </c>
      <c r="D128" s="641" t="s">
        <v>1129</v>
      </c>
      <c r="E128" s="640" t="s">
        <v>556</v>
      </c>
      <c r="F128" s="641" t="s">
        <v>1131</v>
      </c>
      <c r="G128" s="640" t="s">
        <v>557</v>
      </c>
      <c r="H128" s="640" t="s">
        <v>837</v>
      </c>
      <c r="I128" s="640" t="s">
        <v>838</v>
      </c>
      <c r="J128" s="640" t="s">
        <v>839</v>
      </c>
      <c r="K128" s="640" t="s">
        <v>840</v>
      </c>
      <c r="L128" s="642">
        <v>375.8</v>
      </c>
      <c r="M128" s="642">
        <v>6</v>
      </c>
      <c r="N128" s="643">
        <v>2254.8000000000002</v>
      </c>
    </row>
    <row r="129" spans="1:14" ht="14.4" customHeight="1" x14ac:dyDescent="0.3">
      <c r="A129" s="638" t="s">
        <v>537</v>
      </c>
      <c r="B129" s="639" t="s">
        <v>538</v>
      </c>
      <c r="C129" s="640" t="s">
        <v>550</v>
      </c>
      <c r="D129" s="641" t="s">
        <v>1129</v>
      </c>
      <c r="E129" s="640" t="s">
        <v>556</v>
      </c>
      <c r="F129" s="641" t="s">
        <v>1131</v>
      </c>
      <c r="G129" s="640" t="s">
        <v>557</v>
      </c>
      <c r="H129" s="640" t="s">
        <v>841</v>
      </c>
      <c r="I129" s="640" t="s">
        <v>842</v>
      </c>
      <c r="J129" s="640" t="s">
        <v>843</v>
      </c>
      <c r="K129" s="640"/>
      <c r="L129" s="642">
        <v>132.1796365147105</v>
      </c>
      <c r="M129" s="642">
        <v>68</v>
      </c>
      <c r="N129" s="643">
        <v>8988.2152830003142</v>
      </c>
    </row>
    <row r="130" spans="1:14" ht="14.4" customHeight="1" x14ac:dyDescent="0.3">
      <c r="A130" s="638" t="s">
        <v>537</v>
      </c>
      <c r="B130" s="639" t="s">
        <v>538</v>
      </c>
      <c r="C130" s="640" t="s">
        <v>550</v>
      </c>
      <c r="D130" s="641" t="s">
        <v>1129</v>
      </c>
      <c r="E130" s="640" t="s">
        <v>556</v>
      </c>
      <c r="F130" s="641" t="s">
        <v>1131</v>
      </c>
      <c r="G130" s="640" t="s">
        <v>557</v>
      </c>
      <c r="H130" s="640" t="s">
        <v>844</v>
      </c>
      <c r="I130" s="640" t="s">
        <v>845</v>
      </c>
      <c r="J130" s="640" t="s">
        <v>846</v>
      </c>
      <c r="K130" s="640" t="s">
        <v>847</v>
      </c>
      <c r="L130" s="642">
        <v>62.506697115576458</v>
      </c>
      <c r="M130" s="642">
        <v>6</v>
      </c>
      <c r="N130" s="643">
        <v>375.04018269345875</v>
      </c>
    </row>
    <row r="131" spans="1:14" ht="14.4" customHeight="1" x14ac:dyDescent="0.3">
      <c r="A131" s="638" t="s">
        <v>537</v>
      </c>
      <c r="B131" s="639" t="s">
        <v>538</v>
      </c>
      <c r="C131" s="640" t="s">
        <v>550</v>
      </c>
      <c r="D131" s="641" t="s">
        <v>1129</v>
      </c>
      <c r="E131" s="640" t="s">
        <v>556</v>
      </c>
      <c r="F131" s="641" t="s">
        <v>1131</v>
      </c>
      <c r="G131" s="640" t="s">
        <v>557</v>
      </c>
      <c r="H131" s="640" t="s">
        <v>580</v>
      </c>
      <c r="I131" s="640" t="s">
        <v>581</v>
      </c>
      <c r="J131" s="640" t="s">
        <v>582</v>
      </c>
      <c r="K131" s="640" t="s">
        <v>583</v>
      </c>
      <c r="L131" s="642">
        <v>177.43485965351806</v>
      </c>
      <c r="M131" s="642">
        <v>34</v>
      </c>
      <c r="N131" s="643">
        <v>6032.7852282196136</v>
      </c>
    </row>
    <row r="132" spans="1:14" ht="14.4" customHeight="1" x14ac:dyDescent="0.3">
      <c r="A132" s="638" t="s">
        <v>537</v>
      </c>
      <c r="B132" s="639" t="s">
        <v>538</v>
      </c>
      <c r="C132" s="640" t="s">
        <v>550</v>
      </c>
      <c r="D132" s="641" t="s">
        <v>1129</v>
      </c>
      <c r="E132" s="640" t="s">
        <v>556</v>
      </c>
      <c r="F132" s="641" t="s">
        <v>1131</v>
      </c>
      <c r="G132" s="640" t="s">
        <v>557</v>
      </c>
      <c r="H132" s="640" t="s">
        <v>584</v>
      </c>
      <c r="I132" s="640" t="s">
        <v>578</v>
      </c>
      <c r="J132" s="640" t="s">
        <v>585</v>
      </c>
      <c r="K132" s="640"/>
      <c r="L132" s="642">
        <v>38.264795500402926</v>
      </c>
      <c r="M132" s="642">
        <v>1820</v>
      </c>
      <c r="N132" s="643">
        <v>69641.927810733323</v>
      </c>
    </row>
    <row r="133" spans="1:14" ht="14.4" customHeight="1" x14ac:dyDescent="0.3">
      <c r="A133" s="638" t="s">
        <v>537</v>
      </c>
      <c r="B133" s="639" t="s">
        <v>538</v>
      </c>
      <c r="C133" s="640" t="s">
        <v>550</v>
      </c>
      <c r="D133" s="641" t="s">
        <v>1129</v>
      </c>
      <c r="E133" s="640" t="s">
        <v>556</v>
      </c>
      <c r="F133" s="641" t="s">
        <v>1131</v>
      </c>
      <c r="G133" s="640" t="s">
        <v>557</v>
      </c>
      <c r="H133" s="640" t="s">
        <v>586</v>
      </c>
      <c r="I133" s="640" t="s">
        <v>587</v>
      </c>
      <c r="J133" s="640" t="s">
        <v>567</v>
      </c>
      <c r="K133" s="640" t="s">
        <v>588</v>
      </c>
      <c r="L133" s="642">
        <v>42.193333979306232</v>
      </c>
      <c r="M133" s="642">
        <v>12</v>
      </c>
      <c r="N133" s="643">
        <v>506.32000775167478</v>
      </c>
    </row>
    <row r="134" spans="1:14" ht="14.4" customHeight="1" x14ac:dyDescent="0.3">
      <c r="A134" s="638" t="s">
        <v>537</v>
      </c>
      <c r="B134" s="639" t="s">
        <v>538</v>
      </c>
      <c r="C134" s="640" t="s">
        <v>550</v>
      </c>
      <c r="D134" s="641" t="s">
        <v>1129</v>
      </c>
      <c r="E134" s="640" t="s">
        <v>556</v>
      </c>
      <c r="F134" s="641" t="s">
        <v>1131</v>
      </c>
      <c r="G134" s="640" t="s">
        <v>557</v>
      </c>
      <c r="H134" s="640" t="s">
        <v>848</v>
      </c>
      <c r="I134" s="640" t="s">
        <v>849</v>
      </c>
      <c r="J134" s="640" t="s">
        <v>850</v>
      </c>
      <c r="K134" s="640" t="s">
        <v>564</v>
      </c>
      <c r="L134" s="642">
        <v>125.24355615808075</v>
      </c>
      <c r="M134" s="642">
        <v>35</v>
      </c>
      <c r="N134" s="643">
        <v>4383.5244655328261</v>
      </c>
    </row>
    <row r="135" spans="1:14" ht="14.4" customHeight="1" x14ac:dyDescent="0.3">
      <c r="A135" s="638" t="s">
        <v>537</v>
      </c>
      <c r="B135" s="639" t="s">
        <v>538</v>
      </c>
      <c r="C135" s="640" t="s">
        <v>550</v>
      </c>
      <c r="D135" s="641" t="s">
        <v>1129</v>
      </c>
      <c r="E135" s="640" t="s">
        <v>556</v>
      </c>
      <c r="F135" s="641" t="s">
        <v>1131</v>
      </c>
      <c r="G135" s="640" t="s">
        <v>557</v>
      </c>
      <c r="H135" s="640" t="s">
        <v>851</v>
      </c>
      <c r="I135" s="640" t="s">
        <v>852</v>
      </c>
      <c r="J135" s="640" t="s">
        <v>853</v>
      </c>
      <c r="K135" s="640" t="s">
        <v>854</v>
      </c>
      <c r="L135" s="642">
        <v>358.67835727427587</v>
      </c>
      <c r="M135" s="642">
        <v>11</v>
      </c>
      <c r="N135" s="643">
        <v>3945.4619300170343</v>
      </c>
    </row>
    <row r="136" spans="1:14" ht="14.4" customHeight="1" x14ac:dyDescent="0.3">
      <c r="A136" s="638" t="s">
        <v>537</v>
      </c>
      <c r="B136" s="639" t="s">
        <v>538</v>
      </c>
      <c r="C136" s="640" t="s">
        <v>550</v>
      </c>
      <c r="D136" s="641" t="s">
        <v>1129</v>
      </c>
      <c r="E136" s="640" t="s">
        <v>556</v>
      </c>
      <c r="F136" s="641" t="s">
        <v>1131</v>
      </c>
      <c r="G136" s="640" t="s">
        <v>557</v>
      </c>
      <c r="H136" s="640" t="s">
        <v>855</v>
      </c>
      <c r="I136" s="640" t="s">
        <v>856</v>
      </c>
      <c r="J136" s="640" t="s">
        <v>857</v>
      </c>
      <c r="K136" s="640" t="s">
        <v>858</v>
      </c>
      <c r="L136" s="642">
        <v>46.79</v>
      </c>
      <c r="M136" s="642">
        <v>1</v>
      </c>
      <c r="N136" s="643">
        <v>46.79</v>
      </c>
    </row>
    <row r="137" spans="1:14" ht="14.4" customHeight="1" x14ac:dyDescent="0.3">
      <c r="A137" s="638" t="s">
        <v>537</v>
      </c>
      <c r="B137" s="639" t="s">
        <v>538</v>
      </c>
      <c r="C137" s="640" t="s">
        <v>550</v>
      </c>
      <c r="D137" s="641" t="s">
        <v>1129</v>
      </c>
      <c r="E137" s="640" t="s">
        <v>556</v>
      </c>
      <c r="F137" s="641" t="s">
        <v>1131</v>
      </c>
      <c r="G137" s="640" t="s">
        <v>557</v>
      </c>
      <c r="H137" s="640" t="s">
        <v>589</v>
      </c>
      <c r="I137" s="640" t="s">
        <v>590</v>
      </c>
      <c r="J137" s="640" t="s">
        <v>591</v>
      </c>
      <c r="K137" s="640" t="s">
        <v>592</v>
      </c>
      <c r="L137" s="642">
        <v>69.485714285714295</v>
      </c>
      <c r="M137" s="642">
        <v>7</v>
      </c>
      <c r="N137" s="643">
        <v>486.40000000000003</v>
      </c>
    </row>
    <row r="138" spans="1:14" ht="14.4" customHeight="1" x14ac:dyDescent="0.3">
      <c r="A138" s="638" t="s">
        <v>537</v>
      </c>
      <c r="B138" s="639" t="s">
        <v>538</v>
      </c>
      <c r="C138" s="640" t="s">
        <v>550</v>
      </c>
      <c r="D138" s="641" t="s">
        <v>1129</v>
      </c>
      <c r="E138" s="640" t="s">
        <v>556</v>
      </c>
      <c r="F138" s="641" t="s">
        <v>1131</v>
      </c>
      <c r="G138" s="640" t="s">
        <v>557</v>
      </c>
      <c r="H138" s="640" t="s">
        <v>859</v>
      </c>
      <c r="I138" s="640" t="s">
        <v>860</v>
      </c>
      <c r="J138" s="640" t="s">
        <v>861</v>
      </c>
      <c r="K138" s="640" t="s">
        <v>669</v>
      </c>
      <c r="L138" s="642">
        <v>40.779969263231337</v>
      </c>
      <c r="M138" s="642">
        <v>15</v>
      </c>
      <c r="N138" s="643">
        <v>611.69953894847004</v>
      </c>
    </row>
    <row r="139" spans="1:14" ht="14.4" customHeight="1" x14ac:dyDescent="0.3">
      <c r="A139" s="638" t="s">
        <v>537</v>
      </c>
      <c r="B139" s="639" t="s">
        <v>538</v>
      </c>
      <c r="C139" s="640" t="s">
        <v>550</v>
      </c>
      <c r="D139" s="641" t="s">
        <v>1129</v>
      </c>
      <c r="E139" s="640" t="s">
        <v>556</v>
      </c>
      <c r="F139" s="641" t="s">
        <v>1131</v>
      </c>
      <c r="G139" s="640" t="s">
        <v>557</v>
      </c>
      <c r="H139" s="640" t="s">
        <v>862</v>
      </c>
      <c r="I139" s="640" t="s">
        <v>863</v>
      </c>
      <c r="J139" s="640" t="s">
        <v>602</v>
      </c>
      <c r="K139" s="640" t="s">
        <v>864</v>
      </c>
      <c r="L139" s="642">
        <v>254.97999999999993</v>
      </c>
      <c r="M139" s="642">
        <v>3</v>
      </c>
      <c r="N139" s="643">
        <v>764.93999999999983</v>
      </c>
    </row>
    <row r="140" spans="1:14" ht="14.4" customHeight="1" x14ac:dyDescent="0.3">
      <c r="A140" s="638" t="s">
        <v>537</v>
      </c>
      <c r="B140" s="639" t="s">
        <v>538</v>
      </c>
      <c r="C140" s="640" t="s">
        <v>550</v>
      </c>
      <c r="D140" s="641" t="s">
        <v>1129</v>
      </c>
      <c r="E140" s="640" t="s">
        <v>556</v>
      </c>
      <c r="F140" s="641" t="s">
        <v>1131</v>
      </c>
      <c r="G140" s="640" t="s">
        <v>557</v>
      </c>
      <c r="H140" s="640" t="s">
        <v>865</v>
      </c>
      <c r="I140" s="640" t="s">
        <v>866</v>
      </c>
      <c r="J140" s="640" t="s">
        <v>867</v>
      </c>
      <c r="K140" s="640" t="s">
        <v>868</v>
      </c>
      <c r="L140" s="642">
        <v>266.86000000000007</v>
      </c>
      <c r="M140" s="642">
        <v>3</v>
      </c>
      <c r="N140" s="643">
        <v>800.58000000000015</v>
      </c>
    </row>
    <row r="141" spans="1:14" ht="14.4" customHeight="1" x14ac:dyDescent="0.3">
      <c r="A141" s="638" t="s">
        <v>537</v>
      </c>
      <c r="B141" s="639" t="s">
        <v>538</v>
      </c>
      <c r="C141" s="640" t="s">
        <v>550</v>
      </c>
      <c r="D141" s="641" t="s">
        <v>1129</v>
      </c>
      <c r="E141" s="640" t="s">
        <v>556</v>
      </c>
      <c r="F141" s="641" t="s">
        <v>1131</v>
      </c>
      <c r="G141" s="640" t="s">
        <v>557</v>
      </c>
      <c r="H141" s="640" t="s">
        <v>869</v>
      </c>
      <c r="I141" s="640" t="s">
        <v>870</v>
      </c>
      <c r="J141" s="640" t="s">
        <v>871</v>
      </c>
      <c r="K141" s="640" t="s">
        <v>872</v>
      </c>
      <c r="L141" s="642">
        <v>1333.0806506168442</v>
      </c>
      <c r="M141" s="642">
        <v>2</v>
      </c>
      <c r="N141" s="643">
        <v>2666.1613012336884</v>
      </c>
    </row>
    <row r="142" spans="1:14" ht="14.4" customHeight="1" x14ac:dyDescent="0.3">
      <c r="A142" s="638" t="s">
        <v>537</v>
      </c>
      <c r="B142" s="639" t="s">
        <v>538</v>
      </c>
      <c r="C142" s="640" t="s">
        <v>550</v>
      </c>
      <c r="D142" s="641" t="s">
        <v>1129</v>
      </c>
      <c r="E142" s="640" t="s">
        <v>556</v>
      </c>
      <c r="F142" s="641" t="s">
        <v>1131</v>
      </c>
      <c r="G142" s="640" t="s">
        <v>557</v>
      </c>
      <c r="H142" s="640" t="s">
        <v>873</v>
      </c>
      <c r="I142" s="640" t="s">
        <v>874</v>
      </c>
      <c r="J142" s="640" t="s">
        <v>875</v>
      </c>
      <c r="K142" s="640" t="s">
        <v>876</v>
      </c>
      <c r="L142" s="642">
        <v>1037.7473384743207</v>
      </c>
      <c r="M142" s="642">
        <v>12</v>
      </c>
      <c r="N142" s="643">
        <v>12452.968061691849</v>
      </c>
    </row>
    <row r="143" spans="1:14" ht="14.4" customHeight="1" x14ac:dyDescent="0.3">
      <c r="A143" s="638" t="s">
        <v>537</v>
      </c>
      <c r="B143" s="639" t="s">
        <v>538</v>
      </c>
      <c r="C143" s="640" t="s">
        <v>550</v>
      </c>
      <c r="D143" s="641" t="s">
        <v>1129</v>
      </c>
      <c r="E143" s="640" t="s">
        <v>556</v>
      </c>
      <c r="F143" s="641" t="s">
        <v>1131</v>
      </c>
      <c r="G143" s="640" t="s">
        <v>557</v>
      </c>
      <c r="H143" s="640" t="s">
        <v>877</v>
      </c>
      <c r="I143" s="640" t="s">
        <v>878</v>
      </c>
      <c r="J143" s="640" t="s">
        <v>879</v>
      </c>
      <c r="K143" s="640" t="s">
        <v>880</v>
      </c>
      <c r="L143" s="642">
        <v>85.75</v>
      </c>
      <c r="M143" s="642">
        <v>3</v>
      </c>
      <c r="N143" s="643">
        <v>257.25</v>
      </c>
    </row>
    <row r="144" spans="1:14" ht="14.4" customHeight="1" x14ac:dyDescent="0.3">
      <c r="A144" s="638" t="s">
        <v>537</v>
      </c>
      <c r="B144" s="639" t="s">
        <v>538</v>
      </c>
      <c r="C144" s="640" t="s">
        <v>550</v>
      </c>
      <c r="D144" s="641" t="s">
        <v>1129</v>
      </c>
      <c r="E144" s="640" t="s">
        <v>556</v>
      </c>
      <c r="F144" s="641" t="s">
        <v>1131</v>
      </c>
      <c r="G144" s="640" t="s">
        <v>557</v>
      </c>
      <c r="H144" s="640" t="s">
        <v>595</v>
      </c>
      <c r="I144" s="640" t="s">
        <v>578</v>
      </c>
      <c r="J144" s="640" t="s">
        <v>596</v>
      </c>
      <c r="K144" s="640"/>
      <c r="L144" s="642">
        <v>150.79975881719128</v>
      </c>
      <c r="M144" s="642">
        <v>21</v>
      </c>
      <c r="N144" s="643">
        <v>3166.7949351610168</v>
      </c>
    </row>
    <row r="145" spans="1:14" ht="14.4" customHeight="1" x14ac:dyDescent="0.3">
      <c r="A145" s="638" t="s">
        <v>537</v>
      </c>
      <c r="B145" s="639" t="s">
        <v>538</v>
      </c>
      <c r="C145" s="640" t="s">
        <v>550</v>
      </c>
      <c r="D145" s="641" t="s">
        <v>1129</v>
      </c>
      <c r="E145" s="640" t="s">
        <v>556</v>
      </c>
      <c r="F145" s="641" t="s">
        <v>1131</v>
      </c>
      <c r="G145" s="640" t="s">
        <v>557</v>
      </c>
      <c r="H145" s="640" t="s">
        <v>881</v>
      </c>
      <c r="I145" s="640" t="s">
        <v>882</v>
      </c>
      <c r="J145" s="640" t="s">
        <v>883</v>
      </c>
      <c r="K145" s="640" t="s">
        <v>884</v>
      </c>
      <c r="L145" s="642">
        <v>56.749999857595846</v>
      </c>
      <c r="M145" s="642">
        <v>9</v>
      </c>
      <c r="N145" s="643">
        <v>510.74999871836263</v>
      </c>
    </row>
    <row r="146" spans="1:14" ht="14.4" customHeight="1" x14ac:dyDescent="0.3">
      <c r="A146" s="638" t="s">
        <v>537</v>
      </c>
      <c r="B146" s="639" t="s">
        <v>538</v>
      </c>
      <c r="C146" s="640" t="s">
        <v>550</v>
      </c>
      <c r="D146" s="641" t="s">
        <v>1129</v>
      </c>
      <c r="E146" s="640" t="s">
        <v>556</v>
      </c>
      <c r="F146" s="641" t="s">
        <v>1131</v>
      </c>
      <c r="G146" s="640" t="s">
        <v>557</v>
      </c>
      <c r="H146" s="640" t="s">
        <v>885</v>
      </c>
      <c r="I146" s="640" t="s">
        <v>886</v>
      </c>
      <c r="J146" s="640" t="s">
        <v>887</v>
      </c>
      <c r="K146" s="640" t="s">
        <v>888</v>
      </c>
      <c r="L146" s="642">
        <v>148.7833333333333</v>
      </c>
      <c r="M146" s="642">
        <v>3</v>
      </c>
      <c r="N146" s="643">
        <v>446.34999999999991</v>
      </c>
    </row>
    <row r="147" spans="1:14" ht="14.4" customHeight="1" x14ac:dyDescent="0.3">
      <c r="A147" s="638" t="s">
        <v>537</v>
      </c>
      <c r="B147" s="639" t="s">
        <v>538</v>
      </c>
      <c r="C147" s="640" t="s">
        <v>550</v>
      </c>
      <c r="D147" s="641" t="s">
        <v>1129</v>
      </c>
      <c r="E147" s="640" t="s">
        <v>556</v>
      </c>
      <c r="F147" s="641" t="s">
        <v>1131</v>
      </c>
      <c r="G147" s="640" t="s">
        <v>557</v>
      </c>
      <c r="H147" s="640" t="s">
        <v>597</v>
      </c>
      <c r="I147" s="640" t="s">
        <v>597</v>
      </c>
      <c r="J147" s="640" t="s">
        <v>598</v>
      </c>
      <c r="K147" s="640" t="s">
        <v>599</v>
      </c>
      <c r="L147" s="642">
        <v>75.489999999999995</v>
      </c>
      <c r="M147" s="642">
        <v>17</v>
      </c>
      <c r="N147" s="643">
        <v>1283.33</v>
      </c>
    </row>
    <row r="148" spans="1:14" ht="14.4" customHeight="1" x14ac:dyDescent="0.3">
      <c r="A148" s="638" t="s">
        <v>537</v>
      </c>
      <c r="B148" s="639" t="s">
        <v>538</v>
      </c>
      <c r="C148" s="640" t="s">
        <v>550</v>
      </c>
      <c r="D148" s="641" t="s">
        <v>1129</v>
      </c>
      <c r="E148" s="640" t="s">
        <v>556</v>
      </c>
      <c r="F148" s="641" t="s">
        <v>1131</v>
      </c>
      <c r="G148" s="640" t="s">
        <v>557</v>
      </c>
      <c r="H148" s="640" t="s">
        <v>600</v>
      </c>
      <c r="I148" s="640" t="s">
        <v>601</v>
      </c>
      <c r="J148" s="640" t="s">
        <v>602</v>
      </c>
      <c r="K148" s="640" t="s">
        <v>603</v>
      </c>
      <c r="L148" s="642">
        <v>48.399964114797001</v>
      </c>
      <c r="M148" s="642">
        <v>110</v>
      </c>
      <c r="N148" s="643">
        <v>5323.99605262767</v>
      </c>
    </row>
    <row r="149" spans="1:14" ht="14.4" customHeight="1" x14ac:dyDescent="0.3">
      <c r="A149" s="638" t="s">
        <v>537</v>
      </c>
      <c r="B149" s="639" t="s">
        <v>538</v>
      </c>
      <c r="C149" s="640" t="s">
        <v>550</v>
      </c>
      <c r="D149" s="641" t="s">
        <v>1129</v>
      </c>
      <c r="E149" s="640" t="s">
        <v>556</v>
      </c>
      <c r="F149" s="641" t="s">
        <v>1131</v>
      </c>
      <c r="G149" s="640" t="s">
        <v>557</v>
      </c>
      <c r="H149" s="640" t="s">
        <v>604</v>
      </c>
      <c r="I149" s="640" t="s">
        <v>578</v>
      </c>
      <c r="J149" s="640" t="s">
        <v>605</v>
      </c>
      <c r="K149" s="640" t="s">
        <v>606</v>
      </c>
      <c r="L149" s="642">
        <v>23.700512793651903</v>
      </c>
      <c r="M149" s="642">
        <v>606</v>
      </c>
      <c r="N149" s="643">
        <v>14362.510752953052</v>
      </c>
    </row>
    <row r="150" spans="1:14" ht="14.4" customHeight="1" x14ac:dyDescent="0.3">
      <c r="A150" s="638" t="s">
        <v>537</v>
      </c>
      <c r="B150" s="639" t="s">
        <v>538</v>
      </c>
      <c r="C150" s="640" t="s">
        <v>550</v>
      </c>
      <c r="D150" s="641" t="s">
        <v>1129</v>
      </c>
      <c r="E150" s="640" t="s">
        <v>556</v>
      </c>
      <c r="F150" s="641" t="s">
        <v>1131</v>
      </c>
      <c r="G150" s="640" t="s">
        <v>557</v>
      </c>
      <c r="H150" s="640" t="s">
        <v>889</v>
      </c>
      <c r="I150" s="640" t="s">
        <v>890</v>
      </c>
      <c r="J150" s="640" t="s">
        <v>891</v>
      </c>
      <c r="K150" s="640" t="s">
        <v>892</v>
      </c>
      <c r="L150" s="642">
        <v>147.69999999999999</v>
      </c>
      <c r="M150" s="642">
        <v>1</v>
      </c>
      <c r="N150" s="643">
        <v>147.69999999999999</v>
      </c>
    </row>
    <row r="151" spans="1:14" ht="14.4" customHeight="1" x14ac:dyDescent="0.3">
      <c r="A151" s="638" t="s">
        <v>537</v>
      </c>
      <c r="B151" s="639" t="s">
        <v>538</v>
      </c>
      <c r="C151" s="640" t="s">
        <v>550</v>
      </c>
      <c r="D151" s="641" t="s">
        <v>1129</v>
      </c>
      <c r="E151" s="640" t="s">
        <v>556</v>
      </c>
      <c r="F151" s="641" t="s">
        <v>1131</v>
      </c>
      <c r="G151" s="640" t="s">
        <v>557</v>
      </c>
      <c r="H151" s="640" t="s">
        <v>893</v>
      </c>
      <c r="I151" s="640" t="s">
        <v>894</v>
      </c>
      <c r="J151" s="640" t="s">
        <v>895</v>
      </c>
      <c r="K151" s="640" t="s">
        <v>896</v>
      </c>
      <c r="L151" s="642">
        <v>20.979999999999997</v>
      </c>
      <c r="M151" s="642">
        <v>57</v>
      </c>
      <c r="N151" s="643">
        <v>1195.8599999999999</v>
      </c>
    </row>
    <row r="152" spans="1:14" ht="14.4" customHeight="1" x14ac:dyDescent="0.3">
      <c r="A152" s="638" t="s">
        <v>537</v>
      </c>
      <c r="B152" s="639" t="s">
        <v>538</v>
      </c>
      <c r="C152" s="640" t="s">
        <v>550</v>
      </c>
      <c r="D152" s="641" t="s">
        <v>1129</v>
      </c>
      <c r="E152" s="640" t="s">
        <v>556</v>
      </c>
      <c r="F152" s="641" t="s">
        <v>1131</v>
      </c>
      <c r="G152" s="640" t="s">
        <v>557</v>
      </c>
      <c r="H152" s="640" t="s">
        <v>726</v>
      </c>
      <c r="I152" s="640" t="s">
        <v>727</v>
      </c>
      <c r="J152" s="640" t="s">
        <v>728</v>
      </c>
      <c r="K152" s="640" t="s">
        <v>729</v>
      </c>
      <c r="L152" s="642">
        <v>33.889645990945404</v>
      </c>
      <c r="M152" s="642">
        <v>2</v>
      </c>
      <c r="N152" s="643">
        <v>67.779291981890808</v>
      </c>
    </row>
    <row r="153" spans="1:14" ht="14.4" customHeight="1" x14ac:dyDescent="0.3">
      <c r="A153" s="638" t="s">
        <v>537</v>
      </c>
      <c r="B153" s="639" t="s">
        <v>538</v>
      </c>
      <c r="C153" s="640" t="s">
        <v>550</v>
      </c>
      <c r="D153" s="641" t="s">
        <v>1129</v>
      </c>
      <c r="E153" s="640" t="s">
        <v>556</v>
      </c>
      <c r="F153" s="641" t="s">
        <v>1131</v>
      </c>
      <c r="G153" s="640" t="s">
        <v>557</v>
      </c>
      <c r="H153" s="640" t="s">
        <v>607</v>
      </c>
      <c r="I153" s="640" t="s">
        <v>608</v>
      </c>
      <c r="J153" s="640" t="s">
        <v>609</v>
      </c>
      <c r="K153" s="640" t="s">
        <v>610</v>
      </c>
      <c r="L153" s="642">
        <v>70.44</v>
      </c>
      <c r="M153" s="642">
        <v>12</v>
      </c>
      <c r="N153" s="643">
        <v>845.28</v>
      </c>
    </row>
    <row r="154" spans="1:14" ht="14.4" customHeight="1" x14ac:dyDescent="0.3">
      <c r="A154" s="638" t="s">
        <v>537</v>
      </c>
      <c r="B154" s="639" t="s">
        <v>538</v>
      </c>
      <c r="C154" s="640" t="s">
        <v>550</v>
      </c>
      <c r="D154" s="641" t="s">
        <v>1129</v>
      </c>
      <c r="E154" s="640" t="s">
        <v>556</v>
      </c>
      <c r="F154" s="641" t="s">
        <v>1131</v>
      </c>
      <c r="G154" s="640" t="s">
        <v>557</v>
      </c>
      <c r="H154" s="640" t="s">
        <v>730</v>
      </c>
      <c r="I154" s="640" t="s">
        <v>731</v>
      </c>
      <c r="J154" s="640" t="s">
        <v>732</v>
      </c>
      <c r="K154" s="640" t="s">
        <v>733</v>
      </c>
      <c r="L154" s="642">
        <v>175.10782366438116</v>
      </c>
      <c r="M154" s="642">
        <v>3</v>
      </c>
      <c r="N154" s="643">
        <v>525.32347099314347</v>
      </c>
    </row>
    <row r="155" spans="1:14" ht="14.4" customHeight="1" x14ac:dyDescent="0.3">
      <c r="A155" s="638" t="s">
        <v>537</v>
      </c>
      <c r="B155" s="639" t="s">
        <v>538</v>
      </c>
      <c r="C155" s="640" t="s">
        <v>550</v>
      </c>
      <c r="D155" s="641" t="s">
        <v>1129</v>
      </c>
      <c r="E155" s="640" t="s">
        <v>556</v>
      </c>
      <c r="F155" s="641" t="s">
        <v>1131</v>
      </c>
      <c r="G155" s="640" t="s">
        <v>557</v>
      </c>
      <c r="H155" s="640" t="s">
        <v>611</v>
      </c>
      <c r="I155" s="640" t="s">
        <v>570</v>
      </c>
      <c r="J155" s="640" t="s">
        <v>612</v>
      </c>
      <c r="K155" s="640"/>
      <c r="L155" s="642">
        <v>335.31947834900956</v>
      </c>
      <c r="M155" s="642">
        <v>15</v>
      </c>
      <c r="N155" s="643">
        <v>5029.7921752351431</v>
      </c>
    </row>
    <row r="156" spans="1:14" ht="14.4" customHeight="1" x14ac:dyDescent="0.3">
      <c r="A156" s="638" t="s">
        <v>537</v>
      </c>
      <c r="B156" s="639" t="s">
        <v>538</v>
      </c>
      <c r="C156" s="640" t="s">
        <v>550</v>
      </c>
      <c r="D156" s="641" t="s">
        <v>1129</v>
      </c>
      <c r="E156" s="640" t="s">
        <v>556</v>
      </c>
      <c r="F156" s="641" t="s">
        <v>1131</v>
      </c>
      <c r="G156" s="640" t="s">
        <v>557</v>
      </c>
      <c r="H156" s="640" t="s">
        <v>613</v>
      </c>
      <c r="I156" s="640" t="s">
        <v>578</v>
      </c>
      <c r="J156" s="640" t="s">
        <v>614</v>
      </c>
      <c r="K156" s="640"/>
      <c r="L156" s="642">
        <v>160.37411006050394</v>
      </c>
      <c r="M156" s="642">
        <v>1</v>
      </c>
      <c r="N156" s="643">
        <v>160.37411006050394</v>
      </c>
    </row>
    <row r="157" spans="1:14" ht="14.4" customHeight="1" x14ac:dyDescent="0.3">
      <c r="A157" s="638" t="s">
        <v>537</v>
      </c>
      <c r="B157" s="639" t="s">
        <v>538</v>
      </c>
      <c r="C157" s="640" t="s">
        <v>550</v>
      </c>
      <c r="D157" s="641" t="s">
        <v>1129</v>
      </c>
      <c r="E157" s="640" t="s">
        <v>556</v>
      </c>
      <c r="F157" s="641" t="s">
        <v>1131</v>
      </c>
      <c r="G157" s="640" t="s">
        <v>557</v>
      </c>
      <c r="H157" s="640" t="s">
        <v>897</v>
      </c>
      <c r="I157" s="640" t="s">
        <v>898</v>
      </c>
      <c r="J157" s="640" t="s">
        <v>899</v>
      </c>
      <c r="K157" s="640" t="s">
        <v>900</v>
      </c>
      <c r="L157" s="642">
        <v>103.56999999999995</v>
      </c>
      <c r="M157" s="642">
        <v>30</v>
      </c>
      <c r="N157" s="643">
        <v>3107.0999999999985</v>
      </c>
    </row>
    <row r="158" spans="1:14" ht="14.4" customHeight="1" x14ac:dyDescent="0.3">
      <c r="A158" s="638" t="s">
        <v>537</v>
      </c>
      <c r="B158" s="639" t="s">
        <v>538</v>
      </c>
      <c r="C158" s="640" t="s">
        <v>550</v>
      </c>
      <c r="D158" s="641" t="s">
        <v>1129</v>
      </c>
      <c r="E158" s="640" t="s">
        <v>556</v>
      </c>
      <c r="F158" s="641" t="s">
        <v>1131</v>
      </c>
      <c r="G158" s="640" t="s">
        <v>557</v>
      </c>
      <c r="H158" s="640" t="s">
        <v>901</v>
      </c>
      <c r="I158" s="640" t="s">
        <v>902</v>
      </c>
      <c r="J158" s="640" t="s">
        <v>903</v>
      </c>
      <c r="K158" s="640" t="s">
        <v>904</v>
      </c>
      <c r="L158" s="642">
        <v>566.54000000000019</v>
      </c>
      <c r="M158" s="642">
        <v>1</v>
      </c>
      <c r="N158" s="643">
        <v>566.54000000000019</v>
      </c>
    </row>
    <row r="159" spans="1:14" ht="14.4" customHeight="1" x14ac:dyDescent="0.3">
      <c r="A159" s="638" t="s">
        <v>537</v>
      </c>
      <c r="B159" s="639" t="s">
        <v>538</v>
      </c>
      <c r="C159" s="640" t="s">
        <v>550</v>
      </c>
      <c r="D159" s="641" t="s">
        <v>1129</v>
      </c>
      <c r="E159" s="640" t="s">
        <v>556</v>
      </c>
      <c r="F159" s="641" t="s">
        <v>1131</v>
      </c>
      <c r="G159" s="640" t="s">
        <v>557</v>
      </c>
      <c r="H159" s="640" t="s">
        <v>905</v>
      </c>
      <c r="I159" s="640" t="s">
        <v>906</v>
      </c>
      <c r="J159" s="640" t="s">
        <v>907</v>
      </c>
      <c r="K159" s="640" t="s">
        <v>908</v>
      </c>
      <c r="L159" s="642">
        <v>36.259999999999991</v>
      </c>
      <c r="M159" s="642">
        <v>60</v>
      </c>
      <c r="N159" s="643">
        <v>2175.5999999999995</v>
      </c>
    </row>
    <row r="160" spans="1:14" ht="14.4" customHeight="1" x14ac:dyDescent="0.3">
      <c r="A160" s="638" t="s">
        <v>537</v>
      </c>
      <c r="B160" s="639" t="s">
        <v>538</v>
      </c>
      <c r="C160" s="640" t="s">
        <v>550</v>
      </c>
      <c r="D160" s="641" t="s">
        <v>1129</v>
      </c>
      <c r="E160" s="640" t="s">
        <v>556</v>
      </c>
      <c r="F160" s="641" t="s">
        <v>1131</v>
      </c>
      <c r="G160" s="640" t="s">
        <v>557</v>
      </c>
      <c r="H160" s="640" t="s">
        <v>738</v>
      </c>
      <c r="I160" s="640" t="s">
        <v>578</v>
      </c>
      <c r="J160" s="640" t="s">
        <v>739</v>
      </c>
      <c r="K160" s="640"/>
      <c r="L160" s="642">
        <v>51.48866666666666</v>
      </c>
      <c r="M160" s="642">
        <v>1</v>
      </c>
      <c r="N160" s="643">
        <v>51.48866666666666</v>
      </c>
    </row>
    <row r="161" spans="1:14" ht="14.4" customHeight="1" x14ac:dyDescent="0.3">
      <c r="A161" s="638" t="s">
        <v>537</v>
      </c>
      <c r="B161" s="639" t="s">
        <v>538</v>
      </c>
      <c r="C161" s="640" t="s">
        <v>550</v>
      </c>
      <c r="D161" s="641" t="s">
        <v>1129</v>
      </c>
      <c r="E161" s="640" t="s">
        <v>556</v>
      </c>
      <c r="F161" s="641" t="s">
        <v>1131</v>
      </c>
      <c r="G161" s="640" t="s">
        <v>557</v>
      </c>
      <c r="H161" s="640" t="s">
        <v>909</v>
      </c>
      <c r="I161" s="640" t="s">
        <v>910</v>
      </c>
      <c r="J161" s="640" t="s">
        <v>911</v>
      </c>
      <c r="K161" s="640" t="s">
        <v>912</v>
      </c>
      <c r="L161" s="642">
        <v>74.219610845590836</v>
      </c>
      <c r="M161" s="642">
        <v>2</v>
      </c>
      <c r="N161" s="643">
        <v>148.43922169118167</v>
      </c>
    </row>
    <row r="162" spans="1:14" ht="14.4" customHeight="1" x14ac:dyDescent="0.3">
      <c r="A162" s="638" t="s">
        <v>537</v>
      </c>
      <c r="B162" s="639" t="s">
        <v>538</v>
      </c>
      <c r="C162" s="640" t="s">
        <v>550</v>
      </c>
      <c r="D162" s="641" t="s">
        <v>1129</v>
      </c>
      <c r="E162" s="640" t="s">
        <v>556</v>
      </c>
      <c r="F162" s="641" t="s">
        <v>1131</v>
      </c>
      <c r="G162" s="640" t="s">
        <v>557</v>
      </c>
      <c r="H162" s="640" t="s">
        <v>913</v>
      </c>
      <c r="I162" s="640" t="s">
        <v>914</v>
      </c>
      <c r="J162" s="640" t="s">
        <v>915</v>
      </c>
      <c r="K162" s="640" t="s">
        <v>610</v>
      </c>
      <c r="L162" s="642">
        <v>29.70066666666667</v>
      </c>
      <c r="M162" s="642">
        <v>5</v>
      </c>
      <c r="N162" s="643">
        <v>148.50333333333336</v>
      </c>
    </row>
    <row r="163" spans="1:14" ht="14.4" customHeight="1" x14ac:dyDescent="0.3">
      <c r="A163" s="638" t="s">
        <v>537</v>
      </c>
      <c r="B163" s="639" t="s">
        <v>538</v>
      </c>
      <c r="C163" s="640" t="s">
        <v>550</v>
      </c>
      <c r="D163" s="641" t="s">
        <v>1129</v>
      </c>
      <c r="E163" s="640" t="s">
        <v>556</v>
      </c>
      <c r="F163" s="641" t="s">
        <v>1131</v>
      </c>
      <c r="G163" s="640" t="s">
        <v>557</v>
      </c>
      <c r="H163" s="640" t="s">
        <v>916</v>
      </c>
      <c r="I163" s="640" t="s">
        <v>917</v>
      </c>
      <c r="J163" s="640" t="s">
        <v>918</v>
      </c>
      <c r="K163" s="640" t="s">
        <v>919</v>
      </c>
      <c r="L163" s="642">
        <v>20.390000000000004</v>
      </c>
      <c r="M163" s="642">
        <v>178</v>
      </c>
      <c r="N163" s="643">
        <v>3629.4200000000005</v>
      </c>
    </row>
    <row r="164" spans="1:14" ht="14.4" customHeight="1" x14ac:dyDescent="0.3">
      <c r="A164" s="638" t="s">
        <v>537</v>
      </c>
      <c r="B164" s="639" t="s">
        <v>538</v>
      </c>
      <c r="C164" s="640" t="s">
        <v>550</v>
      </c>
      <c r="D164" s="641" t="s">
        <v>1129</v>
      </c>
      <c r="E164" s="640" t="s">
        <v>556</v>
      </c>
      <c r="F164" s="641" t="s">
        <v>1131</v>
      </c>
      <c r="G164" s="640" t="s">
        <v>557</v>
      </c>
      <c r="H164" s="640" t="s">
        <v>740</v>
      </c>
      <c r="I164" s="640" t="s">
        <v>741</v>
      </c>
      <c r="J164" s="640" t="s">
        <v>742</v>
      </c>
      <c r="K164" s="640" t="s">
        <v>743</v>
      </c>
      <c r="L164" s="642">
        <v>83.129932240623233</v>
      </c>
      <c r="M164" s="642">
        <v>5</v>
      </c>
      <c r="N164" s="643">
        <v>415.64966120311618</v>
      </c>
    </row>
    <row r="165" spans="1:14" ht="14.4" customHeight="1" x14ac:dyDescent="0.3">
      <c r="A165" s="638" t="s">
        <v>537</v>
      </c>
      <c r="B165" s="639" t="s">
        <v>538</v>
      </c>
      <c r="C165" s="640" t="s">
        <v>550</v>
      </c>
      <c r="D165" s="641" t="s">
        <v>1129</v>
      </c>
      <c r="E165" s="640" t="s">
        <v>556</v>
      </c>
      <c r="F165" s="641" t="s">
        <v>1131</v>
      </c>
      <c r="G165" s="640" t="s">
        <v>557</v>
      </c>
      <c r="H165" s="640" t="s">
        <v>920</v>
      </c>
      <c r="I165" s="640" t="s">
        <v>920</v>
      </c>
      <c r="J165" s="640" t="s">
        <v>921</v>
      </c>
      <c r="K165" s="640" t="s">
        <v>922</v>
      </c>
      <c r="L165" s="642">
        <v>595.30999999999983</v>
      </c>
      <c r="M165" s="642">
        <v>1</v>
      </c>
      <c r="N165" s="643">
        <v>595.30999999999983</v>
      </c>
    </row>
    <row r="166" spans="1:14" ht="14.4" customHeight="1" x14ac:dyDescent="0.3">
      <c r="A166" s="638" t="s">
        <v>537</v>
      </c>
      <c r="B166" s="639" t="s">
        <v>538</v>
      </c>
      <c r="C166" s="640" t="s">
        <v>550</v>
      </c>
      <c r="D166" s="641" t="s">
        <v>1129</v>
      </c>
      <c r="E166" s="640" t="s">
        <v>556</v>
      </c>
      <c r="F166" s="641" t="s">
        <v>1131</v>
      </c>
      <c r="G166" s="640" t="s">
        <v>557</v>
      </c>
      <c r="H166" s="640" t="s">
        <v>923</v>
      </c>
      <c r="I166" s="640" t="s">
        <v>578</v>
      </c>
      <c r="J166" s="640" t="s">
        <v>924</v>
      </c>
      <c r="K166" s="640"/>
      <c r="L166" s="642">
        <v>174.25004532276591</v>
      </c>
      <c r="M166" s="642">
        <v>1</v>
      </c>
      <c r="N166" s="643">
        <v>174.25004532276591</v>
      </c>
    </row>
    <row r="167" spans="1:14" ht="14.4" customHeight="1" x14ac:dyDescent="0.3">
      <c r="A167" s="638" t="s">
        <v>537</v>
      </c>
      <c r="B167" s="639" t="s">
        <v>538</v>
      </c>
      <c r="C167" s="640" t="s">
        <v>550</v>
      </c>
      <c r="D167" s="641" t="s">
        <v>1129</v>
      </c>
      <c r="E167" s="640" t="s">
        <v>556</v>
      </c>
      <c r="F167" s="641" t="s">
        <v>1131</v>
      </c>
      <c r="G167" s="640" t="s">
        <v>557</v>
      </c>
      <c r="H167" s="640" t="s">
        <v>619</v>
      </c>
      <c r="I167" s="640" t="s">
        <v>578</v>
      </c>
      <c r="J167" s="640" t="s">
        <v>620</v>
      </c>
      <c r="K167" s="640"/>
      <c r="L167" s="642">
        <v>52.274264120570571</v>
      </c>
      <c r="M167" s="642">
        <v>185</v>
      </c>
      <c r="N167" s="643">
        <v>9670.7388623055558</v>
      </c>
    </row>
    <row r="168" spans="1:14" ht="14.4" customHeight="1" x14ac:dyDescent="0.3">
      <c r="A168" s="638" t="s">
        <v>537</v>
      </c>
      <c r="B168" s="639" t="s">
        <v>538</v>
      </c>
      <c r="C168" s="640" t="s">
        <v>550</v>
      </c>
      <c r="D168" s="641" t="s">
        <v>1129</v>
      </c>
      <c r="E168" s="640" t="s">
        <v>556</v>
      </c>
      <c r="F168" s="641" t="s">
        <v>1131</v>
      </c>
      <c r="G168" s="640" t="s">
        <v>557</v>
      </c>
      <c r="H168" s="640" t="s">
        <v>625</v>
      </c>
      <c r="I168" s="640" t="s">
        <v>578</v>
      </c>
      <c r="J168" s="640" t="s">
        <v>626</v>
      </c>
      <c r="K168" s="640"/>
      <c r="L168" s="642">
        <v>50.180965340955083</v>
      </c>
      <c r="M168" s="642">
        <v>49</v>
      </c>
      <c r="N168" s="643">
        <v>2458.867301706799</v>
      </c>
    </row>
    <row r="169" spans="1:14" ht="14.4" customHeight="1" x14ac:dyDescent="0.3">
      <c r="A169" s="638" t="s">
        <v>537</v>
      </c>
      <c r="B169" s="639" t="s">
        <v>538</v>
      </c>
      <c r="C169" s="640" t="s">
        <v>550</v>
      </c>
      <c r="D169" s="641" t="s">
        <v>1129</v>
      </c>
      <c r="E169" s="640" t="s">
        <v>556</v>
      </c>
      <c r="F169" s="641" t="s">
        <v>1131</v>
      </c>
      <c r="G169" s="640" t="s">
        <v>557</v>
      </c>
      <c r="H169" s="640" t="s">
        <v>744</v>
      </c>
      <c r="I169" s="640" t="s">
        <v>578</v>
      </c>
      <c r="J169" s="640" t="s">
        <v>745</v>
      </c>
      <c r="K169" s="640"/>
      <c r="L169" s="642">
        <v>126.67991410819327</v>
      </c>
      <c r="M169" s="642">
        <v>37</v>
      </c>
      <c r="N169" s="643">
        <v>4687.1568220031513</v>
      </c>
    </row>
    <row r="170" spans="1:14" ht="14.4" customHeight="1" x14ac:dyDescent="0.3">
      <c r="A170" s="638" t="s">
        <v>537</v>
      </c>
      <c r="B170" s="639" t="s">
        <v>538</v>
      </c>
      <c r="C170" s="640" t="s">
        <v>550</v>
      </c>
      <c r="D170" s="641" t="s">
        <v>1129</v>
      </c>
      <c r="E170" s="640" t="s">
        <v>556</v>
      </c>
      <c r="F170" s="641" t="s">
        <v>1131</v>
      </c>
      <c r="G170" s="640" t="s">
        <v>557</v>
      </c>
      <c r="H170" s="640" t="s">
        <v>746</v>
      </c>
      <c r="I170" s="640" t="s">
        <v>747</v>
      </c>
      <c r="J170" s="640" t="s">
        <v>748</v>
      </c>
      <c r="K170" s="640" t="s">
        <v>749</v>
      </c>
      <c r="L170" s="642">
        <v>77.950085816244169</v>
      </c>
      <c r="M170" s="642">
        <v>10</v>
      </c>
      <c r="N170" s="643">
        <v>779.50085816244166</v>
      </c>
    </row>
    <row r="171" spans="1:14" ht="14.4" customHeight="1" x14ac:dyDescent="0.3">
      <c r="A171" s="638" t="s">
        <v>537</v>
      </c>
      <c r="B171" s="639" t="s">
        <v>538</v>
      </c>
      <c r="C171" s="640" t="s">
        <v>550</v>
      </c>
      <c r="D171" s="641" t="s">
        <v>1129</v>
      </c>
      <c r="E171" s="640" t="s">
        <v>556</v>
      </c>
      <c r="F171" s="641" t="s">
        <v>1131</v>
      </c>
      <c r="G171" s="640" t="s">
        <v>557</v>
      </c>
      <c r="H171" s="640" t="s">
        <v>925</v>
      </c>
      <c r="I171" s="640" t="s">
        <v>926</v>
      </c>
      <c r="J171" s="640" t="s">
        <v>927</v>
      </c>
      <c r="K171" s="640" t="s">
        <v>928</v>
      </c>
      <c r="L171" s="642">
        <v>73.392393626650858</v>
      </c>
      <c r="M171" s="642">
        <v>4</v>
      </c>
      <c r="N171" s="643">
        <v>293.56957450660343</v>
      </c>
    </row>
    <row r="172" spans="1:14" ht="14.4" customHeight="1" x14ac:dyDescent="0.3">
      <c r="A172" s="638" t="s">
        <v>537</v>
      </c>
      <c r="B172" s="639" t="s">
        <v>538</v>
      </c>
      <c r="C172" s="640" t="s">
        <v>550</v>
      </c>
      <c r="D172" s="641" t="s">
        <v>1129</v>
      </c>
      <c r="E172" s="640" t="s">
        <v>556</v>
      </c>
      <c r="F172" s="641" t="s">
        <v>1131</v>
      </c>
      <c r="G172" s="640" t="s">
        <v>557</v>
      </c>
      <c r="H172" s="640" t="s">
        <v>750</v>
      </c>
      <c r="I172" s="640" t="s">
        <v>570</v>
      </c>
      <c r="J172" s="640" t="s">
        <v>751</v>
      </c>
      <c r="K172" s="640" t="s">
        <v>752</v>
      </c>
      <c r="L172" s="642">
        <v>381.24312297260701</v>
      </c>
      <c r="M172" s="642">
        <v>30</v>
      </c>
      <c r="N172" s="643">
        <v>11437.29368917821</v>
      </c>
    </row>
    <row r="173" spans="1:14" ht="14.4" customHeight="1" x14ac:dyDescent="0.3">
      <c r="A173" s="638" t="s">
        <v>537</v>
      </c>
      <c r="B173" s="639" t="s">
        <v>538</v>
      </c>
      <c r="C173" s="640" t="s">
        <v>550</v>
      </c>
      <c r="D173" s="641" t="s">
        <v>1129</v>
      </c>
      <c r="E173" s="640" t="s">
        <v>556</v>
      </c>
      <c r="F173" s="641" t="s">
        <v>1131</v>
      </c>
      <c r="G173" s="640" t="s">
        <v>557</v>
      </c>
      <c r="H173" s="640" t="s">
        <v>753</v>
      </c>
      <c r="I173" s="640" t="s">
        <v>578</v>
      </c>
      <c r="J173" s="640" t="s">
        <v>754</v>
      </c>
      <c r="K173" s="640"/>
      <c r="L173" s="642">
        <v>150.55994042894713</v>
      </c>
      <c r="M173" s="642">
        <v>54</v>
      </c>
      <c r="N173" s="643">
        <v>8130.2367831631445</v>
      </c>
    </row>
    <row r="174" spans="1:14" ht="14.4" customHeight="1" x14ac:dyDescent="0.3">
      <c r="A174" s="638" t="s">
        <v>537</v>
      </c>
      <c r="B174" s="639" t="s">
        <v>538</v>
      </c>
      <c r="C174" s="640" t="s">
        <v>550</v>
      </c>
      <c r="D174" s="641" t="s">
        <v>1129</v>
      </c>
      <c r="E174" s="640" t="s">
        <v>556</v>
      </c>
      <c r="F174" s="641" t="s">
        <v>1131</v>
      </c>
      <c r="G174" s="640" t="s">
        <v>557</v>
      </c>
      <c r="H174" s="640" t="s">
        <v>755</v>
      </c>
      <c r="I174" s="640" t="s">
        <v>570</v>
      </c>
      <c r="J174" s="640" t="s">
        <v>756</v>
      </c>
      <c r="K174" s="640" t="s">
        <v>757</v>
      </c>
      <c r="L174" s="642">
        <v>205.98595751490737</v>
      </c>
      <c r="M174" s="642">
        <v>22</v>
      </c>
      <c r="N174" s="643">
        <v>4531.691065327962</v>
      </c>
    </row>
    <row r="175" spans="1:14" ht="14.4" customHeight="1" x14ac:dyDescent="0.3">
      <c r="A175" s="638" t="s">
        <v>537</v>
      </c>
      <c r="B175" s="639" t="s">
        <v>538</v>
      </c>
      <c r="C175" s="640" t="s">
        <v>550</v>
      </c>
      <c r="D175" s="641" t="s">
        <v>1129</v>
      </c>
      <c r="E175" s="640" t="s">
        <v>556</v>
      </c>
      <c r="F175" s="641" t="s">
        <v>1131</v>
      </c>
      <c r="G175" s="640" t="s">
        <v>557</v>
      </c>
      <c r="H175" s="640" t="s">
        <v>760</v>
      </c>
      <c r="I175" s="640" t="s">
        <v>578</v>
      </c>
      <c r="J175" s="640" t="s">
        <v>761</v>
      </c>
      <c r="K175" s="640"/>
      <c r="L175" s="642">
        <v>103.27008121216902</v>
      </c>
      <c r="M175" s="642">
        <v>55</v>
      </c>
      <c r="N175" s="643">
        <v>5679.854466669296</v>
      </c>
    </row>
    <row r="176" spans="1:14" ht="14.4" customHeight="1" x14ac:dyDescent="0.3">
      <c r="A176" s="638" t="s">
        <v>537</v>
      </c>
      <c r="B176" s="639" t="s">
        <v>538</v>
      </c>
      <c r="C176" s="640" t="s">
        <v>550</v>
      </c>
      <c r="D176" s="641" t="s">
        <v>1129</v>
      </c>
      <c r="E176" s="640" t="s">
        <v>556</v>
      </c>
      <c r="F176" s="641" t="s">
        <v>1131</v>
      </c>
      <c r="G176" s="640" t="s">
        <v>557</v>
      </c>
      <c r="H176" s="640" t="s">
        <v>929</v>
      </c>
      <c r="I176" s="640" t="s">
        <v>578</v>
      </c>
      <c r="J176" s="640" t="s">
        <v>930</v>
      </c>
      <c r="K176" s="640"/>
      <c r="L176" s="642">
        <v>522.83225824648184</v>
      </c>
      <c r="M176" s="642">
        <v>1</v>
      </c>
      <c r="N176" s="643">
        <v>522.83225824648184</v>
      </c>
    </row>
    <row r="177" spans="1:14" ht="14.4" customHeight="1" x14ac:dyDescent="0.3">
      <c r="A177" s="638" t="s">
        <v>537</v>
      </c>
      <c r="B177" s="639" t="s">
        <v>538</v>
      </c>
      <c r="C177" s="640" t="s">
        <v>550</v>
      </c>
      <c r="D177" s="641" t="s">
        <v>1129</v>
      </c>
      <c r="E177" s="640" t="s">
        <v>556</v>
      </c>
      <c r="F177" s="641" t="s">
        <v>1131</v>
      </c>
      <c r="G177" s="640" t="s">
        <v>557</v>
      </c>
      <c r="H177" s="640" t="s">
        <v>629</v>
      </c>
      <c r="I177" s="640" t="s">
        <v>578</v>
      </c>
      <c r="J177" s="640" t="s">
        <v>630</v>
      </c>
      <c r="K177" s="640" t="s">
        <v>631</v>
      </c>
      <c r="L177" s="642">
        <v>75.01998223176345</v>
      </c>
      <c r="M177" s="642">
        <v>1</v>
      </c>
      <c r="N177" s="643">
        <v>75.01998223176345</v>
      </c>
    </row>
    <row r="178" spans="1:14" ht="14.4" customHeight="1" x14ac:dyDescent="0.3">
      <c r="A178" s="638" t="s">
        <v>537</v>
      </c>
      <c r="B178" s="639" t="s">
        <v>538</v>
      </c>
      <c r="C178" s="640" t="s">
        <v>550</v>
      </c>
      <c r="D178" s="641" t="s">
        <v>1129</v>
      </c>
      <c r="E178" s="640" t="s">
        <v>556</v>
      </c>
      <c r="F178" s="641" t="s">
        <v>1131</v>
      </c>
      <c r="G178" s="640" t="s">
        <v>557</v>
      </c>
      <c r="H178" s="640" t="s">
        <v>931</v>
      </c>
      <c r="I178" s="640" t="s">
        <v>931</v>
      </c>
      <c r="J178" s="640" t="s">
        <v>932</v>
      </c>
      <c r="K178" s="640" t="s">
        <v>933</v>
      </c>
      <c r="L178" s="642">
        <v>5083.6499999999978</v>
      </c>
      <c r="M178" s="642">
        <v>1</v>
      </c>
      <c r="N178" s="643">
        <v>5083.6499999999978</v>
      </c>
    </row>
    <row r="179" spans="1:14" ht="14.4" customHeight="1" x14ac:dyDescent="0.3">
      <c r="A179" s="638" t="s">
        <v>537</v>
      </c>
      <c r="B179" s="639" t="s">
        <v>538</v>
      </c>
      <c r="C179" s="640" t="s">
        <v>550</v>
      </c>
      <c r="D179" s="641" t="s">
        <v>1129</v>
      </c>
      <c r="E179" s="640" t="s">
        <v>556</v>
      </c>
      <c r="F179" s="641" t="s">
        <v>1131</v>
      </c>
      <c r="G179" s="640" t="s">
        <v>557</v>
      </c>
      <c r="H179" s="640" t="s">
        <v>934</v>
      </c>
      <c r="I179" s="640" t="s">
        <v>935</v>
      </c>
      <c r="J179" s="640" t="s">
        <v>936</v>
      </c>
      <c r="K179" s="640" t="s">
        <v>937</v>
      </c>
      <c r="L179" s="642">
        <v>901.19444444444446</v>
      </c>
      <c r="M179" s="642">
        <v>9</v>
      </c>
      <c r="N179" s="643">
        <v>8110.75</v>
      </c>
    </row>
    <row r="180" spans="1:14" ht="14.4" customHeight="1" x14ac:dyDescent="0.3">
      <c r="A180" s="638" t="s">
        <v>537</v>
      </c>
      <c r="B180" s="639" t="s">
        <v>538</v>
      </c>
      <c r="C180" s="640" t="s">
        <v>550</v>
      </c>
      <c r="D180" s="641" t="s">
        <v>1129</v>
      </c>
      <c r="E180" s="640" t="s">
        <v>556</v>
      </c>
      <c r="F180" s="641" t="s">
        <v>1131</v>
      </c>
      <c r="G180" s="640" t="s">
        <v>557</v>
      </c>
      <c r="H180" s="640" t="s">
        <v>938</v>
      </c>
      <c r="I180" s="640" t="s">
        <v>938</v>
      </c>
      <c r="J180" s="640" t="s">
        <v>939</v>
      </c>
      <c r="K180" s="640" t="s">
        <v>940</v>
      </c>
      <c r="L180" s="642">
        <v>7252.2139538272813</v>
      </c>
      <c r="M180" s="642">
        <v>18</v>
      </c>
      <c r="N180" s="643">
        <v>130539.85116889107</v>
      </c>
    </row>
    <row r="181" spans="1:14" ht="14.4" customHeight="1" x14ac:dyDescent="0.3">
      <c r="A181" s="638" t="s">
        <v>537</v>
      </c>
      <c r="B181" s="639" t="s">
        <v>538</v>
      </c>
      <c r="C181" s="640" t="s">
        <v>550</v>
      </c>
      <c r="D181" s="641" t="s">
        <v>1129</v>
      </c>
      <c r="E181" s="640" t="s">
        <v>556</v>
      </c>
      <c r="F181" s="641" t="s">
        <v>1131</v>
      </c>
      <c r="G181" s="640" t="s">
        <v>557</v>
      </c>
      <c r="H181" s="640" t="s">
        <v>941</v>
      </c>
      <c r="I181" s="640" t="s">
        <v>942</v>
      </c>
      <c r="J181" s="640" t="s">
        <v>918</v>
      </c>
      <c r="K181" s="640" t="s">
        <v>896</v>
      </c>
      <c r="L181" s="642">
        <v>18.059999999999995</v>
      </c>
      <c r="M181" s="642">
        <v>240</v>
      </c>
      <c r="N181" s="643">
        <v>4334.3999999999987</v>
      </c>
    </row>
    <row r="182" spans="1:14" ht="14.4" customHeight="1" x14ac:dyDescent="0.3">
      <c r="A182" s="638" t="s">
        <v>537</v>
      </c>
      <c r="B182" s="639" t="s">
        <v>538</v>
      </c>
      <c r="C182" s="640" t="s">
        <v>550</v>
      </c>
      <c r="D182" s="641" t="s">
        <v>1129</v>
      </c>
      <c r="E182" s="640" t="s">
        <v>556</v>
      </c>
      <c r="F182" s="641" t="s">
        <v>1131</v>
      </c>
      <c r="G182" s="640" t="s">
        <v>557</v>
      </c>
      <c r="H182" s="640" t="s">
        <v>943</v>
      </c>
      <c r="I182" s="640" t="s">
        <v>944</v>
      </c>
      <c r="J182" s="640" t="s">
        <v>907</v>
      </c>
      <c r="K182" s="640" t="s">
        <v>945</v>
      </c>
      <c r="L182" s="642">
        <v>31.569999999999997</v>
      </c>
      <c r="M182" s="642">
        <v>120</v>
      </c>
      <c r="N182" s="643">
        <v>3788.3999999999996</v>
      </c>
    </row>
    <row r="183" spans="1:14" ht="14.4" customHeight="1" x14ac:dyDescent="0.3">
      <c r="A183" s="638" t="s">
        <v>537</v>
      </c>
      <c r="B183" s="639" t="s">
        <v>538</v>
      </c>
      <c r="C183" s="640" t="s">
        <v>550</v>
      </c>
      <c r="D183" s="641" t="s">
        <v>1129</v>
      </c>
      <c r="E183" s="640" t="s">
        <v>556</v>
      </c>
      <c r="F183" s="641" t="s">
        <v>1131</v>
      </c>
      <c r="G183" s="640" t="s">
        <v>557</v>
      </c>
      <c r="H183" s="640" t="s">
        <v>946</v>
      </c>
      <c r="I183" s="640" t="s">
        <v>947</v>
      </c>
      <c r="J183" s="640" t="s">
        <v>948</v>
      </c>
      <c r="K183" s="640" t="s">
        <v>949</v>
      </c>
      <c r="L183" s="642">
        <v>87.680000000000021</v>
      </c>
      <c r="M183" s="642">
        <v>10</v>
      </c>
      <c r="N183" s="643">
        <v>876.80000000000018</v>
      </c>
    </row>
    <row r="184" spans="1:14" ht="14.4" customHeight="1" x14ac:dyDescent="0.3">
      <c r="A184" s="638" t="s">
        <v>537</v>
      </c>
      <c r="B184" s="639" t="s">
        <v>538</v>
      </c>
      <c r="C184" s="640" t="s">
        <v>550</v>
      </c>
      <c r="D184" s="641" t="s">
        <v>1129</v>
      </c>
      <c r="E184" s="640" t="s">
        <v>556</v>
      </c>
      <c r="F184" s="641" t="s">
        <v>1131</v>
      </c>
      <c r="G184" s="640" t="s">
        <v>557</v>
      </c>
      <c r="H184" s="640" t="s">
        <v>950</v>
      </c>
      <c r="I184" s="640" t="s">
        <v>951</v>
      </c>
      <c r="J184" s="640" t="s">
        <v>952</v>
      </c>
      <c r="K184" s="640" t="s">
        <v>953</v>
      </c>
      <c r="L184" s="642">
        <v>17395.55030536819</v>
      </c>
      <c r="M184" s="642">
        <v>22</v>
      </c>
      <c r="N184" s="643">
        <v>382702.1067181002</v>
      </c>
    </row>
    <row r="185" spans="1:14" ht="14.4" customHeight="1" x14ac:dyDescent="0.3">
      <c r="A185" s="638" t="s">
        <v>537</v>
      </c>
      <c r="B185" s="639" t="s">
        <v>538</v>
      </c>
      <c r="C185" s="640" t="s">
        <v>550</v>
      </c>
      <c r="D185" s="641" t="s">
        <v>1129</v>
      </c>
      <c r="E185" s="640" t="s">
        <v>556</v>
      </c>
      <c r="F185" s="641" t="s">
        <v>1131</v>
      </c>
      <c r="G185" s="640" t="s">
        <v>557</v>
      </c>
      <c r="H185" s="640" t="s">
        <v>954</v>
      </c>
      <c r="I185" s="640" t="s">
        <v>955</v>
      </c>
      <c r="J185" s="640" t="s">
        <v>956</v>
      </c>
      <c r="K185" s="640" t="s">
        <v>957</v>
      </c>
      <c r="L185" s="642">
        <v>307.51215308250045</v>
      </c>
      <c r="M185" s="642">
        <v>41</v>
      </c>
      <c r="N185" s="643">
        <v>12607.998276382519</v>
      </c>
    </row>
    <row r="186" spans="1:14" ht="14.4" customHeight="1" x14ac:dyDescent="0.3">
      <c r="A186" s="638" t="s">
        <v>537</v>
      </c>
      <c r="B186" s="639" t="s">
        <v>538</v>
      </c>
      <c r="C186" s="640" t="s">
        <v>550</v>
      </c>
      <c r="D186" s="641" t="s">
        <v>1129</v>
      </c>
      <c r="E186" s="640" t="s">
        <v>556</v>
      </c>
      <c r="F186" s="641" t="s">
        <v>1131</v>
      </c>
      <c r="G186" s="640" t="s">
        <v>557</v>
      </c>
      <c r="H186" s="640" t="s">
        <v>958</v>
      </c>
      <c r="I186" s="640" t="s">
        <v>570</v>
      </c>
      <c r="J186" s="640" t="s">
        <v>959</v>
      </c>
      <c r="K186" s="640" t="s">
        <v>960</v>
      </c>
      <c r="L186" s="642">
        <v>103.1795950902706</v>
      </c>
      <c r="M186" s="642">
        <v>11</v>
      </c>
      <c r="N186" s="643">
        <v>1134.9755459929765</v>
      </c>
    </row>
    <row r="187" spans="1:14" ht="14.4" customHeight="1" x14ac:dyDescent="0.3">
      <c r="A187" s="638" t="s">
        <v>537</v>
      </c>
      <c r="B187" s="639" t="s">
        <v>538</v>
      </c>
      <c r="C187" s="640" t="s">
        <v>550</v>
      </c>
      <c r="D187" s="641" t="s">
        <v>1129</v>
      </c>
      <c r="E187" s="640" t="s">
        <v>556</v>
      </c>
      <c r="F187" s="641" t="s">
        <v>1131</v>
      </c>
      <c r="G187" s="640" t="s">
        <v>557</v>
      </c>
      <c r="H187" s="640" t="s">
        <v>961</v>
      </c>
      <c r="I187" s="640" t="s">
        <v>578</v>
      </c>
      <c r="J187" s="640" t="s">
        <v>962</v>
      </c>
      <c r="K187" s="640"/>
      <c r="L187" s="642">
        <v>193.22944829631302</v>
      </c>
      <c r="M187" s="642">
        <v>4</v>
      </c>
      <c r="N187" s="643">
        <v>772.91779318525209</v>
      </c>
    </row>
    <row r="188" spans="1:14" ht="14.4" customHeight="1" x14ac:dyDescent="0.3">
      <c r="A188" s="638" t="s">
        <v>537</v>
      </c>
      <c r="B188" s="639" t="s">
        <v>538</v>
      </c>
      <c r="C188" s="640" t="s">
        <v>550</v>
      </c>
      <c r="D188" s="641" t="s">
        <v>1129</v>
      </c>
      <c r="E188" s="640" t="s">
        <v>556</v>
      </c>
      <c r="F188" s="641" t="s">
        <v>1131</v>
      </c>
      <c r="G188" s="640" t="s">
        <v>557</v>
      </c>
      <c r="H188" s="640" t="s">
        <v>963</v>
      </c>
      <c r="I188" s="640" t="s">
        <v>578</v>
      </c>
      <c r="J188" s="640" t="s">
        <v>964</v>
      </c>
      <c r="K188" s="640"/>
      <c r="L188" s="642">
        <v>136.78562738874444</v>
      </c>
      <c r="M188" s="642">
        <v>24</v>
      </c>
      <c r="N188" s="643">
        <v>3282.8550573298667</v>
      </c>
    </row>
    <row r="189" spans="1:14" ht="14.4" customHeight="1" x14ac:dyDescent="0.3">
      <c r="A189" s="638" t="s">
        <v>537</v>
      </c>
      <c r="B189" s="639" t="s">
        <v>538</v>
      </c>
      <c r="C189" s="640" t="s">
        <v>550</v>
      </c>
      <c r="D189" s="641" t="s">
        <v>1129</v>
      </c>
      <c r="E189" s="640" t="s">
        <v>556</v>
      </c>
      <c r="F189" s="641" t="s">
        <v>1131</v>
      </c>
      <c r="G189" s="640" t="s">
        <v>557</v>
      </c>
      <c r="H189" s="640" t="s">
        <v>965</v>
      </c>
      <c r="I189" s="640" t="s">
        <v>578</v>
      </c>
      <c r="J189" s="640" t="s">
        <v>966</v>
      </c>
      <c r="K189" s="640"/>
      <c r="L189" s="642">
        <v>65.152309632490841</v>
      </c>
      <c r="M189" s="642">
        <v>4</v>
      </c>
      <c r="N189" s="643">
        <v>260.60923852996336</v>
      </c>
    </row>
    <row r="190" spans="1:14" ht="14.4" customHeight="1" x14ac:dyDescent="0.3">
      <c r="A190" s="638" t="s">
        <v>537</v>
      </c>
      <c r="B190" s="639" t="s">
        <v>538</v>
      </c>
      <c r="C190" s="640" t="s">
        <v>550</v>
      </c>
      <c r="D190" s="641" t="s">
        <v>1129</v>
      </c>
      <c r="E190" s="640" t="s">
        <v>556</v>
      </c>
      <c r="F190" s="641" t="s">
        <v>1131</v>
      </c>
      <c r="G190" s="640" t="s">
        <v>557</v>
      </c>
      <c r="H190" s="640" t="s">
        <v>967</v>
      </c>
      <c r="I190" s="640" t="s">
        <v>578</v>
      </c>
      <c r="J190" s="640" t="s">
        <v>968</v>
      </c>
      <c r="K190" s="640"/>
      <c r="L190" s="642">
        <v>288.32584837647016</v>
      </c>
      <c r="M190" s="642">
        <v>8</v>
      </c>
      <c r="N190" s="643">
        <v>2306.6067870117613</v>
      </c>
    </row>
    <row r="191" spans="1:14" ht="14.4" customHeight="1" x14ac:dyDescent="0.3">
      <c r="A191" s="638" t="s">
        <v>537</v>
      </c>
      <c r="B191" s="639" t="s">
        <v>538</v>
      </c>
      <c r="C191" s="640" t="s">
        <v>550</v>
      </c>
      <c r="D191" s="641" t="s">
        <v>1129</v>
      </c>
      <c r="E191" s="640" t="s">
        <v>556</v>
      </c>
      <c r="F191" s="641" t="s">
        <v>1131</v>
      </c>
      <c r="G191" s="640" t="s">
        <v>557</v>
      </c>
      <c r="H191" s="640" t="s">
        <v>969</v>
      </c>
      <c r="I191" s="640" t="s">
        <v>578</v>
      </c>
      <c r="J191" s="640" t="s">
        <v>970</v>
      </c>
      <c r="K191" s="640"/>
      <c r="L191" s="642">
        <v>252.71349715777941</v>
      </c>
      <c r="M191" s="642">
        <v>3</v>
      </c>
      <c r="N191" s="643">
        <v>758.14049147333822</v>
      </c>
    </row>
    <row r="192" spans="1:14" ht="14.4" customHeight="1" x14ac:dyDescent="0.3">
      <c r="A192" s="638" t="s">
        <v>537</v>
      </c>
      <c r="B192" s="639" t="s">
        <v>538</v>
      </c>
      <c r="C192" s="640" t="s">
        <v>550</v>
      </c>
      <c r="D192" s="641" t="s">
        <v>1129</v>
      </c>
      <c r="E192" s="640" t="s">
        <v>556</v>
      </c>
      <c r="F192" s="641" t="s">
        <v>1131</v>
      </c>
      <c r="G192" s="640" t="s">
        <v>557</v>
      </c>
      <c r="H192" s="640" t="s">
        <v>971</v>
      </c>
      <c r="I192" s="640" t="s">
        <v>578</v>
      </c>
      <c r="J192" s="640" t="s">
        <v>972</v>
      </c>
      <c r="K192" s="640"/>
      <c r="L192" s="642">
        <v>280.27425947480191</v>
      </c>
      <c r="M192" s="642">
        <v>3</v>
      </c>
      <c r="N192" s="643">
        <v>840.82277842440567</v>
      </c>
    </row>
    <row r="193" spans="1:14" ht="14.4" customHeight="1" x14ac:dyDescent="0.3">
      <c r="A193" s="638" t="s">
        <v>537</v>
      </c>
      <c r="B193" s="639" t="s">
        <v>538</v>
      </c>
      <c r="C193" s="640" t="s">
        <v>550</v>
      </c>
      <c r="D193" s="641" t="s">
        <v>1129</v>
      </c>
      <c r="E193" s="640" t="s">
        <v>556</v>
      </c>
      <c r="F193" s="641" t="s">
        <v>1131</v>
      </c>
      <c r="G193" s="640" t="s">
        <v>557</v>
      </c>
      <c r="H193" s="640" t="s">
        <v>973</v>
      </c>
      <c r="I193" s="640" t="s">
        <v>578</v>
      </c>
      <c r="J193" s="640" t="s">
        <v>974</v>
      </c>
      <c r="K193" s="640"/>
      <c r="L193" s="642">
        <v>150.7230859996474</v>
      </c>
      <c r="M193" s="642">
        <v>35</v>
      </c>
      <c r="N193" s="643">
        <v>5275.3080099876588</v>
      </c>
    </row>
    <row r="194" spans="1:14" ht="14.4" customHeight="1" x14ac:dyDescent="0.3">
      <c r="A194" s="638" t="s">
        <v>537</v>
      </c>
      <c r="B194" s="639" t="s">
        <v>538</v>
      </c>
      <c r="C194" s="640" t="s">
        <v>550</v>
      </c>
      <c r="D194" s="641" t="s">
        <v>1129</v>
      </c>
      <c r="E194" s="640" t="s">
        <v>556</v>
      </c>
      <c r="F194" s="641" t="s">
        <v>1131</v>
      </c>
      <c r="G194" s="640" t="s">
        <v>557</v>
      </c>
      <c r="H194" s="640" t="s">
        <v>975</v>
      </c>
      <c r="I194" s="640" t="s">
        <v>976</v>
      </c>
      <c r="J194" s="640" t="s">
        <v>977</v>
      </c>
      <c r="K194" s="640" t="s">
        <v>978</v>
      </c>
      <c r="L194" s="642">
        <v>89.389999999999972</v>
      </c>
      <c r="M194" s="642">
        <v>2</v>
      </c>
      <c r="N194" s="643">
        <v>178.77999999999994</v>
      </c>
    </row>
    <row r="195" spans="1:14" ht="14.4" customHeight="1" x14ac:dyDescent="0.3">
      <c r="A195" s="638" t="s">
        <v>537</v>
      </c>
      <c r="B195" s="639" t="s">
        <v>538</v>
      </c>
      <c r="C195" s="640" t="s">
        <v>550</v>
      </c>
      <c r="D195" s="641" t="s">
        <v>1129</v>
      </c>
      <c r="E195" s="640" t="s">
        <v>556</v>
      </c>
      <c r="F195" s="641" t="s">
        <v>1131</v>
      </c>
      <c r="G195" s="640" t="s">
        <v>557</v>
      </c>
      <c r="H195" s="640" t="s">
        <v>979</v>
      </c>
      <c r="I195" s="640" t="s">
        <v>980</v>
      </c>
      <c r="J195" s="640" t="s">
        <v>981</v>
      </c>
      <c r="K195" s="640" t="s">
        <v>982</v>
      </c>
      <c r="L195" s="642">
        <v>82.750000000000014</v>
      </c>
      <c r="M195" s="642">
        <v>1</v>
      </c>
      <c r="N195" s="643">
        <v>82.750000000000014</v>
      </c>
    </row>
    <row r="196" spans="1:14" ht="14.4" customHeight="1" x14ac:dyDescent="0.3">
      <c r="A196" s="638" t="s">
        <v>537</v>
      </c>
      <c r="B196" s="639" t="s">
        <v>538</v>
      </c>
      <c r="C196" s="640" t="s">
        <v>550</v>
      </c>
      <c r="D196" s="641" t="s">
        <v>1129</v>
      </c>
      <c r="E196" s="640" t="s">
        <v>556</v>
      </c>
      <c r="F196" s="641" t="s">
        <v>1131</v>
      </c>
      <c r="G196" s="640" t="s">
        <v>557</v>
      </c>
      <c r="H196" s="640" t="s">
        <v>983</v>
      </c>
      <c r="I196" s="640" t="s">
        <v>984</v>
      </c>
      <c r="J196" s="640" t="s">
        <v>985</v>
      </c>
      <c r="K196" s="640" t="s">
        <v>986</v>
      </c>
      <c r="L196" s="642">
        <v>119.26000000000006</v>
      </c>
      <c r="M196" s="642">
        <v>1</v>
      </c>
      <c r="N196" s="643">
        <v>119.26000000000006</v>
      </c>
    </row>
    <row r="197" spans="1:14" ht="14.4" customHeight="1" x14ac:dyDescent="0.3">
      <c r="A197" s="638" t="s">
        <v>537</v>
      </c>
      <c r="B197" s="639" t="s">
        <v>538</v>
      </c>
      <c r="C197" s="640" t="s">
        <v>550</v>
      </c>
      <c r="D197" s="641" t="s">
        <v>1129</v>
      </c>
      <c r="E197" s="640" t="s">
        <v>556</v>
      </c>
      <c r="F197" s="641" t="s">
        <v>1131</v>
      </c>
      <c r="G197" s="640" t="s">
        <v>557</v>
      </c>
      <c r="H197" s="640" t="s">
        <v>987</v>
      </c>
      <c r="I197" s="640" t="s">
        <v>987</v>
      </c>
      <c r="J197" s="640" t="s">
        <v>988</v>
      </c>
      <c r="K197" s="640" t="s">
        <v>989</v>
      </c>
      <c r="L197" s="642">
        <v>578.4801125134029</v>
      </c>
      <c r="M197" s="642">
        <v>2</v>
      </c>
      <c r="N197" s="643">
        <v>1156.9602250268058</v>
      </c>
    </row>
    <row r="198" spans="1:14" ht="14.4" customHeight="1" x14ac:dyDescent="0.3">
      <c r="A198" s="638" t="s">
        <v>537</v>
      </c>
      <c r="B198" s="639" t="s">
        <v>538</v>
      </c>
      <c r="C198" s="640" t="s">
        <v>550</v>
      </c>
      <c r="D198" s="641" t="s">
        <v>1129</v>
      </c>
      <c r="E198" s="640" t="s">
        <v>556</v>
      </c>
      <c r="F198" s="641" t="s">
        <v>1131</v>
      </c>
      <c r="G198" s="640" t="s">
        <v>557</v>
      </c>
      <c r="H198" s="640" t="s">
        <v>990</v>
      </c>
      <c r="I198" s="640" t="s">
        <v>990</v>
      </c>
      <c r="J198" s="640" t="s">
        <v>991</v>
      </c>
      <c r="K198" s="640" t="s">
        <v>992</v>
      </c>
      <c r="L198" s="642">
        <v>247.5</v>
      </c>
      <c r="M198" s="642">
        <v>7</v>
      </c>
      <c r="N198" s="643">
        <v>1732.5</v>
      </c>
    </row>
    <row r="199" spans="1:14" ht="14.4" customHeight="1" x14ac:dyDescent="0.3">
      <c r="A199" s="638" t="s">
        <v>537</v>
      </c>
      <c r="B199" s="639" t="s">
        <v>538</v>
      </c>
      <c r="C199" s="640" t="s">
        <v>550</v>
      </c>
      <c r="D199" s="641" t="s">
        <v>1129</v>
      </c>
      <c r="E199" s="640" t="s">
        <v>556</v>
      </c>
      <c r="F199" s="641" t="s">
        <v>1131</v>
      </c>
      <c r="G199" s="640" t="s">
        <v>557</v>
      </c>
      <c r="H199" s="640" t="s">
        <v>993</v>
      </c>
      <c r="I199" s="640" t="s">
        <v>578</v>
      </c>
      <c r="J199" s="640" t="s">
        <v>994</v>
      </c>
      <c r="K199" s="640"/>
      <c r="L199" s="642">
        <v>217.37400000000008</v>
      </c>
      <c r="M199" s="642">
        <v>8.0000000000000002E-3</v>
      </c>
      <c r="N199" s="643">
        <v>1.7389920000000008</v>
      </c>
    </row>
    <row r="200" spans="1:14" ht="14.4" customHeight="1" x14ac:dyDescent="0.3">
      <c r="A200" s="638" t="s">
        <v>537</v>
      </c>
      <c r="B200" s="639" t="s">
        <v>538</v>
      </c>
      <c r="C200" s="640" t="s">
        <v>550</v>
      </c>
      <c r="D200" s="641" t="s">
        <v>1129</v>
      </c>
      <c r="E200" s="640" t="s">
        <v>556</v>
      </c>
      <c r="F200" s="641" t="s">
        <v>1131</v>
      </c>
      <c r="G200" s="640" t="s">
        <v>557</v>
      </c>
      <c r="H200" s="640" t="s">
        <v>636</v>
      </c>
      <c r="I200" s="640" t="s">
        <v>636</v>
      </c>
      <c r="J200" s="640" t="s">
        <v>637</v>
      </c>
      <c r="K200" s="640" t="s">
        <v>638</v>
      </c>
      <c r="L200" s="642">
        <v>63.77</v>
      </c>
      <c r="M200" s="642">
        <v>4</v>
      </c>
      <c r="N200" s="643">
        <v>255.08</v>
      </c>
    </row>
    <row r="201" spans="1:14" ht="14.4" customHeight="1" x14ac:dyDescent="0.3">
      <c r="A201" s="638" t="s">
        <v>537</v>
      </c>
      <c r="B201" s="639" t="s">
        <v>538</v>
      </c>
      <c r="C201" s="640" t="s">
        <v>550</v>
      </c>
      <c r="D201" s="641" t="s">
        <v>1129</v>
      </c>
      <c r="E201" s="640" t="s">
        <v>556</v>
      </c>
      <c r="F201" s="641" t="s">
        <v>1131</v>
      </c>
      <c r="G201" s="640" t="s">
        <v>557</v>
      </c>
      <c r="H201" s="640" t="s">
        <v>995</v>
      </c>
      <c r="I201" s="640" t="s">
        <v>578</v>
      </c>
      <c r="J201" s="640" t="s">
        <v>996</v>
      </c>
      <c r="K201" s="640"/>
      <c r="L201" s="642">
        <v>28.520007682842898</v>
      </c>
      <c r="M201" s="642">
        <v>1</v>
      </c>
      <c r="N201" s="643">
        <v>28.520007682842898</v>
      </c>
    </row>
    <row r="202" spans="1:14" ht="14.4" customHeight="1" x14ac:dyDescent="0.3">
      <c r="A202" s="638" t="s">
        <v>537</v>
      </c>
      <c r="B202" s="639" t="s">
        <v>538</v>
      </c>
      <c r="C202" s="640" t="s">
        <v>550</v>
      </c>
      <c r="D202" s="641" t="s">
        <v>1129</v>
      </c>
      <c r="E202" s="640" t="s">
        <v>556</v>
      </c>
      <c r="F202" s="641" t="s">
        <v>1131</v>
      </c>
      <c r="G202" s="640" t="s">
        <v>557</v>
      </c>
      <c r="H202" s="640" t="s">
        <v>639</v>
      </c>
      <c r="I202" s="640" t="s">
        <v>578</v>
      </c>
      <c r="J202" s="640" t="s">
        <v>640</v>
      </c>
      <c r="K202" s="640"/>
      <c r="L202" s="642">
        <v>84.999499856922128</v>
      </c>
      <c r="M202" s="642">
        <v>36</v>
      </c>
      <c r="N202" s="643">
        <v>3059.9819948491968</v>
      </c>
    </row>
    <row r="203" spans="1:14" ht="14.4" customHeight="1" x14ac:dyDescent="0.3">
      <c r="A203" s="638" t="s">
        <v>537</v>
      </c>
      <c r="B203" s="639" t="s">
        <v>538</v>
      </c>
      <c r="C203" s="640" t="s">
        <v>550</v>
      </c>
      <c r="D203" s="641" t="s">
        <v>1129</v>
      </c>
      <c r="E203" s="640" t="s">
        <v>556</v>
      </c>
      <c r="F203" s="641" t="s">
        <v>1131</v>
      </c>
      <c r="G203" s="640" t="s">
        <v>557</v>
      </c>
      <c r="H203" s="640" t="s">
        <v>647</v>
      </c>
      <c r="I203" s="640" t="s">
        <v>647</v>
      </c>
      <c r="J203" s="640" t="s">
        <v>648</v>
      </c>
      <c r="K203" s="640" t="s">
        <v>649</v>
      </c>
      <c r="L203" s="642">
        <v>47.574991287199872</v>
      </c>
      <c r="M203" s="642">
        <v>4</v>
      </c>
      <c r="N203" s="643">
        <v>190.29996514879949</v>
      </c>
    </row>
    <row r="204" spans="1:14" ht="14.4" customHeight="1" x14ac:dyDescent="0.3">
      <c r="A204" s="638" t="s">
        <v>537</v>
      </c>
      <c r="B204" s="639" t="s">
        <v>538</v>
      </c>
      <c r="C204" s="640" t="s">
        <v>550</v>
      </c>
      <c r="D204" s="641" t="s">
        <v>1129</v>
      </c>
      <c r="E204" s="640" t="s">
        <v>556</v>
      </c>
      <c r="F204" s="641" t="s">
        <v>1131</v>
      </c>
      <c r="G204" s="640" t="s">
        <v>557</v>
      </c>
      <c r="H204" s="640" t="s">
        <v>997</v>
      </c>
      <c r="I204" s="640" t="s">
        <v>578</v>
      </c>
      <c r="J204" s="640" t="s">
        <v>998</v>
      </c>
      <c r="K204" s="640"/>
      <c r="L204" s="642">
        <v>154.22999999999999</v>
      </c>
      <c r="M204" s="642">
        <v>1</v>
      </c>
      <c r="N204" s="643">
        <v>154.22999999999999</v>
      </c>
    </row>
    <row r="205" spans="1:14" ht="14.4" customHeight="1" x14ac:dyDescent="0.3">
      <c r="A205" s="638" t="s">
        <v>537</v>
      </c>
      <c r="B205" s="639" t="s">
        <v>538</v>
      </c>
      <c r="C205" s="640" t="s">
        <v>550</v>
      </c>
      <c r="D205" s="641" t="s">
        <v>1129</v>
      </c>
      <c r="E205" s="640" t="s">
        <v>556</v>
      </c>
      <c r="F205" s="641" t="s">
        <v>1131</v>
      </c>
      <c r="G205" s="640" t="s">
        <v>557</v>
      </c>
      <c r="H205" s="640" t="s">
        <v>772</v>
      </c>
      <c r="I205" s="640" t="s">
        <v>578</v>
      </c>
      <c r="J205" s="640" t="s">
        <v>773</v>
      </c>
      <c r="K205" s="640"/>
      <c r="L205" s="642">
        <v>491.31180186640643</v>
      </c>
      <c r="M205" s="642">
        <v>7</v>
      </c>
      <c r="N205" s="643">
        <v>3439.1826130648451</v>
      </c>
    </row>
    <row r="206" spans="1:14" ht="14.4" customHeight="1" x14ac:dyDescent="0.3">
      <c r="A206" s="638" t="s">
        <v>537</v>
      </c>
      <c r="B206" s="639" t="s">
        <v>538</v>
      </c>
      <c r="C206" s="640" t="s">
        <v>550</v>
      </c>
      <c r="D206" s="641" t="s">
        <v>1129</v>
      </c>
      <c r="E206" s="640" t="s">
        <v>556</v>
      </c>
      <c r="F206" s="641" t="s">
        <v>1131</v>
      </c>
      <c r="G206" s="640" t="s">
        <v>557</v>
      </c>
      <c r="H206" s="640" t="s">
        <v>999</v>
      </c>
      <c r="I206" s="640" t="s">
        <v>999</v>
      </c>
      <c r="J206" s="640" t="s">
        <v>1000</v>
      </c>
      <c r="K206" s="640" t="s">
        <v>1001</v>
      </c>
      <c r="L206" s="642">
        <v>59.150127500980773</v>
      </c>
      <c r="M206" s="642">
        <v>1</v>
      </c>
      <c r="N206" s="643">
        <v>59.150127500980773</v>
      </c>
    </row>
    <row r="207" spans="1:14" ht="14.4" customHeight="1" x14ac:dyDescent="0.3">
      <c r="A207" s="638" t="s">
        <v>537</v>
      </c>
      <c r="B207" s="639" t="s">
        <v>538</v>
      </c>
      <c r="C207" s="640" t="s">
        <v>550</v>
      </c>
      <c r="D207" s="641" t="s">
        <v>1129</v>
      </c>
      <c r="E207" s="640" t="s">
        <v>556</v>
      </c>
      <c r="F207" s="641" t="s">
        <v>1131</v>
      </c>
      <c r="G207" s="640" t="s">
        <v>557</v>
      </c>
      <c r="H207" s="640" t="s">
        <v>1002</v>
      </c>
      <c r="I207" s="640" t="s">
        <v>1003</v>
      </c>
      <c r="J207" s="640" t="s">
        <v>1004</v>
      </c>
      <c r="K207" s="640" t="s">
        <v>1005</v>
      </c>
      <c r="L207" s="642">
        <v>3161.73</v>
      </c>
      <c r="M207" s="642">
        <v>1</v>
      </c>
      <c r="N207" s="643">
        <v>3161.73</v>
      </c>
    </row>
    <row r="208" spans="1:14" ht="14.4" customHeight="1" x14ac:dyDescent="0.3">
      <c r="A208" s="638" t="s">
        <v>537</v>
      </c>
      <c r="B208" s="639" t="s">
        <v>538</v>
      </c>
      <c r="C208" s="640" t="s">
        <v>550</v>
      </c>
      <c r="D208" s="641" t="s">
        <v>1129</v>
      </c>
      <c r="E208" s="640" t="s">
        <v>556</v>
      </c>
      <c r="F208" s="641" t="s">
        <v>1131</v>
      </c>
      <c r="G208" s="640" t="s">
        <v>694</v>
      </c>
      <c r="H208" s="640" t="s">
        <v>1006</v>
      </c>
      <c r="I208" s="640" t="s">
        <v>1007</v>
      </c>
      <c r="J208" s="640" t="s">
        <v>1008</v>
      </c>
      <c r="K208" s="640" t="s">
        <v>1009</v>
      </c>
      <c r="L208" s="642">
        <v>95.649999999999991</v>
      </c>
      <c r="M208" s="642">
        <v>9</v>
      </c>
      <c r="N208" s="643">
        <v>860.84999999999991</v>
      </c>
    </row>
    <row r="209" spans="1:14" ht="14.4" customHeight="1" x14ac:dyDescent="0.3">
      <c r="A209" s="638" t="s">
        <v>537</v>
      </c>
      <c r="B209" s="639" t="s">
        <v>538</v>
      </c>
      <c r="C209" s="640" t="s">
        <v>550</v>
      </c>
      <c r="D209" s="641" t="s">
        <v>1129</v>
      </c>
      <c r="E209" s="640" t="s">
        <v>556</v>
      </c>
      <c r="F209" s="641" t="s">
        <v>1131</v>
      </c>
      <c r="G209" s="640" t="s">
        <v>694</v>
      </c>
      <c r="H209" s="640" t="s">
        <v>1010</v>
      </c>
      <c r="I209" s="640" t="s">
        <v>1011</v>
      </c>
      <c r="J209" s="640" t="s">
        <v>1012</v>
      </c>
      <c r="K209" s="640" t="s">
        <v>1013</v>
      </c>
      <c r="L209" s="642">
        <v>30</v>
      </c>
      <c r="M209" s="642">
        <v>3</v>
      </c>
      <c r="N209" s="643">
        <v>90</v>
      </c>
    </row>
    <row r="210" spans="1:14" ht="14.4" customHeight="1" x14ac:dyDescent="0.3">
      <c r="A210" s="638" t="s">
        <v>537</v>
      </c>
      <c r="B210" s="639" t="s">
        <v>538</v>
      </c>
      <c r="C210" s="640" t="s">
        <v>550</v>
      </c>
      <c r="D210" s="641" t="s">
        <v>1129</v>
      </c>
      <c r="E210" s="640" t="s">
        <v>556</v>
      </c>
      <c r="F210" s="641" t="s">
        <v>1131</v>
      </c>
      <c r="G210" s="640" t="s">
        <v>694</v>
      </c>
      <c r="H210" s="640" t="s">
        <v>1014</v>
      </c>
      <c r="I210" s="640" t="s">
        <v>1015</v>
      </c>
      <c r="J210" s="640" t="s">
        <v>1016</v>
      </c>
      <c r="K210" s="640" t="s">
        <v>1017</v>
      </c>
      <c r="L210" s="642">
        <v>67.110000000000014</v>
      </c>
      <c r="M210" s="642">
        <v>1</v>
      </c>
      <c r="N210" s="643">
        <v>67.110000000000014</v>
      </c>
    </row>
    <row r="211" spans="1:14" ht="14.4" customHeight="1" x14ac:dyDescent="0.3">
      <c r="A211" s="638" t="s">
        <v>537</v>
      </c>
      <c r="B211" s="639" t="s">
        <v>538</v>
      </c>
      <c r="C211" s="640" t="s">
        <v>550</v>
      </c>
      <c r="D211" s="641" t="s">
        <v>1129</v>
      </c>
      <c r="E211" s="640" t="s">
        <v>556</v>
      </c>
      <c r="F211" s="641" t="s">
        <v>1131</v>
      </c>
      <c r="G211" s="640" t="s">
        <v>694</v>
      </c>
      <c r="H211" s="640" t="s">
        <v>1018</v>
      </c>
      <c r="I211" s="640" t="s">
        <v>1019</v>
      </c>
      <c r="J211" s="640" t="s">
        <v>1020</v>
      </c>
      <c r="K211" s="640" t="s">
        <v>1021</v>
      </c>
      <c r="L211" s="642">
        <v>48.835000000000008</v>
      </c>
      <c r="M211" s="642">
        <v>4</v>
      </c>
      <c r="N211" s="643">
        <v>195.34000000000003</v>
      </c>
    </row>
    <row r="212" spans="1:14" ht="14.4" customHeight="1" x14ac:dyDescent="0.3">
      <c r="A212" s="638" t="s">
        <v>537</v>
      </c>
      <c r="B212" s="639" t="s">
        <v>538</v>
      </c>
      <c r="C212" s="640" t="s">
        <v>550</v>
      </c>
      <c r="D212" s="641" t="s">
        <v>1129</v>
      </c>
      <c r="E212" s="640" t="s">
        <v>556</v>
      </c>
      <c r="F212" s="641" t="s">
        <v>1131</v>
      </c>
      <c r="G212" s="640" t="s">
        <v>694</v>
      </c>
      <c r="H212" s="640" t="s">
        <v>1022</v>
      </c>
      <c r="I212" s="640" t="s">
        <v>1023</v>
      </c>
      <c r="J212" s="640" t="s">
        <v>1024</v>
      </c>
      <c r="K212" s="640" t="s">
        <v>1025</v>
      </c>
      <c r="L212" s="642">
        <v>83.890034628943155</v>
      </c>
      <c r="M212" s="642">
        <v>240</v>
      </c>
      <c r="N212" s="643">
        <v>20133.608310946358</v>
      </c>
    </row>
    <row r="213" spans="1:14" ht="14.4" customHeight="1" x14ac:dyDescent="0.3">
      <c r="A213" s="638" t="s">
        <v>537</v>
      </c>
      <c r="B213" s="639" t="s">
        <v>538</v>
      </c>
      <c r="C213" s="640" t="s">
        <v>550</v>
      </c>
      <c r="D213" s="641" t="s">
        <v>1129</v>
      </c>
      <c r="E213" s="640" t="s">
        <v>656</v>
      </c>
      <c r="F213" s="641" t="s">
        <v>1132</v>
      </c>
      <c r="G213" s="640"/>
      <c r="H213" s="640" t="s">
        <v>1026</v>
      </c>
      <c r="I213" s="640" t="s">
        <v>1027</v>
      </c>
      <c r="J213" s="640" t="s">
        <v>1028</v>
      </c>
      <c r="K213" s="640" t="s">
        <v>1029</v>
      </c>
      <c r="L213" s="642">
        <v>205.08333333333334</v>
      </c>
      <c r="M213" s="642">
        <v>6</v>
      </c>
      <c r="N213" s="643">
        <v>1230.5</v>
      </c>
    </row>
    <row r="214" spans="1:14" ht="14.4" customHeight="1" x14ac:dyDescent="0.3">
      <c r="A214" s="638" t="s">
        <v>537</v>
      </c>
      <c r="B214" s="639" t="s">
        <v>538</v>
      </c>
      <c r="C214" s="640" t="s">
        <v>550</v>
      </c>
      <c r="D214" s="641" t="s">
        <v>1129</v>
      </c>
      <c r="E214" s="640" t="s">
        <v>656</v>
      </c>
      <c r="F214" s="641" t="s">
        <v>1132</v>
      </c>
      <c r="G214" s="640"/>
      <c r="H214" s="640" t="s">
        <v>1030</v>
      </c>
      <c r="I214" s="640" t="s">
        <v>1031</v>
      </c>
      <c r="J214" s="640" t="s">
        <v>1032</v>
      </c>
      <c r="K214" s="640"/>
      <c r="L214" s="642">
        <v>188.54999314396946</v>
      </c>
      <c r="M214" s="642">
        <v>1</v>
      </c>
      <c r="N214" s="643">
        <v>188.54999314396946</v>
      </c>
    </row>
    <row r="215" spans="1:14" ht="14.4" customHeight="1" x14ac:dyDescent="0.3">
      <c r="A215" s="638" t="s">
        <v>537</v>
      </c>
      <c r="B215" s="639" t="s">
        <v>538</v>
      </c>
      <c r="C215" s="640" t="s">
        <v>550</v>
      </c>
      <c r="D215" s="641" t="s">
        <v>1129</v>
      </c>
      <c r="E215" s="640" t="s">
        <v>656</v>
      </c>
      <c r="F215" s="641" t="s">
        <v>1132</v>
      </c>
      <c r="G215" s="640" t="s">
        <v>557</v>
      </c>
      <c r="H215" s="640" t="s">
        <v>1033</v>
      </c>
      <c r="I215" s="640" t="s">
        <v>578</v>
      </c>
      <c r="J215" s="640" t="s">
        <v>1034</v>
      </c>
      <c r="K215" s="640"/>
      <c r="L215" s="642">
        <v>319.78000000000003</v>
      </c>
      <c r="M215" s="642">
        <v>11</v>
      </c>
      <c r="N215" s="643">
        <v>3517.5800000000004</v>
      </c>
    </row>
    <row r="216" spans="1:14" ht="14.4" customHeight="1" x14ac:dyDescent="0.3">
      <c r="A216" s="638" t="s">
        <v>537</v>
      </c>
      <c r="B216" s="639" t="s">
        <v>538</v>
      </c>
      <c r="C216" s="640" t="s">
        <v>550</v>
      </c>
      <c r="D216" s="641" t="s">
        <v>1129</v>
      </c>
      <c r="E216" s="640" t="s">
        <v>656</v>
      </c>
      <c r="F216" s="641" t="s">
        <v>1132</v>
      </c>
      <c r="G216" s="640" t="s">
        <v>557</v>
      </c>
      <c r="H216" s="640" t="s">
        <v>1035</v>
      </c>
      <c r="I216" s="640" t="s">
        <v>578</v>
      </c>
      <c r="J216" s="640" t="s">
        <v>1036</v>
      </c>
      <c r="K216" s="640"/>
      <c r="L216" s="642">
        <v>412.62994013525025</v>
      </c>
      <c r="M216" s="642">
        <v>24</v>
      </c>
      <c r="N216" s="643">
        <v>9903.1185632460056</v>
      </c>
    </row>
    <row r="217" spans="1:14" ht="14.4" customHeight="1" x14ac:dyDescent="0.3">
      <c r="A217" s="638" t="s">
        <v>537</v>
      </c>
      <c r="B217" s="639" t="s">
        <v>538</v>
      </c>
      <c r="C217" s="640" t="s">
        <v>550</v>
      </c>
      <c r="D217" s="641" t="s">
        <v>1129</v>
      </c>
      <c r="E217" s="640" t="s">
        <v>656</v>
      </c>
      <c r="F217" s="641" t="s">
        <v>1132</v>
      </c>
      <c r="G217" s="640" t="s">
        <v>557</v>
      </c>
      <c r="H217" s="640" t="s">
        <v>1037</v>
      </c>
      <c r="I217" s="640" t="s">
        <v>578</v>
      </c>
      <c r="J217" s="640" t="s">
        <v>1038</v>
      </c>
      <c r="K217" s="640"/>
      <c r="L217" s="642">
        <v>272.68997827865786</v>
      </c>
      <c r="M217" s="642">
        <v>115</v>
      </c>
      <c r="N217" s="643">
        <v>31359.347502045657</v>
      </c>
    </row>
    <row r="218" spans="1:14" ht="14.4" customHeight="1" x14ac:dyDescent="0.3">
      <c r="A218" s="638" t="s">
        <v>537</v>
      </c>
      <c r="B218" s="639" t="s">
        <v>538</v>
      </c>
      <c r="C218" s="640" t="s">
        <v>550</v>
      </c>
      <c r="D218" s="641" t="s">
        <v>1129</v>
      </c>
      <c r="E218" s="640" t="s">
        <v>656</v>
      </c>
      <c r="F218" s="641" t="s">
        <v>1132</v>
      </c>
      <c r="G218" s="640" t="s">
        <v>557</v>
      </c>
      <c r="H218" s="640" t="s">
        <v>657</v>
      </c>
      <c r="I218" s="640" t="s">
        <v>578</v>
      </c>
      <c r="J218" s="640" t="s">
        <v>658</v>
      </c>
      <c r="K218" s="640"/>
      <c r="L218" s="642">
        <v>480.74024102458361</v>
      </c>
      <c r="M218" s="642">
        <v>62</v>
      </c>
      <c r="N218" s="643">
        <v>29805.894943524185</v>
      </c>
    </row>
    <row r="219" spans="1:14" ht="14.4" customHeight="1" x14ac:dyDescent="0.3">
      <c r="A219" s="638" t="s">
        <v>537</v>
      </c>
      <c r="B219" s="639" t="s">
        <v>538</v>
      </c>
      <c r="C219" s="640" t="s">
        <v>550</v>
      </c>
      <c r="D219" s="641" t="s">
        <v>1129</v>
      </c>
      <c r="E219" s="640" t="s">
        <v>656</v>
      </c>
      <c r="F219" s="641" t="s">
        <v>1132</v>
      </c>
      <c r="G219" s="640" t="s">
        <v>557</v>
      </c>
      <c r="H219" s="640" t="s">
        <v>1039</v>
      </c>
      <c r="I219" s="640" t="s">
        <v>578</v>
      </c>
      <c r="J219" s="640" t="s">
        <v>1040</v>
      </c>
      <c r="K219" s="640"/>
      <c r="L219" s="642">
        <v>426.04610978807193</v>
      </c>
      <c r="M219" s="642">
        <v>23</v>
      </c>
      <c r="N219" s="643">
        <v>9799.0605251256547</v>
      </c>
    </row>
    <row r="220" spans="1:14" ht="14.4" customHeight="1" x14ac:dyDescent="0.3">
      <c r="A220" s="638" t="s">
        <v>537</v>
      </c>
      <c r="B220" s="639" t="s">
        <v>538</v>
      </c>
      <c r="C220" s="640" t="s">
        <v>550</v>
      </c>
      <c r="D220" s="641" t="s">
        <v>1129</v>
      </c>
      <c r="E220" s="640" t="s">
        <v>656</v>
      </c>
      <c r="F220" s="641" t="s">
        <v>1132</v>
      </c>
      <c r="G220" s="640" t="s">
        <v>557</v>
      </c>
      <c r="H220" s="640" t="s">
        <v>1041</v>
      </c>
      <c r="I220" s="640" t="s">
        <v>578</v>
      </c>
      <c r="J220" s="640" t="s">
        <v>1042</v>
      </c>
      <c r="K220" s="640"/>
      <c r="L220" s="642">
        <v>700.38</v>
      </c>
      <c r="M220" s="642">
        <v>16</v>
      </c>
      <c r="N220" s="643">
        <v>11206.08</v>
      </c>
    </row>
    <row r="221" spans="1:14" ht="14.4" customHeight="1" x14ac:dyDescent="0.3">
      <c r="A221" s="638" t="s">
        <v>537</v>
      </c>
      <c r="B221" s="639" t="s">
        <v>538</v>
      </c>
      <c r="C221" s="640" t="s">
        <v>550</v>
      </c>
      <c r="D221" s="641" t="s">
        <v>1129</v>
      </c>
      <c r="E221" s="640" t="s">
        <v>656</v>
      </c>
      <c r="F221" s="641" t="s">
        <v>1132</v>
      </c>
      <c r="G221" s="640" t="s">
        <v>557</v>
      </c>
      <c r="H221" s="640" t="s">
        <v>1043</v>
      </c>
      <c r="I221" s="640" t="s">
        <v>578</v>
      </c>
      <c r="J221" s="640" t="s">
        <v>1044</v>
      </c>
      <c r="K221" s="640"/>
      <c r="L221" s="642">
        <v>412.63000000000011</v>
      </c>
      <c r="M221" s="642">
        <v>10</v>
      </c>
      <c r="N221" s="643">
        <v>4126.3000000000011</v>
      </c>
    </row>
    <row r="222" spans="1:14" ht="14.4" customHeight="1" x14ac:dyDescent="0.3">
      <c r="A222" s="638" t="s">
        <v>537</v>
      </c>
      <c r="B222" s="639" t="s">
        <v>538</v>
      </c>
      <c r="C222" s="640" t="s">
        <v>550</v>
      </c>
      <c r="D222" s="641" t="s">
        <v>1129</v>
      </c>
      <c r="E222" s="640" t="s">
        <v>656</v>
      </c>
      <c r="F222" s="641" t="s">
        <v>1132</v>
      </c>
      <c r="G222" s="640" t="s">
        <v>557</v>
      </c>
      <c r="H222" s="640" t="s">
        <v>659</v>
      </c>
      <c r="I222" s="640" t="s">
        <v>578</v>
      </c>
      <c r="J222" s="640" t="s">
        <v>660</v>
      </c>
      <c r="K222" s="640"/>
      <c r="L222" s="642">
        <v>913.10000066309544</v>
      </c>
      <c r="M222" s="642">
        <v>22</v>
      </c>
      <c r="N222" s="643">
        <v>20088.200014588099</v>
      </c>
    </row>
    <row r="223" spans="1:14" ht="14.4" customHeight="1" x14ac:dyDescent="0.3">
      <c r="A223" s="638" t="s">
        <v>537</v>
      </c>
      <c r="B223" s="639" t="s">
        <v>538</v>
      </c>
      <c r="C223" s="640" t="s">
        <v>550</v>
      </c>
      <c r="D223" s="641" t="s">
        <v>1129</v>
      </c>
      <c r="E223" s="640" t="s">
        <v>656</v>
      </c>
      <c r="F223" s="641" t="s">
        <v>1132</v>
      </c>
      <c r="G223" s="640" t="s">
        <v>557</v>
      </c>
      <c r="H223" s="640" t="s">
        <v>1045</v>
      </c>
      <c r="I223" s="640" t="s">
        <v>578</v>
      </c>
      <c r="J223" s="640" t="s">
        <v>1046</v>
      </c>
      <c r="K223" s="640"/>
      <c r="L223" s="642">
        <v>397.15006926757366</v>
      </c>
      <c r="M223" s="642">
        <v>6</v>
      </c>
      <c r="N223" s="643">
        <v>2382.900415605442</v>
      </c>
    </row>
    <row r="224" spans="1:14" ht="14.4" customHeight="1" x14ac:dyDescent="0.3">
      <c r="A224" s="638" t="s">
        <v>537</v>
      </c>
      <c r="B224" s="639" t="s">
        <v>538</v>
      </c>
      <c r="C224" s="640" t="s">
        <v>550</v>
      </c>
      <c r="D224" s="641" t="s">
        <v>1129</v>
      </c>
      <c r="E224" s="640" t="s">
        <v>656</v>
      </c>
      <c r="F224" s="641" t="s">
        <v>1132</v>
      </c>
      <c r="G224" s="640" t="s">
        <v>694</v>
      </c>
      <c r="H224" s="640" t="s">
        <v>1047</v>
      </c>
      <c r="I224" s="640" t="s">
        <v>1047</v>
      </c>
      <c r="J224" s="640" t="s">
        <v>1048</v>
      </c>
      <c r="K224" s="640" t="s">
        <v>1049</v>
      </c>
      <c r="L224" s="642">
        <v>1872.7879352240332</v>
      </c>
      <c r="M224" s="642">
        <v>1</v>
      </c>
      <c r="N224" s="643">
        <v>1872.7879352240332</v>
      </c>
    </row>
    <row r="225" spans="1:14" ht="14.4" customHeight="1" x14ac:dyDescent="0.3">
      <c r="A225" s="638" t="s">
        <v>537</v>
      </c>
      <c r="B225" s="639" t="s">
        <v>538</v>
      </c>
      <c r="C225" s="640" t="s">
        <v>550</v>
      </c>
      <c r="D225" s="641" t="s">
        <v>1129</v>
      </c>
      <c r="E225" s="640" t="s">
        <v>661</v>
      </c>
      <c r="F225" s="641" t="s">
        <v>1133</v>
      </c>
      <c r="G225" s="640"/>
      <c r="H225" s="640" t="s">
        <v>1050</v>
      </c>
      <c r="I225" s="640" t="s">
        <v>1050</v>
      </c>
      <c r="J225" s="640" t="s">
        <v>1051</v>
      </c>
      <c r="K225" s="640" t="s">
        <v>1052</v>
      </c>
      <c r="L225" s="642">
        <v>869</v>
      </c>
      <c r="M225" s="642">
        <v>1</v>
      </c>
      <c r="N225" s="643">
        <v>869</v>
      </c>
    </row>
    <row r="226" spans="1:14" ht="14.4" customHeight="1" x14ac:dyDescent="0.3">
      <c r="A226" s="638" t="s">
        <v>537</v>
      </c>
      <c r="B226" s="639" t="s">
        <v>538</v>
      </c>
      <c r="C226" s="640" t="s">
        <v>550</v>
      </c>
      <c r="D226" s="641" t="s">
        <v>1129</v>
      </c>
      <c r="E226" s="640" t="s">
        <v>661</v>
      </c>
      <c r="F226" s="641" t="s">
        <v>1133</v>
      </c>
      <c r="G226" s="640" t="s">
        <v>557</v>
      </c>
      <c r="H226" s="640" t="s">
        <v>1053</v>
      </c>
      <c r="I226" s="640" t="s">
        <v>1054</v>
      </c>
      <c r="J226" s="640" t="s">
        <v>1055</v>
      </c>
      <c r="K226" s="640" t="s">
        <v>1056</v>
      </c>
      <c r="L226" s="642">
        <v>23.77013580356633</v>
      </c>
      <c r="M226" s="642">
        <v>10</v>
      </c>
      <c r="N226" s="643">
        <v>237.7013580356633</v>
      </c>
    </row>
    <row r="227" spans="1:14" ht="14.4" customHeight="1" x14ac:dyDescent="0.3">
      <c r="A227" s="638" t="s">
        <v>537</v>
      </c>
      <c r="B227" s="639" t="s">
        <v>538</v>
      </c>
      <c r="C227" s="640" t="s">
        <v>550</v>
      </c>
      <c r="D227" s="641" t="s">
        <v>1129</v>
      </c>
      <c r="E227" s="640" t="s">
        <v>661</v>
      </c>
      <c r="F227" s="641" t="s">
        <v>1133</v>
      </c>
      <c r="G227" s="640" t="s">
        <v>557</v>
      </c>
      <c r="H227" s="640" t="s">
        <v>1057</v>
      </c>
      <c r="I227" s="640" t="s">
        <v>1058</v>
      </c>
      <c r="J227" s="640" t="s">
        <v>1059</v>
      </c>
      <c r="K227" s="640" t="s">
        <v>690</v>
      </c>
      <c r="L227" s="642">
        <v>598.84</v>
      </c>
      <c r="M227" s="642">
        <v>2.4</v>
      </c>
      <c r="N227" s="643">
        <v>1437.2160000000001</v>
      </c>
    </row>
    <row r="228" spans="1:14" ht="14.4" customHeight="1" x14ac:dyDescent="0.3">
      <c r="A228" s="638" t="s">
        <v>537</v>
      </c>
      <c r="B228" s="639" t="s">
        <v>538</v>
      </c>
      <c r="C228" s="640" t="s">
        <v>550</v>
      </c>
      <c r="D228" s="641" t="s">
        <v>1129</v>
      </c>
      <c r="E228" s="640" t="s">
        <v>661</v>
      </c>
      <c r="F228" s="641" t="s">
        <v>1133</v>
      </c>
      <c r="G228" s="640" t="s">
        <v>557</v>
      </c>
      <c r="H228" s="640" t="s">
        <v>1060</v>
      </c>
      <c r="I228" s="640" t="s">
        <v>1060</v>
      </c>
      <c r="J228" s="640" t="s">
        <v>1061</v>
      </c>
      <c r="K228" s="640" t="s">
        <v>1062</v>
      </c>
      <c r="L228" s="642">
        <v>264</v>
      </c>
      <c r="M228" s="642">
        <v>4</v>
      </c>
      <c r="N228" s="643">
        <v>1056</v>
      </c>
    </row>
    <row r="229" spans="1:14" ht="14.4" customHeight="1" x14ac:dyDescent="0.3">
      <c r="A229" s="638" t="s">
        <v>537</v>
      </c>
      <c r="B229" s="639" t="s">
        <v>538</v>
      </c>
      <c r="C229" s="640" t="s">
        <v>550</v>
      </c>
      <c r="D229" s="641" t="s">
        <v>1129</v>
      </c>
      <c r="E229" s="640" t="s">
        <v>661</v>
      </c>
      <c r="F229" s="641" t="s">
        <v>1133</v>
      </c>
      <c r="G229" s="640" t="s">
        <v>557</v>
      </c>
      <c r="H229" s="640" t="s">
        <v>1063</v>
      </c>
      <c r="I229" s="640" t="s">
        <v>1064</v>
      </c>
      <c r="J229" s="640" t="s">
        <v>1065</v>
      </c>
      <c r="K229" s="640" t="s">
        <v>904</v>
      </c>
      <c r="L229" s="642">
        <v>73.439999999999969</v>
      </c>
      <c r="M229" s="642">
        <v>1</v>
      </c>
      <c r="N229" s="643">
        <v>73.439999999999969</v>
      </c>
    </row>
    <row r="230" spans="1:14" ht="14.4" customHeight="1" x14ac:dyDescent="0.3">
      <c r="A230" s="638" t="s">
        <v>537</v>
      </c>
      <c r="B230" s="639" t="s">
        <v>538</v>
      </c>
      <c r="C230" s="640" t="s">
        <v>550</v>
      </c>
      <c r="D230" s="641" t="s">
        <v>1129</v>
      </c>
      <c r="E230" s="640" t="s">
        <v>661</v>
      </c>
      <c r="F230" s="641" t="s">
        <v>1133</v>
      </c>
      <c r="G230" s="640" t="s">
        <v>557</v>
      </c>
      <c r="H230" s="640" t="s">
        <v>1066</v>
      </c>
      <c r="I230" s="640" t="s">
        <v>1067</v>
      </c>
      <c r="J230" s="640" t="s">
        <v>1068</v>
      </c>
      <c r="K230" s="640" t="s">
        <v>854</v>
      </c>
      <c r="L230" s="642">
        <v>235.77020624193034</v>
      </c>
      <c r="M230" s="642">
        <v>5</v>
      </c>
      <c r="N230" s="643">
        <v>1178.8510312096516</v>
      </c>
    </row>
    <row r="231" spans="1:14" ht="14.4" customHeight="1" x14ac:dyDescent="0.3">
      <c r="A231" s="638" t="s">
        <v>537</v>
      </c>
      <c r="B231" s="639" t="s">
        <v>538</v>
      </c>
      <c r="C231" s="640" t="s">
        <v>550</v>
      </c>
      <c r="D231" s="641" t="s">
        <v>1129</v>
      </c>
      <c r="E231" s="640" t="s">
        <v>661</v>
      </c>
      <c r="F231" s="641" t="s">
        <v>1133</v>
      </c>
      <c r="G231" s="640" t="s">
        <v>557</v>
      </c>
      <c r="H231" s="640" t="s">
        <v>670</v>
      </c>
      <c r="I231" s="640" t="s">
        <v>670</v>
      </c>
      <c r="J231" s="640" t="s">
        <v>671</v>
      </c>
      <c r="K231" s="640" t="s">
        <v>672</v>
      </c>
      <c r="L231" s="642">
        <v>120.48054713249836</v>
      </c>
      <c r="M231" s="642">
        <v>24.599999999999998</v>
      </c>
      <c r="N231" s="643">
        <v>2963.8214594594592</v>
      </c>
    </row>
    <row r="232" spans="1:14" ht="14.4" customHeight="1" x14ac:dyDescent="0.3">
      <c r="A232" s="638" t="s">
        <v>537</v>
      </c>
      <c r="B232" s="639" t="s">
        <v>538</v>
      </c>
      <c r="C232" s="640" t="s">
        <v>550</v>
      </c>
      <c r="D232" s="641" t="s">
        <v>1129</v>
      </c>
      <c r="E232" s="640" t="s">
        <v>661</v>
      </c>
      <c r="F232" s="641" t="s">
        <v>1133</v>
      </c>
      <c r="G232" s="640" t="s">
        <v>557</v>
      </c>
      <c r="H232" s="640" t="s">
        <v>777</v>
      </c>
      <c r="I232" s="640" t="s">
        <v>778</v>
      </c>
      <c r="J232" s="640" t="s">
        <v>692</v>
      </c>
      <c r="K232" s="640" t="s">
        <v>693</v>
      </c>
      <c r="L232" s="642">
        <v>135.80034863559433</v>
      </c>
      <c r="M232" s="642">
        <v>31.900000000000006</v>
      </c>
      <c r="N232" s="643">
        <v>4332.0311214754602</v>
      </c>
    </row>
    <row r="233" spans="1:14" ht="14.4" customHeight="1" x14ac:dyDescent="0.3">
      <c r="A233" s="638" t="s">
        <v>537</v>
      </c>
      <c r="B233" s="639" t="s">
        <v>538</v>
      </c>
      <c r="C233" s="640" t="s">
        <v>550</v>
      </c>
      <c r="D233" s="641" t="s">
        <v>1129</v>
      </c>
      <c r="E233" s="640" t="s">
        <v>661</v>
      </c>
      <c r="F233" s="641" t="s">
        <v>1133</v>
      </c>
      <c r="G233" s="640" t="s">
        <v>557</v>
      </c>
      <c r="H233" s="640" t="s">
        <v>673</v>
      </c>
      <c r="I233" s="640" t="s">
        <v>674</v>
      </c>
      <c r="J233" s="640" t="s">
        <v>675</v>
      </c>
      <c r="K233" s="640" t="s">
        <v>676</v>
      </c>
      <c r="L233" s="642">
        <v>59.824518518518509</v>
      </c>
      <c r="M233" s="642">
        <v>27</v>
      </c>
      <c r="N233" s="643">
        <v>1615.2619999999997</v>
      </c>
    </row>
    <row r="234" spans="1:14" ht="14.4" customHeight="1" x14ac:dyDescent="0.3">
      <c r="A234" s="638" t="s">
        <v>537</v>
      </c>
      <c r="B234" s="639" t="s">
        <v>538</v>
      </c>
      <c r="C234" s="640" t="s">
        <v>550</v>
      </c>
      <c r="D234" s="641" t="s">
        <v>1129</v>
      </c>
      <c r="E234" s="640" t="s">
        <v>661</v>
      </c>
      <c r="F234" s="641" t="s">
        <v>1133</v>
      </c>
      <c r="G234" s="640" t="s">
        <v>557</v>
      </c>
      <c r="H234" s="640" t="s">
        <v>681</v>
      </c>
      <c r="I234" s="640" t="s">
        <v>682</v>
      </c>
      <c r="J234" s="640" t="s">
        <v>683</v>
      </c>
      <c r="K234" s="640" t="s">
        <v>684</v>
      </c>
      <c r="L234" s="642">
        <v>46.839962649055515</v>
      </c>
      <c r="M234" s="642">
        <v>22</v>
      </c>
      <c r="N234" s="643">
        <v>1030.4791782792213</v>
      </c>
    </row>
    <row r="235" spans="1:14" ht="14.4" customHeight="1" x14ac:dyDescent="0.3">
      <c r="A235" s="638" t="s">
        <v>537</v>
      </c>
      <c r="B235" s="639" t="s">
        <v>538</v>
      </c>
      <c r="C235" s="640" t="s">
        <v>550</v>
      </c>
      <c r="D235" s="641" t="s">
        <v>1129</v>
      </c>
      <c r="E235" s="640" t="s">
        <v>661</v>
      </c>
      <c r="F235" s="641" t="s">
        <v>1133</v>
      </c>
      <c r="G235" s="640" t="s">
        <v>557</v>
      </c>
      <c r="H235" s="640" t="s">
        <v>1069</v>
      </c>
      <c r="I235" s="640" t="s">
        <v>1070</v>
      </c>
      <c r="J235" s="640" t="s">
        <v>1071</v>
      </c>
      <c r="K235" s="640" t="s">
        <v>1072</v>
      </c>
      <c r="L235" s="642">
        <v>73.995894736842104</v>
      </c>
      <c r="M235" s="642">
        <v>95</v>
      </c>
      <c r="N235" s="643">
        <v>7029.61</v>
      </c>
    </row>
    <row r="236" spans="1:14" ht="14.4" customHeight="1" x14ac:dyDescent="0.3">
      <c r="A236" s="638" t="s">
        <v>537</v>
      </c>
      <c r="B236" s="639" t="s">
        <v>538</v>
      </c>
      <c r="C236" s="640" t="s">
        <v>550</v>
      </c>
      <c r="D236" s="641" t="s">
        <v>1129</v>
      </c>
      <c r="E236" s="640" t="s">
        <v>661</v>
      </c>
      <c r="F236" s="641" t="s">
        <v>1133</v>
      </c>
      <c r="G236" s="640" t="s">
        <v>557</v>
      </c>
      <c r="H236" s="640" t="s">
        <v>1073</v>
      </c>
      <c r="I236" s="640" t="s">
        <v>1074</v>
      </c>
      <c r="J236" s="640" t="s">
        <v>683</v>
      </c>
      <c r="K236" s="640" t="s">
        <v>1075</v>
      </c>
      <c r="L236" s="642">
        <v>44.15</v>
      </c>
      <c r="M236" s="642">
        <v>2</v>
      </c>
      <c r="N236" s="643">
        <v>88.3</v>
      </c>
    </row>
    <row r="237" spans="1:14" ht="14.4" customHeight="1" x14ac:dyDescent="0.3">
      <c r="A237" s="638" t="s">
        <v>537</v>
      </c>
      <c r="B237" s="639" t="s">
        <v>538</v>
      </c>
      <c r="C237" s="640" t="s">
        <v>550</v>
      </c>
      <c r="D237" s="641" t="s">
        <v>1129</v>
      </c>
      <c r="E237" s="640" t="s">
        <v>661</v>
      </c>
      <c r="F237" s="641" t="s">
        <v>1133</v>
      </c>
      <c r="G237" s="640" t="s">
        <v>557</v>
      </c>
      <c r="H237" s="640" t="s">
        <v>779</v>
      </c>
      <c r="I237" s="640" t="s">
        <v>780</v>
      </c>
      <c r="J237" s="640" t="s">
        <v>781</v>
      </c>
      <c r="K237" s="640" t="s">
        <v>782</v>
      </c>
      <c r="L237" s="642">
        <v>772.07999999999993</v>
      </c>
      <c r="M237" s="642">
        <v>15</v>
      </c>
      <c r="N237" s="643">
        <v>11581.199999999999</v>
      </c>
    </row>
    <row r="238" spans="1:14" ht="14.4" customHeight="1" x14ac:dyDescent="0.3">
      <c r="A238" s="638" t="s">
        <v>537</v>
      </c>
      <c r="B238" s="639" t="s">
        <v>538</v>
      </c>
      <c r="C238" s="640" t="s">
        <v>550</v>
      </c>
      <c r="D238" s="641" t="s">
        <v>1129</v>
      </c>
      <c r="E238" s="640" t="s">
        <v>661</v>
      </c>
      <c r="F238" s="641" t="s">
        <v>1133</v>
      </c>
      <c r="G238" s="640" t="s">
        <v>557</v>
      </c>
      <c r="H238" s="640" t="s">
        <v>783</v>
      </c>
      <c r="I238" s="640" t="s">
        <v>783</v>
      </c>
      <c r="J238" s="640" t="s">
        <v>784</v>
      </c>
      <c r="K238" s="640" t="s">
        <v>785</v>
      </c>
      <c r="L238" s="642">
        <v>462</v>
      </c>
      <c r="M238" s="642">
        <v>4</v>
      </c>
      <c r="N238" s="643">
        <v>1848</v>
      </c>
    </row>
    <row r="239" spans="1:14" ht="14.4" customHeight="1" x14ac:dyDescent="0.3">
      <c r="A239" s="638" t="s">
        <v>537</v>
      </c>
      <c r="B239" s="639" t="s">
        <v>538</v>
      </c>
      <c r="C239" s="640" t="s">
        <v>550</v>
      </c>
      <c r="D239" s="641" t="s">
        <v>1129</v>
      </c>
      <c r="E239" s="640" t="s">
        <v>661</v>
      </c>
      <c r="F239" s="641" t="s">
        <v>1133</v>
      </c>
      <c r="G239" s="640" t="s">
        <v>557</v>
      </c>
      <c r="H239" s="640" t="s">
        <v>1076</v>
      </c>
      <c r="I239" s="640" t="s">
        <v>1076</v>
      </c>
      <c r="J239" s="640" t="s">
        <v>1077</v>
      </c>
      <c r="K239" s="640" t="s">
        <v>1078</v>
      </c>
      <c r="L239" s="642">
        <v>144.69690779426509</v>
      </c>
      <c r="M239" s="642">
        <v>46</v>
      </c>
      <c r="N239" s="643">
        <v>6656.0577585361934</v>
      </c>
    </row>
    <row r="240" spans="1:14" ht="14.4" customHeight="1" x14ac:dyDescent="0.3">
      <c r="A240" s="638" t="s">
        <v>537</v>
      </c>
      <c r="B240" s="639" t="s">
        <v>538</v>
      </c>
      <c r="C240" s="640" t="s">
        <v>550</v>
      </c>
      <c r="D240" s="641" t="s">
        <v>1129</v>
      </c>
      <c r="E240" s="640" t="s">
        <v>661</v>
      </c>
      <c r="F240" s="641" t="s">
        <v>1133</v>
      </c>
      <c r="G240" s="640" t="s">
        <v>557</v>
      </c>
      <c r="H240" s="640" t="s">
        <v>1079</v>
      </c>
      <c r="I240" s="640" t="s">
        <v>1079</v>
      </c>
      <c r="J240" s="640" t="s">
        <v>1080</v>
      </c>
      <c r="K240" s="640" t="s">
        <v>1081</v>
      </c>
      <c r="L240" s="642">
        <v>152.9</v>
      </c>
      <c r="M240" s="642">
        <v>1</v>
      </c>
      <c r="N240" s="643">
        <v>152.9</v>
      </c>
    </row>
    <row r="241" spans="1:14" ht="14.4" customHeight="1" x14ac:dyDescent="0.3">
      <c r="A241" s="638" t="s">
        <v>537</v>
      </c>
      <c r="B241" s="639" t="s">
        <v>538</v>
      </c>
      <c r="C241" s="640" t="s">
        <v>550</v>
      </c>
      <c r="D241" s="641" t="s">
        <v>1129</v>
      </c>
      <c r="E241" s="640" t="s">
        <v>661</v>
      </c>
      <c r="F241" s="641" t="s">
        <v>1133</v>
      </c>
      <c r="G241" s="640" t="s">
        <v>557</v>
      </c>
      <c r="H241" s="640" t="s">
        <v>685</v>
      </c>
      <c r="I241" s="640" t="s">
        <v>685</v>
      </c>
      <c r="J241" s="640" t="s">
        <v>686</v>
      </c>
      <c r="K241" s="640" t="s">
        <v>687</v>
      </c>
      <c r="L241" s="642">
        <v>67.53</v>
      </c>
      <c r="M241" s="642">
        <v>2</v>
      </c>
      <c r="N241" s="643">
        <v>135.06</v>
      </c>
    </row>
    <row r="242" spans="1:14" ht="14.4" customHeight="1" x14ac:dyDescent="0.3">
      <c r="A242" s="638" t="s">
        <v>537</v>
      </c>
      <c r="B242" s="639" t="s">
        <v>538</v>
      </c>
      <c r="C242" s="640" t="s">
        <v>550</v>
      </c>
      <c r="D242" s="641" t="s">
        <v>1129</v>
      </c>
      <c r="E242" s="640" t="s">
        <v>661</v>
      </c>
      <c r="F242" s="641" t="s">
        <v>1133</v>
      </c>
      <c r="G242" s="640" t="s">
        <v>557</v>
      </c>
      <c r="H242" s="640" t="s">
        <v>786</v>
      </c>
      <c r="I242" s="640" t="s">
        <v>786</v>
      </c>
      <c r="J242" s="640" t="s">
        <v>787</v>
      </c>
      <c r="K242" s="640" t="s">
        <v>788</v>
      </c>
      <c r="L242" s="642">
        <v>316.02999999999997</v>
      </c>
      <c r="M242" s="642">
        <v>2</v>
      </c>
      <c r="N242" s="643">
        <v>632.05999999999995</v>
      </c>
    </row>
    <row r="243" spans="1:14" ht="14.4" customHeight="1" x14ac:dyDescent="0.3">
      <c r="A243" s="638" t="s">
        <v>537</v>
      </c>
      <c r="B243" s="639" t="s">
        <v>538</v>
      </c>
      <c r="C243" s="640" t="s">
        <v>550</v>
      </c>
      <c r="D243" s="641" t="s">
        <v>1129</v>
      </c>
      <c r="E243" s="640" t="s">
        <v>661</v>
      </c>
      <c r="F243" s="641" t="s">
        <v>1133</v>
      </c>
      <c r="G243" s="640" t="s">
        <v>557</v>
      </c>
      <c r="H243" s="640" t="s">
        <v>691</v>
      </c>
      <c r="I243" s="640" t="s">
        <v>691</v>
      </c>
      <c r="J243" s="640" t="s">
        <v>692</v>
      </c>
      <c r="K243" s="640" t="s">
        <v>693</v>
      </c>
      <c r="L243" s="642">
        <v>137.46311258278143</v>
      </c>
      <c r="M243" s="642">
        <v>15.1</v>
      </c>
      <c r="N243" s="643">
        <v>2075.6929999999998</v>
      </c>
    </row>
    <row r="244" spans="1:14" ht="14.4" customHeight="1" x14ac:dyDescent="0.3">
      <c r="A244" s="638" t="s">
        <v>537</v>
      </c>
      <c r="B244" s="639" t="s">
        <v>538</v>
      </c>
      <c r="C244" s="640" t="s">
        <v>550</v>
      </c>
      <c r="D244" s="641" t="s">
        <v>1129</v>
      </c>
      <c r="E244" s="640" t="s">
        <v>661</v>
      </c>
      <c r="F244" s="641" t="s">
        <v>1133</v>
      </c>
      <c r="G244" s="640" t="s">
        <v>557</v>
      </c>
      <c r="H244" s="640" t="s">
        <v>1082</v>
      </c>
      <c r="I244" s="640" t="s">
        <v>1082</v>
      </c>
      <c r="J244" s="640" t="s">
        <v>1077</v>
      </c>
      <c r="K244" s="640" t="s">
        <v>1078</v>
      </c>
      <c r="L244" s="642">
        <v>251.16000000000003</v>
      </c>
      <c r="M244" s="642">
        <v>10</v>
      </c>
      <c r="N244" s="643">
        <v>2511.6000000000004</v>
      </c>
    </row>
    <row r="245" spans="1:14" ht="14.4" customHeight="1" x14ac:dyDescent="0.3">
      <c r="A245" s="638" t="s">
        <v>537</v>
      </c>
      <c r="B245" s="639" t="s">
        <v>538</v>
      </c>
      <c r="C245" s="640" t="s">
        <v>550</v>
      </c>
      <c r="D245" s="641" t="s">
        <v>1129</v>
      </c>
      <c r="E245" s="640" t="s">
        <v>661</v>
      </c>
      <c r="F245" s="641" t="s">
        <v>1133</v>
      </c>
      <c r="G245" s="640" t="s">
        <v>694</v>
      </c>
      <c r="H245" s="640" t="s">
        <v>1083</v>
      </c>
      <c r="I245" s="640" t="s">
        <v>1084</v>
      </c>
      <c r="J245" s="640" t="s">
        <v>1085</v>
      </c>
      <c r="K245" s="640" t="s">
        <v>1086</v>
      </c>
      <c r="L245" s="642">
        <v>28.889999999999997</v>
      </c>
      <c r="M245" s="642">
        <v>30</v>
      </c>
      <c r="N245" s="643">
        <v>866.69999999999993</v>
      </c>
    </row>
    <row r="246" spans="1:14" ht="14.4" customHeight="1" x14ac:dyDescent="0.3">
      <c r="A246" s="638" t="s">
        <v>537</v>
      </c>
      <c r="B246" s="639" t="s">
        <v>538</v>
      </c>
      <c r="C246" s="640" t="s">
        <v>550</v>
      </c>
      <c r="D246" s="641" t="s">
        <v>1129</v>
      </c>
      <c r="E246" s="640" t="s">
        <v>661</v>
      </c>
      <c r="F246" s="641" t="s">
        <v>1133</v>
      </c>
      <c r="G246" s="640" t="s">
        <v>694</v>
      </c>
      <c r="H246" s="640" t="s">
        <v>1087</v>
      </c>
      <c r="I246" s="640" t="s">
        <v>1087</v>
      </c>
      <c r="J246" s="640" t="s">
        <v>1088</v>
      </c>
      <c r="K246" s="640" t="s">
        <v>1078</v>
      </c>
      <c r="L246" s="642">
        <v>34.659999999999997</v>
      </c>
      <c r="M246" s="642">
        <v>37</v>
      </c>
      <c r="N246" s="643">
        <v>1282.4199999999998</v>
      </c>
    </row>
    <row r="247" spans="1:14" ht="14.4" customHeight="1" x14ac:dyDescent="0.3">
      <c r="A247" s="638" t="s">
        <v>537</v>
      </c>
      <c r="B247" s="639" t="s">
        <v>538</v>
      </c>
      <c r="C247" s="640" t="s">
        <v>550</v>
      </c>
      <c r="D247" s="641" t="s">
        <v>1129</v>
      </c>
      <c r="E247" s="640" t="s">
        <v>661</v>
      </c>
      <c r="F247" s="641" t="s">
        <v>1133</v>
      </c>
      <c r="G247" s="640" t="s">
        <v>694</v>
      </c>
      <c r="H247" s="640" t="s">
        <v>1089</v>
      </c>
      <c r="I247" s="640" t="s">
        <v>1089</v>
      </c>
      <c r="J247" s="640" t="s">
        <v>1090</v>
      </c>
      <c r="K247" s="640" t="s">
        <v>1052</v>
      </c>
      <c r="L247" s="642">
        <v>650.95000000000095</v>
      </c>
      <c r="M247" s="642">
        <v>-0.20000000000000007</v>
      </c>
      <c r="N247" s="643">
        <v>-130.19000000000023</v>
      </c>
    </row>
    <row r="248" spans="1:14" ht="14.4" customHeight="1" x14ac:dyDescent="0.3">
      <c r="A248" s="638" t="s">
        <v>537</v>
      </c>
      <c r="B248" s="639" t="s">
        <v>538</v>
      </c>
      <c r="C248" s="640" t="s">
        <v>550</v>
      </c>
      <c r="D248" s="641" t="s">
        <v>1129</v>
      </c>
      <c r="E248" s="640" t="s">
        <v>699</v>
      </c>
      <c r="F248" s="641" t="s">
        <v>1134</v>
      </c>
      <c r="G248" s="640" t="s">
        <v>557</v>
      </c>
      <c r="H248" s="640" t="s">
        <v>1091</v>
      </c>
      <c r="I248" s="640" t="s">
        <v>1092</v>
      </c>
      <c r="J248" s="640" t="s">
        <v>1093</v>
      </c>
      <c r="K248" s="640" t="s">
        <v>1094</v>
      </c>
      <c r="L248" s="642">
        <v>108.63</v>
      </c>
      <c r="M248" s="642">
        <v>3</v>
      </c>
      <c r="N248" s="643">
        <v>325.89</v>
      </c>
    </row>
    <row r="249" spans="1:14" ht="14.4" customHeight="1" x14ac:dyDescent="0.3">
      <c r="A249" s="638" t="s">
        <v>537</v>
      </c>
      <c r="B249" s="639" t="s">
        <v>538</v>
      </c>
      <c r="C249" s="640" t="s">
        <v>550</v>
      </c>
      <c r="D249" s="641" t="s">
        <v>1129</v>
      </c>
      <c r="E249" s="640" t="s">
        <v>699</v>
      </c>
      <c r="F249" s="641" t="s">
        <v>1134</v>
      </c>
      <c r="G249" s="640" t="s">
        <v>557</v>
      </c>
      <c r="H249" s="640" t="s">
        <v>704</v>
      </c>
      <c r="I249" s="640" t="s">
        <v>705</v>
      </c>
      <c r="J249" s="640" t="s">
        <v>706</v>
      </c>
      <c r="K249" s="640" t="s">
        <v>707</v>
      </c>
      <c r="L249" s="642">
        <v>108.03985760629391</v>
      </c>
      <c r="M249" s="642">
        <v>8</v>
      </c>
      <c r="N249" s="643">
        <v>864.31886085035126</v>
      </c>
    </row>
    <row r="250" spans="1:14" ht="14.4" customHeight="1" x14ac:dyDescent="0.3">
      <c r="A250" s="638" t="s">
        <v>537</v>
      </c>
      <c r="B250" s="639" t="s">
        <v>538</v>
      </c>
      <c r="C250" s="640" t="s">
        <v>550</v>
      </c>
      <c r="D250" s="641" t="s">
        <v>1129</v>
      </c>
      <c r="E250" s="640" t="s">
        <v>699</v>
      </c>
      <c r="F250" s="641" t="s">
        <v>1134</v>
      </c>
      <c r="G250" s="640" t="s">
        <v>694</v>
      </c>
      <c r="H250" s="640" t="s">
        <v>1095</v>
      </c>
      <c r="I250" s="640" t="s">
        <v>1095</v>
      </c>
      <c r="J250" s="640" t="s">
        <v>1096</v>
      </c>
      <c r="K250" s="640" t="s">
        <v>1097</v>
      </c>
      <c r="L250" s="642">
        <v>159.5</v>
      </c>
      <c r="M250" s="642">
        <v>6.3999999999999995</v>
      </c>
      <c r="N250" s="643">
        <v>1020.8</v>
      </c>
    </row>
    <row r="251" spans="1:14" ht="14.4" customHeight="1" x14ac:dyDescent="0.3">
      <c r="A251" s="638" t="s">
        <v>537</v>
      </c>
      <c r="B251" s="639" t="s">
        <v>538</v>
      </c>
      <c r="C251" s="640" t="s">
        <v>550</v>
      </c>
      <c r="D251" s="641" t="s">
        <v>1129</v>
      </c>
      <c r="E251" s="640" t="s">
        <v>1098</v>
      </c>
      <c r="F251" s="641" t="s">
        <v>1135</v>
      </c>
      <c r="G251" s="640"/>
      <c r="H251" s="640"/>
      <c r="I251" s="640" t="s">
        <v>1099</v>
      </c>
      <c r="J251" s="640" t="s">
        <v>1100</v>
      </c>
      <c r="K251" s="640"/>
      <c r="L251" s="642">
        <v>138.10346938775513</v>
      </c>
      <c r="M251" s="642">
        <v>49</v>
      </c>
      <c r="N251" s="643">
        <v>6767.0700000000006</v>
      </c>
    </row>
    <row r="252" spans="1:14" ht="14.4" customHeight="1" x14ac:dyDescent="0.3">
      <c r="A252" s="638" t="s">
        <v>537</v>
      </c>
      <c r="B252" s="639" t="s">
        <v>538</v>
      </c>
      <c r="C252" s="640" t="s">
        <v>550</v>
      </c>
      <c r="D252" s="641" t="s">
        <v>1129</v>
      </c>
      <c r="E252" s="640" t="s">
        <v>1098</v>
      </c>
      <c r="F252" s="641" t="s">
        <v>1135</v>
      </c>
      <c r="G252" s="640"/>
      <c r="H252" s="640"/>
      <c r="I252" s="640" t="s">
        <v>1101</v>
      </c>
      <c r="J252" s="640" t="s">
        <v>1102</v>
      </c>
      <c r="K252" s="640" t="s">
        <v>1103</v>
      </c>
      <c r="L252" s="642">
        <v>0</v>
      </c>
      <c r="M252" s="642">
        <v>12</v>
      </c>
      <c r="N252" s="643">
        <v>0</v>
      </c>
    </row>
    <row r="253" spans="1:14" ht="14.4" customHeight="1" x14ac:dyDescent="0.3">
      <c r="A253" s="638" t="s">
        <v>537</v>
      </c>
      <c r="B253" s="639" t="s">
        <v>538</v>
      </c>
      <c r="C253" s="640" t="s">
        <v>550</v>
      </c>
      <c r="D253" s="641" t="s">
        <v>1129</v>
      </c>
      <c r="E253" s="640" t="s">
        <v>1104</v>
      </c>
      <c r="F253" s="641" t="s">
        <v>1136</v>
      </c>
      <c r="G253" s="640" t="s">
        <v>557</v>
      </c>
      <c r="H253" s="640" t="s">
        <v>1105</v>
      </c>
      <c r="I253" s="640" t="s">
        <v>1105</v>
      </c>
      <c r="J253" s="640" t="s">
        <v>1106</v>
      </c>
      <c r="K253" s="640" t="s">
        <v>1107</v>
      </c>
      <c r="L253" s="642">
        <v>1221</v>
      </c>
      <c r="M253" s="642">
        <v>18</v>
      </c>
      <c r="N253" s="643">
        <v>21978</v>
      </c>
    </row>
    <row r="254" spans="1:14" ht="14.4" customHeight="1" x14ac:dyDescent="0.3">
      <c r="A254" s="638" t="s">
        <v>537</v>
      </c>
      <c r="B254" s="639" t="s">
        <v>538</v>
      </c>
      <c r="C254" s="640" t="s">
        <v>550</v>
      </c>
      <c r="D254" s="641" t="s">
        <v>1129</v>
      </c>
      <c r="E254" s="640" t="s">
        <v>1104</v>
      </c>
      <c r="F254" s="641" t="s">
        <v>1136</v>
      </c>
      <c r="G254" s="640" t="s">
        <v>557</v>
      </c>
      <c r="H254" s="640" t="s">
        <v>1108</v>
      </c>
      <c r="I254" s="640" t="s">
        <v>1108</v>
      </c>
      <c r="J254" s="640" t="s">
        <v>1109</v>
      </c>
      <c r="K254" s="640" t="s">
        <v>1110</v>
      </c>
      <c r="L254" s="642">
        <v>1496</v>
      </c>
      <c r="M254" s="642">
        <v>10</v>
      </c>
      <c r="N254" s="643">
        <v>14960</v>
      </c>
    </row>
    <row r="255" spans="1:14" ht="14.4" customHeight="1" x14ac:dyDescent="0.3">
      <c r="A255" s="638" t="s">
        <v>537</v>
      </c>
      <c r="B255" s="639" t="s">
        <v>538</v>
      </c>
      <c r="C255" s="640" t="s">
        <v>550</v>
      </c>
      <c r="D255" s="641" t="s">
        <v>1129</v>
      </c>
      <c r="E255" s="640" t="s">
        <v>1111</v>
      </c>
      <c r="F255" s="641" t="s">
        <v>1137</v>
      </c>
      <c r="G255" s="640" t="s">
        <v>557</v>
      </c>
      <c r="H255" s="640" t="s">
        <v>1112</v>
      </c>
      <c r="I255" s="640" t="s">
        <v>578</v>
      </c>
      <c r="J255" s="640" t="s">
        <v>1113</v>
      </c>
      <c r="K255" s="640" t="s">
        <v>1114</v>
      </c>
      <c r="L255" s="642">
        <v>534.74884811723325</v>
      </c>
      <c r="M255" s="642">
        <v>245</v>
      </c>
      <c r="N255" s="643">
        <v>131013.46778872213</v>
      </c>
    </row>
    <row r="256" spans="1:14" ht="14.4" customHeight="1" x14ac:dyDescent="0.3">
      <c r="A256" s="638" t="s">
        <v>537</v>
      </c>
      <c r="B256" s="639" t="s">
        <v>538</v>
      </c>
      <c r="C256" s="640" t="s">
        <v>550</v>
      </c>
      <c r="D256" s="641" t="s">
        <v>1129</v>
      </c>
      <c r="E256" s="640" t="s">
        <v>1111</v>
      </c>
      <c r="F256" s="641" t="s">
        <v>1137</v>
      </c>
      <c r="G256" s="640" t="s">
        <v>557</v>
      </c>
      <c r="H256" s="640" t="s">
        <v>1115</v>
      </c>
      <c r="I256" s="640" t="s">
        <v>578</v>
      </c>
      <c r="J256" s="640" t="s">
        <v>1113</v>
      </c>
      <c r="K256" s="640" t="s">
        <v>1116</v>
      </c>
      <c r="L256" s="642">
        <v>640.46778571428536</v>
      </c>
      <c r="M256" s="642">
        <v>7</v>
      </c>
      <c r="N256" s="643">
        <v>4483.2744999999977</v>
      </c>
    </row>
    <row r="257" spans="1:14" ht="14.4" customHeight="1" x14ac:dyDescent="0.3">
      <c r="A257" s="638" t="s">
        <v>537</v>
      </c>
      <c r="B257" s="639" t="s">
        <v>538</v>
      </c>
      <c r="C257" s="640" t="s">
        <v>550</v>
      </c>
      <c r="D257" s="641" t="s">
        <v>1129</v>
      </c>
      <c r="E257" s="640" t="s">
        <v>1111</v>
      </c>
      <c r="F257" s="641" t="s">
        <v>1137</v>
      </c>
      <c r="G257" s="640" t="s">
        <v>557</v>
      </c>
      <c r="H257" s="640" t="s">
        <v>1117</v>
      </c>
      <c r="I257" s="640" t="s">
        <v>578</v>
      </c>
      <c r="J257" s="640" t="s">
        <v>1113</v>
      </c>
      <c r="K257" s="640" t="s">
        <v>1118</v>
      </c>
      <c r="L257" s="642">
        <v>713.8901009186294</v>
      </c>
      <c r="M257" s="642">
        <v>237</v>
      </c>
      <c r="N257" s="643">
        <v>169191.95391771517</v>
      </c>
    </row>
    <row r="258" spans="1:14" ht="14.4" customHeight="1" x14ac:dyDescent="0.3">
      <c r="A258" s="638" t="s">
        <v>537</v>
      </c>
      <c r="B258" s="639" t="s">
        <v>538</v>
      </c>
      <c r="C258" s="640" t="s">
        <v>550</v>
      </c>
      <c r="D258" s="641" t="s">
        <v>1129</v>
      </c>
      <c r="E258" s="640" t="s">
        <v>1111</v>
      </c>
      <c r="F258" s="641" t="s">
        <v>1137</v>
      </c>
      <c r="G258" s="640" t="s">
        <v>557</v>
      </c>
      <c r="H258" s="640" t="s">
        <v>1119</v>
      </c>
      <c r="I258" s="640" t="s">
        <v>578</v>
      </c>
      <c r="J258" s="640" t="s">
        <v>1113</v>
      </c>
      <c r="K258" s="640" t="s">
        <v>1120</v>
      </c>
      <c r="L258" s="642">
        <v>1062.6652672725072</v>
      </c>
      <c r="M258" s="642">
        <v>60</v>
      </c>
      <c r="N258" s="643">
        <v>63759.916036350427</v>
      </c>
    </row>
    <row r="259" spans="1:14" ht="14.4" customHeight="1" x14ac:dyDescent="0.3">
      <c r="A259" s="638" t="s">
        <v>537</v>
      </c>
      <c r="B259" s="639" t="s">
        <v>538</v>
      </c>
      <c r="C259" s="640" t="s">
        <v>553</v>
      </c>
      <c r="D259" s="641" t="s">
        <v>1130</v>
      </c>
      <c r="E259" s="640" t="s">
        <v>1121</v>
      </c>
      <c r="F259" s="641" t="s">
        <v>1138</v>
      </c>
      <c r="G259" s="640" t="s">
        <v>557</v>
      </c>
      <c r="H259" s="640" t="s">
        <v>1122</v>
      </c>
      <c r="I259" s="640" t="s">
        <v>1122</v>
      </c>
      <c r="J259" s="640" t="s">
        <v>1123</v>
      </c>
      <c r="K259" s="640" t="s">
        <v>1124</v>
      </c>
      <c r="L259" s="642">
        <v>9913.8299999999981</v>
      </c>
      <c r="M259" s="642">
        <v>50</v>
      </c>
      <c r="N259" s="643">
        <v>495691.49999999994</v>
      </c>
    </row>
    <row r="260" spans="1:14" ht="14.4" customHeight="1" thickBot="1" x14ac:dyDescent="0.35">
      <c r="A260" s="644" t="s">
        <v>537</v>
      </c>
      <c r="B260" s="645" t="s">
        <v>538</v>
      </c>
      <c r="C260" s="646" t="s">
        <v>553</v>
      </c>
      <c r="D260" s="647" t="s">
        <v>1130</v>
      </c>
      <c r="E260" s="646" t="s">
        <v>1121</v>
      </c>
      <c r="F260" s="647" t="s">
        <v>1138</v>
      </c>
      <c r="G260" s="646" t="s">
        <v>557</v>
      </c>
      <c r="H260" s="646" t="s">
        <v>1125</v>
      </c>
      <c r="I260" s="646" t="s">
        <v>1125</v>
      </c>
      <c r="J260" s="646" t="s">
        <v>1123</v>
      </c>
      <c r="K260" s="646" t="s">
        <v>1126</v>
      </c>
      <c r="L260" s="648">
        <v>19845.199999999997</v>
      </c>
      <c r="M260" s="648">
        <v>113</v>
      </c>
      <c r="N260" s="649">
        <v>2242507.5999999996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4" customWidth="1"/>
    <col min="2" max="2" width="10" style="326" customWidth="1"/>
    <col min="3" max="3" width="5.5546875" style="329" customWidth="1"/>
    <col min="4" max="4" width="10" style="326" customWidth="1"/>
    <col min="5" max="5" width="5.5546875" style="329" customWidth="1"/>
    <col min="6" max="6" width="10" style="326" customWidth="1"/>
    <col min="7" max="16384" width="8.88671875" style="244"/>
  </cols>
  <sheetData>
    <row r="1" spans="1:6" ht="37.200000000000003" customHeight="1" thickBot="1" x14ac:dyDescent="0.4">
      <c r="A1" s="501" t="s">
        <v>197</v>
      </c>
      <c r="B1" s="502"/>
      <c r="C1" s="502"/>
      <c r="D1" s="502"/>
      <c r="E1" s="502"/>
      <c r="F1" s="502"/>
    </row>
    <row r="2" spans="1:6" ht="14.4" customHeight="1" thickBot="1" x14ac:dyDescent="0.35">
      <c r="A2" s="368" t="s">
        <v>301</v>
      </c>
      <c r="B2" s="67"/>
      <c r="C2" s="68"/>
      <c r="D2" s="69"/>
      <c r="E2" s="68"/>
      <c r="F2" s="69"/>
    </row>
    <row r="3" spans="1:6" ht="14.4" customHeight="1" thickBot="1" x14ac:dyDescent="0.35">
      <c r="A3" s="199"/>
      <c r="B3" s="503" t="s">
        <v>153</v>
      </c>
      <c r="C3" s="504"/>
      <c r="D3" s="505" t="s">
        <v>152</v>
      </c>
      <c r="E3" s="504"/>
      <c r="F3" s="97" t="s">
        <v>3</v>
      </c>
    </row>
    <row r="4" spans="1:6" ht="14.4" customHeight="1" thickBot="1" x14ac:dyDescent="0.35">
      <c r="A4" s="650" t="s">
        <v>177</v>
      </c>
      <c r="B4" s="651" t="s">
        <v>14</v>
      </c>
      <c r="C4" s="652" t="s">
        <v>2</v>
      </c>
      <c r="D4" s="651" t="s">
        <v>14</v>
      </c>
      <c r="E4" s="652" t="s">
        <v>2</v>
      </c>
      <c r="F4" s="653" t="s">
        <v>14</v>
      </c>
    </row>
    <row r="5" spans="1:6" ht="14.4" customHeight="1" x14ac:dyDescent="0.3">
      <c r="A5" s="665" t="s">
        <v>1139</v>
      </c>
      <c r="B5" s="636">
        <v>8623.3331058937565</v>
      </c>
      <c r="C5" s="655">
        <v>0.20297340922725335</v>
      </c>
      <c r="D5" s="636">
        <v>33861.705396065336</v>
      </c>
      <c r="E5" s="655">
        <v>0.79702659077274673</v>
      </c>
      <c r="F5" s="637">
        <v>42485.03850195909</v>
      </c>
    </row>
    <row r="6" spans="1:6" ht="14.4" customHeight="1" x14ac:dyDescent="0.3">
      <c r="A6" s="666" t="s">
        <v>1140</v>
      </c>
      <c r="B6" s="642"/>
      <c r="C6" s="656">
        <v>0</v>
      </c>
      <c r="D6" s="642">
        <v>651.8900000000001</v>
      </c>
      <c r="E6" s="656">
        <v>1</v>
      </c>
      <c r="F6" s="643">
        <v>651.8900000000001</v>
      </c>
    </row>
    <row r="7" spans="1:6" ht="14.4" customHeight="1" thickBot="1" x14ac:dyDescent="0.35">
      <c r="A7" s="667" t="s">
        <v>1141</v>
      </c>
      <c r="B7" s="658"/>
      <c r="C7" s="659">
        <v>0</v>
      </c>
      <c r="D7" s="658">
        <v>613.64964852484127</v>
      </c>
      <c r="E7" s="659">
        <v>1</v>
      </c>
      <c r="F7" s="660">
        <v>613.64964852484127</v>
      </c>
    </row>
    <row r="8" spans="1:6" ht="14.4" customHeight="1" thickBot="1" x14ac:dyDescent="0.35">
      <c r="A8" s="661" t="s">
        <v>3</v>
      </c>
      <c r="B8" s="662">
        <v>8623.3331058937565</v>
      </c>
      <c r="C8" s="663">
        <v>0.1971021520271812</v>
      </c>
      <c r="D8" s="662">
        <v>35127.245044590178</v>
      </c>
      <c r="E8" s="663">
        <v>0.80289784797281882</v>
      </c>
      <c r="F8" s="664">
        <v>43750.578150483932</v>
      </c>
    </row>
    <row r="9" spans="1:6" ht="14.4" customHeight="1" thickBot="1" x14ac:dyDescent="0.35"/>
    <row r="10" spans="1:6" ht="14.4" customHeight="1" x14ac:dyDescent="0.3">
      <c r="A10" s="665" t="s">
        <v>1142</v>
      </c>
      <c r="B10" s="636">
        <v>5522.0631127497882</v>
      </c>
      <c r="C10" s="655">
        <v>1</v>
      </c>
      <c r="D10" s="636"/>
      <c r="E10" s="655">
        <v>0</v>
      </c>
      <c r="F10" s="637">
        <v>5522.0631127497882</v>
      </c>
    </row>
    <row r="11" spans="1:6" ht="14.4" customHeight="1" x14ac:dyDescent="0.3">
      <c r="A11" s="666" t="s">
        <v>1143</v>
      </c>
      <c r="B11" s="642">
        <v>1214.7499931439695</v>
      </c>
      <c r="C11" s="656">
        <v>0.39343646015906814</v>
      </c>
      <c r="D11" s="642">
        <v>1872.7879352240332</v>
      </c>
      <c r="E11" s="656">
        <v>0.60656353984093181</v>
      </c>
      <c r="F11" s="643">
        <v>3087.5379283680027</v>
      </c>
    </row>
    <row r="12" spans="1:6" ht="14.4" customHeight="1" x14ac:dyDescent="0.3">
      <c r="A12" s="666" t="s">
        <v>1144</v>
      </c>
      <c r="B12" s="642">
        <v>1017.5200000000002</v>
      </c>
      <c r="C12" s="656">
        <v>1</v>
      </c>
      <c r="D12" s="642"/>
      <c r="E12" s="656">
        <v>0</v>
      </c>
      <c r="F12" s="643">
        <v>1017.5200000000002</v>
      </c>
    </row>
    <row r="13" spans="1:6" ht="14.4" customHeight="1" x14ac:dyDescent="0.3">
      <c r="A13" s="666" t="s">
        <v>1145</v>
      </c>
      <c r="B13" s="642">
        <v>869</v>
      </c>
      <c r="C13" s="656">
        <v>-2.5340448488029623</v>
      </c>
      <c r="D13" s="642">
        <v>-1211.93</v>
      </c>
      <c r="E13" s="656">
        <v>3.5340448488029623</v>
      </c>
      <c r="F13" s="643">
        <v>-342.93000000000006</v>
      </c>
    </row>
    <row r="14" spans="1:6" ht="14.4" customHeight="1" x14ac:dyDescent="0.3">
      <c r="A14" s="666" t="s">
        <v>1146</v>
      </c>
      <c r="B14" s="642"/>
      <c r="C14" s="656">
        <v>0</v>
      </c>
      <c r="D14" s="642">
        <v>20133.608310946362</v>
      </c>
      <c r="E14" s="656">
        <v>1</v>
      </c>
      <c r="F14" s="643">
        <v>20133.608310946362</v>
      </c>
    </row>
    <row r="15" spans="1:6" ht="14.4" customHeight="1" x14ac:dyDescent="0.3">
      <c r="A15" s="666" t="s">
        <v>1147</v>
      </c>
      <c r="B15" s="642"/>
      <c r="C15" s="656">
        <v>0</v>
      </c>
      <c r="D15" s="642">
        <v>264</v>
      </c>
      <c r="E15" s="656">
        <v>1</v>
      </c>
      <c r="F15" s="643">
        <v>264</v>
      </c>
    </row>
    <row r="16" spans="1:6" ht="14.4" customHeight="1" x14ac:dyDescent="0.3">
      <c r="A16" s="666" t="s">
        <v>1148</v>
      </c>
      <c r="B16" s="642"/>
      <c r="C16" s="656">
        <v>0</v>
      </c>
      <c r="D16" s="642">
        <v>2712.6000000000004</v>
      </c>
      <c r="E16" s="656">
        <v>1</v>
      </c>
      <c r="F16" s="643">
        <v>2712.6000000000004</v>
      </c>
    </row>
    <row r="17" spans="1:6" ht="14.4" customHeight="1" x14ac:dyDescent="0.3">
      <c r="A17" s="666" t="s">
        <v>1149</v>
      </c>
      <c r="B17" s="642"/>
      <c r="C17" s="656">
        <v>0</v>
      </c>
      <c r="D17" s="642">
        <v>935.82</v>
      </c>
      <c r="E17" s="656">
        <v>1</v>
      </c>
      <c r="F17" s="643">
        <v>935.82</v>
      </c>
    </row>
    <row r="18" spans="1:6" ht="14.4" customHeight="1" x14ac:dyDescent="0.3">
      <c r="A18" s="666" t="s">
        <v>1150</v>
      </c>
      <c r="B18" s="642"/>
      <c r="C18" s="656">
        <v>0</v>
      </c>
      <c r="D18" s="642">
        <v>866.69999999999993</v>
      </c>
      <c r="E18" s="656">
        <v>1</v>
      </c>
      <c r="F18" s="643">
        <v>866.69999999999993</v>
      </c>
    </row>
    <row r="19" spans="1:6" ht="14.4" customHeight="1" x14ac:dyDescent="0.3">
      <c r="A19" s="666" t="s">
        <v>1151</v>
      </c>
      <c r="B19" s="642"/>
      <c r="C19" s="656">
        <v>0</v>
      </c>
      <c r="D19" s="642">
        <v>765.6</v>
      </c>
      <c r="E19" s="656">
        <v>1</v>
      </c>
      <c r="F19" s="643">
        <v>765.6</v>
      </c>
    </row>
    <row r="20" spans="1:6" ht="14.4" customHeight="1" x14ac:dyDescent="0.3">
      <c r="A20" s="666" t="s">
        <v>1152</v>
      </c>
      <c r="B20" s="642"/>
      <c r="C20" s="656">
        <v>0</v>
      </c>
      <c r="D20" s="642">
        <v>2316.2399999999998</v>
      </c>
      <c r="E20" s="656">
        <v>1</v>
      </c>
      <c r="F20" s="643">
        <v>2316.2399999999998</v>
      </c>
    </row>
    <row r="21" spans="1:6" ht="14.4" customHeight="1" x14ac:dyDescent="0.3">
      <c r="A21" s="666" t="s">
        <v>1153</v>
      </c>
      <c r="B21" s="642"/>
      <c r="C21" s="656">
        <v>0</v>
      </c>
      <c r="D21" s="642">
        <v>1604.6696485248413</v>
      </c>
      <c r="E21" s="656">
        <v>1</v>
      </c>
      <c r="F21" s="643">
        <v>1604.6696485248413</v>
      </c>
    </row>
    <row r="22" spans="1:6" ht="14.4" customHeight="1" x14ac:dyDescent="0.3">
      <c r="A22" s="666" t="s">
        <v>1154</v>
      </c>
      <c r="B22" s="642"/>
      <c r="C22" s="656">
        <v>0</v>
      </c>
      <c r="D22" s="642">
        <v>90</v>
      </c>
      <c r="E22" s="656">
        <v>1</v>
      </c>
      <c r="F22" s="643">
        <v>90</v>
      </c>
    </row>
    <row r="23" spans="1:6" ht="14.4" customHeight="1" x14ac:dyDescent="0.3">
      <c r="A23" s="666" t="s">
        <v>1155</v>
      </c>
      <c r="B23" s="642"/>
      <c r="C23" s="656">
        <v>0</v>
      </c>
      <c r="D23" s="642">
        <v>195.34000000000003</v>
      </c>
      <c r="E23" s="656">
        <v>1</v>
      </c>
      <c r="F23" s="643">
        <v>195.34000000000003</v>
      </c>
    </row>
    <row r="24" spans="1:6" ht="14.4" customHeight="1" x14ac:dyDescent="0.3">
      <c r="A24" s="666" t="s">
        <v>1156</v>
      </c>
      <c r="B24" s="642"/>
      <c r="C24" s="656">
        <v>0</v>
      </c>
      <c r="D24" s="642">
        <v>67.110000000000014</v>
      </c>
      <c r="E24" s="656">
        <v>1</v>
      </c>
      <c r="F24" s="643">
        <v>67.110000000000014</v>
      </c>
    </row>
    <row r="25" spans="1:6" ht="14.4" customHeight="1" x14ac:dyDescent="0.3">
      <c r="A25" s="666" t="s">
        <v>1157</v>
      </c>
      <c r="B25" s="642"/>
      <c r="C25" s="656">
        <v>0</v>
      </c>
      <c r="D25" s="642">
        <v>3736.8551498949346</v>
      </c>
      <c r="E25" s="656">
        <v>1</v>
      </c>
      <c r="F25" s="643">
        <v>3736.8551498949346</v>
      </c>
    </row>
    <row r="26" spans="1:6" ht="14.4" customHeight="1" thickBot="1" x14ac:dyDescent="0.35">
      <c r="A26" s="667" t="s">
        <v>1158</v>
      </c>
      <c r="B26" s="658"/>
      <c r="C26" s="659">
        <v>0</v>
      </c>
      <c r="D26" s="658">
        <v>777.84399999999994</v>
      </c>
      <c r="E26" s="659">
        <v>1</v>
      </c>
      <c r="F26" s="660">
        <v>777.84399999999994</v>
      </c>
    </row>
    <row r="27" spans="1:6" ht="14.4" customHeight="1" thickBot="1" x14ac:dyDescent="0.35">
      <c r="A27" s="661" t="s">
        <v>3</v>
      </c>
      <c r="B27" s="662">
        <v>8623.3331058937583</v>
      </c>
      <c r="C27" s="663">
        <v>0.19710215202718129</v>
      </c>
      <c r="D27" s="662">
        <v>35127.24504459017</v>
      </c>
      <c r="E27" s="663">
        <v>0.80289784797281882</v>
      </c>
      <c r="F27" s="664">
        <v>43750.578150483925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2016-08-19T09:59:20Z</dcterms:modified>
</cp:coreProperties>
</file>